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na\Desktop\სამსახური\2020 სახლიდან\შესყიდვები\NCDC\1.1\"/>
    </mc:Choice>
  </mc:AlternateContent>
  <bookViews>
    <workbookView xWindow="0" yWindow="0" windowWidth="20490" windowHeight="7650" firstSheet="14" activeTab="22"/>
  </bookViews>
  <sheets>
    <sheet name="04.11.2019..." sheetId="180" r:id="rId1"/>
    <sheet name="09.12.2019..." sheetId="181" r:id="rId2"/>
    <sheet name="17.12.2019..." sheetId="182" r:id="rId3"/>
    <sheet name="24.12.2019...." sheetId="183" r:id="rId4"/>
    <sheet name="06.01.2020..." sheetId="184" r:id="rId5"/>
    <sheet name="10.01.2020..." sheetId="185" r:id="rId6"/>
    <sheet name="15.01.2020..." sheetId="186" r:id="rId7"/>
    <sheet name="21.01.2020..." sheetId="187" r:id="rId8"/>
    <sheet name="28.01.2020...." sheetId="188" r:id="rId9"/>
    <sheet name="30.01.2020...." sheetId="189" r:id="rId10"/>
    <sheet name="03.02.2020..." sheetId="190" r:id="rId11"/>
    <sheet name="17.02.2020..." sheetId="191" r:id="rId12"/>
    <sheet name="20.02.2020.." sheetId="192" r:id="rId13"/>
    <sheet name="04.03.2020..." sheetId="193" r:id="rId14"/>
    <sheet name="09.03.2020..." sheetId="194" r:id="rId15"/>
    <sheet name="12.03.2020..." sheetId="195" r:id="rId16"/>
    <sheet name="18.03.2020..." sheetId="196" r:id="rId17"/>
    <sheet name="24.03.2020..." sheetId="197" r:id="rId18"/>
    <sheet name="25.03.2020...." sheetId="198" r:id="rId19"/>
    <sheet name="06.04.2020..." sheetId="199" r:id="rId20"/>
    <sheet name="10.04.2020...." sheetId="200" r:id="rId21"/>
    <sheet name="16.04.2020..." sheetId="201" r:id="rId22"/>
    <sheet name="23.04.2020..." sheetId="202" r:id="rId23"/>
  </sheets>
  <definedNames>
    <definedName name="_xlnm._FilterDatabase" localSheetId="10" hidden="1">'03.02.2020...'!$A$8:$H$120</definedName>
    <definedName name="_xlnm._FilterDatabase" localSheetId="13" hidden="1">'04.03.2020...'!$A$8:$H$122</definedName>
    <definedName name="_xlnm._FilterDatabase" localSheetId="0" hidden="1">'04.11.2019...'!$A$8:$H$99</definedName>
    <definedName name="_xlnm._FilterDatabase" localSheetId="4" hidden="1">'06.01.2020...'!$A$8:$H$113</definedName>
    <definedName name="_xlnm._FilterDatabase" localSheetId="19" hidden="1">'06.04.2020...'!$A$8:$H$126</definedName>
    <definedName name="_xlnm._FilterDatabase" localSheetId="14" hidden="1">'09.03.2020...'!$A$8:$H$124</definedName>
    <definedName name="_xlnm._FilterDatabase" localSheetId="1" hidden="1">'09.12.2019...'!$A$8:$H$100</definedName>
    <definedName name="_xlnm._FilterDatabase" localSheetId="5" hidden="1">'10.01.2020...'!$A$8:$H$114</definedName>
    <definedName name="_xlnm._FilterDatabase" localSheetId="20" hidden="1">'10.04.2020....'!$A$8:$H$127</definedName>
    <definedName name="_xlnm._FilterDatabase" localSheetId="15" hidden="1">'12.03.2020...'!$A$8:$H$126</definedName>
    <definedName name="_xlnm._FilterDatabase" localSheetId="6" hidden="1">'15.01.2020...'!$A$8:$H$115</definedName>
    <definedName name="_xlnm._FilterDatabase" localSheetId="21" hidden="1">'16.04.2020...'!$A$8:$H$127</definedName>
    <definedName name="_xlnm._FilterDatabase" localSheetId="11" hidden="1">'17.02.2020...'!$A$8:$H$120</definedName>
    <definedName name="_xlnm._FilterDatabase" localSheetId="2" hidden="1">'17.12.2019...'!$A$8:$H$100</definedName>
    <definedName name="_xlnm._FilterDatabase" localSheetId="16" hidden="1">'18.03.2020...'!$A$8:$H$125</definedName>
    <definedName name="_xlnm._FilterDatabase" localSheetId="12" hidden="1">'20.02.2020..'!$A$8:$H$121</definedName>
    <definedName name="_xlnm._FilterDatabase" localSheetId="7" hidden="1">'21.01.2020...'!$A$8:$H$117</definedName>
    <definedName name="_xlnm._FilterDatabase" localSheetId="22" hidden="1">'23.04.2020...'!$A$8:$H$127</definedName>
    <definedName name="_xlnm._FilterDatabase" localSheetId="17" hidden="1">'24.03.2020...'!$A$8:$H$125</definedName>
    <definedName name="_xlnm._FilterDatabase" localSheetId="3" hidden="1">'24.12.2019....'!$A$8:$H$101</definedName>
    <definedName name="_xlnm._FilterDatabase" localSheetId="18" hidden="1">'25.03.2020....'!$A$8:$H$125</definedName>
    <definedName name="_xlnm._FilterDatabase" localSheetId="8" hidden="1">'28.01.2020....'!$A$8:$H$119</definedName>
    <definedName name="_xlnm._FilterDatabase" localSheetId="9" hidden="1">'30.01.2020....'!$A$8:$H$119</definedName>
    <definedName name="_xlnm.Print_Area" localSheetId="10">'03.02.2020...'!$A$1:$J$118</definedName>
    <definedName name="_xlnm.Print_Area" localSheetId="13">'04.03.2020...'!$A$1:$J$120</definedName>
    <definedName name="_xlnm.Print_Area" localSheetId="0">'04.11.2019...'!$A$1:$J$99</definedName>
    <definedName name="_xlnm.Print_Area" localSheetId="4">'06.01.2020...'!$A$1:$J$112</definedName>
    <definedName name="_xlnm.Print_Area" localSheetId="19">'06.04.2020...'!$A$1:$J$124</definedName>
    <definedName name="_xlnm.Print_Area" localSheetId="14">'09.03.2020...'!$A$1:$J$122</definedName>
    <definedName name="_xlnm.Print_Area" localSheetId="1">'09.12.2019...'!$A$1:$J$100</definedName>
    <definedName name="_xlnm.Print_Area" localSheetId="5">'10.01.2020...'!$A$1:$J$113</definedName>
    <definedName name="_xlnm.Print_Area" localSheetId="20">'10.04.2020....'!$A$1:$J$125</definedName>
    <definedName name="_xlnm.Print_Area" localSheetId="15">'12.03.2020...'!$A$1:$J$124</definedName>
    <definedName name="_xlnm.Print_Area" localSheetId="6">'15.01.2020...'!$A$1:$J$114</definedName>
    <definedName name="_xlnm.Print_Area" localSheetId="21">'16.04.2020...'!$A$1:$J$125</definedName>
    <definedName name="_xlnm.Print_Area" localSheetId="11">'17.02.2020...'!$A$1:$J$118</definedName>
    <definedName name="_xlnm.Print_Area" localSheetId="2">'17.12.2019...'!$A$1:$J$100</definedName>
    <definedName name="_xlnm.Print_Area" localSheetId="16">'18.03.2020...'!$A$1:$J$123</definedName>
    <definedName name="_xlnm.Print_Area" localSheetId="12">'20.02.2020..'!$A$1:$J$119</definedName>
    <definedName name="_xlnm.Print_Area" localSheetId="7">'21.01.2020...'!$A$1:$J$116</definedName>
    <definedName name="_xlnm.Print_Area" localSheetId="22">'23.04.2020...'!$A$1:$J$125</definedName>
    <definedName name="_xlnm.Print_Area" localSheetId="17">'24.03.2020...'!$A$1:$J$123</definedName>
    <definedName name="_xlnm.Print_Area" localSheetId="3">'24.12.2019....'!$A$1:$J$100</definedName>
    <definedName name="_xlnm.Print_Area" localSheetId="18">'25.03.2020....'!$A$1:$H$125</definedName>
    <definedName name="_xlnm.Print_Area" localSheetId="8">'28.01.2020....'!$A$1:$J$117</definedName>
    <definedName name="_xlnm.Print_Area" localSheetId="9">'30.01.2020....'!$A$1:$J$117</definedName>
  </definedNames>
  <calcPr calcId="162913"/>
</workbook>
</file>

<file path=xl/calcChain.xml><?xml version="1.0" encoding="utf-8"?>
<calcChain xmlns="http://schemas.openxmlformats.org/spreadsheetml/2006/main">
  <c r="J10" i="202" l="1"/>
  <c r="J11" i="202"/>
  <c r="J12" i="202"/>
  <c r="J13" i="202"/>
  <c r="J14" i="202"/>
  <c r="J15" i="202"/>
  <c r="J16" i="202"/>
  <c r="J17" i="202"/>
  <c r="J18" i="202"/>
  <c r="J19" i="202"/>
  <c r="J20" i="202"/>
  <c r="J21" i="202"/>
  <c r="J22" i="202"/>
  <c r="J23" i="202"/>
  <c r="J24" i="202"/>
  <c r="J25" i="202"/>
  <c r="J26" i="202"/>
  <c r="J27" i="202"/>
  <c r="J28" i="202"/>
  <c r="J29" i="202"/>
  <c r="J30" i="202"/>
  <c r="J31" i="202"/>
  <c r="J32" i="202"/>
  <c r="J33" i="202"/>
  <c r="J34" i="202"/>
  <c r="J35" i="202"/>
  <c r="J36" i="202"/>
  <c r="J37" i="202"/>
  <c r="J38" i="202"/>
  <c r="J39" i="202"/>
  <c r="J40" i="202"/>
  <c r="J41" i="202"/>
  <c r="J42" i="202"/>
  <c r="J43" i="202"/>
  <c r="J44" i="202"/>
  <c r="J45" i="202"/>
  <c r="J46" i="202"/>
  <c r="J47" i="202"/>
  <c r="J48" i="202"/>
  <c r="J49" i="202"/>
  <c r="J50" i="202"/>
  <c r="J51" i="202"/>
  <c r="J52" i="202"/>
  <c r="J53" i="202"/>
  <c r="J54" i="202"/>
  <c r="J55" i="202"/>
  <c r="J56" i="202"/>
  <c r="J57" i="202"/>
  <c r="J58" i="202"/>
  <c r="J59" i="202"/>
  <c r="J60" i="202"/>
  <c r="J61" i="202"/>
  <c r="J62" i="202"/>
  <c r="J63" i="202"/>
  <c r="J64" i="202"/>
  <c r="J65" i="202"/>
  <c r="J66" i="202"/>
  <c r="J67" i="202"/>
  <c r="J68" i="202"/>
  <c r="J69" i="202"/>
  <c r="J70" i="202"/>
  <c r="J71" i="202"/>
  <c r="J72" i="202"/>
  <c r="J73" i="202"/>
  <c r="J74" i="202"/>
  <c r="J75" i="202"/>
  <c r="J76" i="202"/>
  <c r="J77" i="202"/>
  <c r="J78" i="202"/>
  <c r="J79" i="202"/>
  <c r="J80" i="202"/>
  <c r="J81" i="202"/>
  <c r="J82" i="202"/>
  <c r="J83" i="202"/>
  <c r="J84" i="202"/>
  <c r="J85" i="202"/>
  <c r="J86" i="202"/>
  <c r="J87" i="202"/>
  <c r="J88" i="202"/>
  <c r="J89" i="202"/>
  <c r="J90" i="202"/>
  <c r="J91" i="202"/>
  <c r="J92" i="202"/>
  <c r="J93" i="202"/>
  <c r="J94" i="202"/>
  <c r="J95" i="202"/>
  <c r="J96" i="202"/>
  <c r="J97" i="202"/>
  <c r="J98" i="202"/>
  <c r="J99" i="202"/>
  <c r="J100" i="202"/>
  <c r="J101" i="202"/>
  <c r="J102" i="202"/>
  <c r="J103" i="202"/>
  <c r="J104" i="202"/>
  <c r="J105" i="202"/>
  <c r="J106" i="202"/>
  <c r="J107" i="202"/>
  <c r="J108" i="202"/>
  <c r="J109" i="202"/>
  <c r="J110" i="202"/>
  <c r="J111" i="202"/>
  <c r="J112" i="202"/>
  <c r="J113" i="202"/>
  <c r="J114" i="202"/>
  <c r="J115" i="202"/>
  <c r="J116" i="202"/>
  <c r="J117" i="202"/>
  <c r="J118" i="202"/>
  <c r="J119" i="202"/>
  <c r="J120" i="202"/>
  <c r="J121" i="202"/>
  <c r="J122" i="202"/>
  <c r="J123" i="202"/>
  <c r="J124" i="202"/>
  <c r="J125" i="202"/>
  <c r="J126" i="202"/>
  <c r="J127" i="202"/>
  <c r="J9" i="202"/>
  <c r="E23" i="202" l="1"/>
  <c r="E19" i="202"/>
  <c r="E125" i="202"/>
  <c r="E124" i="202"/>
  <c r="E119" i="202"/>
  <c r="E118" i="202" s="1"/>
  <c r="E115" i="202"/>
  <c r="E116" i="202" s="1"/>
  <c r="E110" i="202"/>
  <c r="E109" i="202"/>
  <c r="E107" i="202"/>
  <c r="E103" i="202"/>
  <c r="E101" i="202"/>
  <c r="E97" i="202"/>
  <c r="E94" i="202"/>
  <c r="E90" i="202"/>
  <c r="E89" i="202"/>
  <c r="E87" i="202"/>
  <c r="E86" i="202"/>
  <c r="E84" i="202"/>
  <c r="E83" i="202"/>
  <c r="E80" i="202"/>
  <c r="E77" i="202" s="1"/>
  <c r="E76" i="202"/>
  <c r="E73" i="202" s="1"/>
  <c r="E72" i="202"/>
  <c r="E69" i="202"/>
  <c r="E67" i="202"/>
  <c r="E62" i="202"/>
  <c r="E61" i="202"/>
  <c r="E59" i="202"/>
  <c r="E57" i="202"/>
  <c r="E54" i="202"/>
  <c r="E51" i="202"/>
  <c r="E45" i="202"/>
  <c r="E43" i="202"/>
  <c r="E42" i="202"/>
  <c r="E41" i="202"/>
  <c r="E40" i="202"/>
  <c r="E39" i="202"/>
  <c r="E38" i="202"/>
  <c r="E37" i="202"/>
  <c r="E36" i="202"/>
  <c r="E35" i="202"/>
  <c r="E34" i="202"/>
  <c r="E31" i="202"/>
  <c r="E28" i="202"/>
  <c r="E24" i="202"/>
  <c r="E22" i="202"/>
  <c r="E21" i="202"/>
  <c r="E20" i="202"/>
  <c r="E17" i="202"/>
  <c r="E9" i="202" s="1"/>
  <c r="C8" i="202"/>
  <c r="D8" i="202" s="1"/>
  <c r="E8" i="202" s="1"/>
  <c r="F8" i="202" s="1"/>
  <c r="G8" i="202" s="1"/>
  <c r="H8" i="202" s="1"/>
  <c r="E105" i="202" l="1"/>
  <c r="E123" i="202"/>
  <c r="E112" i="202"/>
  <c r="G6" i="202" s="1"/>
  <c r="E22" i="201"/>
  <c r="E38" i="201"/>
  <c r="E72" i="201"/>
  <c r="E125" i="201" l="1"/>
  <c r="E124" i="201"/>
  <c r="E123" i="201" s="1"/>
  <c r="E119" i="201"/>
  <c r="E118" i="201" s="1"/>
  <c r="E115" i="201"/>
  <c r="E116" i="201" s="1"/>
  <c r="E112" i="201" s="1"/>
  <c r="E110" i="201"/>
  <c r="E109" i="201"/>
  <c r="E105" i="201" s="1"/>
  <c r="I107" i="201" s="1"/>
  <c r="E107" i="201"/>
  <c r="E103" i="201"/>
  <c r="E101" i="201"/>
  <c r="E97" i="201" s="1"/>
  <c r="E94" i="201"/>
  <c r="E90" i="201"/>
  <c r="E89" i="201"/>
  <c r="E84" i="201" s="1"/>
  <c r="E87" i="201"/>
  <c r="E86" i="201"/>
  <c r="E83" i="201"/>
  <c r="E80" i="201"/>
  <c r="E77" i="201" s="1"/>
  <c r="E76" i="201"/>
  <c r="E73" i="201" s="1"/>
  <c r="E69" i="201"/>
  <c r="E67" i="201"/>
  <c r="E62" i="201"/>
  <c r="E61" i="201"/>
  <c r="E59" i="201"/>
  <c r="E57" i="201"/>
  <c r="E54" i="201"/>
  <c r="E51" i="201"/>
  <c r="E45" i="201"/>
  <c r="E43" i="201"/>
  <c r="E42" i="201"/>
  <c r="E41" i="201"/>
  <c r="E40" i="201"/>
  <c r="E39" i="201"/>
  <c r="E37" i="201"/>
  <c r="E36" i="201"/>
  <c r="E35" i="201"/>
  <c r="E34" i="201"/>
  <c r="E31" i="201"/>
  <c r="E28" i="201"/>
  <c r="E24" i="201"/>
  <c r="E21" i="201"/>
  <c r="E20" i="201"/>
  <c r="E19" i="201"/>
  <c r="E17" i="201"/>
  <c r="E9" i="201" s="1"/>
  <c r="C8" i="201"/>
  <c r="D8" i="201" s="1"/>
  <c r="E8" i="201" s="1"/>
  <c r="F8" i="201" s="1"/>
  <c r="G8" i="201" s="1"/>
  <c r="H8" i="201" s="1"/>
  <c r="G6" i="201" l="1"/>
  <c r="E21" i="200"/>
  <c r="E51" i="200"/>
  <c r="E19" i="200"/>
  <c r="E125" i="200" l="1"/>
  <c r="E123" i="200" s="1"/>
  <c r="E124" i="200"/>
  <c r="E119" i="200"/>
  <c r="E118" i="200"/>
  <c r="E115" i="200"/>
  <c r="E116" i="200" s="1"/>
  <c r="E112" i="200" s="1"/>
  <c r="E110" i="200"/>
  <c r="E109" i="200"/>
  <c r="E107" i="200"/>
  <c r="E105" i="200" s="1"/>
  <c r="I107" i="200" s="1"/>
  <c r="E103" i="200"/>
  <c r="E101" i="200"/>
  <c r="E97" i="200"/>
  <c r="E94" i="200"/>
  <c r="E90" i="200"/>
  <c r="E89" i="200"/>
  <c r="E87" i="200"/>
  <c r="E86" i="200"/>
  <c r="E83" i="200"/>
  <c r="E80" i="200"/>
  <c r="E77" i="200"/>
  <c r="E76" i="200"/>
  <c r="E73" i="200" s="1"/>
  <c r="E69" i="200"/>
  <c r="E67" i="200"/>
  <c r="E62" i="200"/>
  <c r="E61" i="200"/>
  <c r="E59" i="200"/>
  <c r="E57" i="200"/>
  <c r="E54" i="200"/>
  <c r="E45" i="200"/>
  <c r="E43" i="200"/>
  <c r="E42" i="200"/>
  <c r="E41" i="200"/>
  <c r="E40" i="200"/>
  <c r="E39" i="200"/>
  <c r="E37" i="200"/>
  <c r="E36" i="200"/>
  <c r="E35" i="200"/>
  <c r="E34" i="200"/>
  <c r="E31" i="200"/>
  <c r="E28" i="200"/>
  <c r="E24" i="200"/>
  <c r="E22" i="200"/>
  <c r="E20" i="200"/>
  <c r="E17" i="200"/>
  <c r="C8" i="200"/>
  <c r="D8" i="200" s="1"/>
  <c r="E8" i="200" s="1"/>
  <c r="F8" i="200" s="1"/>
  <c r="G8" i="200" s="1"/>
  <c r="H8" i="200" s="1"/>
  <c r="E84" i="200" l="1"/>
  <c r="E9" i="200"/>
  <c r="G6" i="200" s="1"/>
  <c r="E32" i="198"/>
  <c r="E124" i="199"/>
  <c r="E122" i="199" s="1"/>
  <c r="E123" i="199"/>
  <c r="E118" i="199"/>
  <c r="E117" i="199" s="1"/>
  <c r="E114" i="199"/>
  <c r="E115" i="199" s="1"/>
  <c r="E111" i="199" s="1"/>
  <c r="E109" i="199"/>
  <c r="E108" i="199"/>
  <c r="E104" i="199" s="1"/>
  <c r="I106" i="199" s="1"/>
  <c r="E106" i="199"/>
  <c r="E102" i="199"/>
  <c r="E100" i="199"/>
  <c r="E96" i="199" s="1"/>
  <c r="E93" i="199"/>
  <c r="E89" i="199"/>
  <c r="E88" i="199"/>
  <c r="E86" i="199"/>
  <c r="E85" i="199"/>
  <c r="E83" i="199" s="1"/>
  <c r="E82" i="199"/>
  <c r="E79" i="199"/>
  <c r="E76" i="199" s="1"/>
  <c r="E75" i="199"/>
  <c r="E72" i="199" s="1"/>
  <c r="E69" i="199"/>
  <c r="E67" i="199"/>
  <c r="E62" i="199"/>
  <c r="E61" i="199"/>
  <c r="E59" i="199"/>
  <c r="E57" i="199"/>
  <c r="E54" i="199"/>
  <c r="E51" i="199"/>
  <c r="E45" i="199"/>
  <c r="E43" i="199"/>
  <c r="E42" i="199"/>
  <c r="E41" i="199"/>
  <c r="E40" i="199"/>
  <c r="E39" i="199"/>
  <c r="E37" i="199"/>
  <c r="E36" i="199"/>
  <c r="E35" i="199"/>
  <c r="E34" i="199"/>
  <c r="E31" i="199"/>
  <c r="E28" i="199"/>
  <c r="E24" i="199"/>
  <c r="E22" i="199"/>
  <c r="E21" i="199"/>
  <c r="E20" i="199"/>
  <c r="E19" i="199"/>
  <c r="E17" i="199"/>
  <c r="C8" i="199"/>
  <c r="D8" i="199" s="1"/>
  <c r="E8" i="199" s="1"/>
  <c r="F8" i="199" s="1"/>
  <c r="G8" i="199" s="1"/>
  <c r="H8" i="199" s="1"/>
  <c r="E9" i="199" l="1"/>
  <c r="G6" i="199" s="1"/>
  <c r="E123" i="198"/>
  <c r="E122" i="198"/>
  <c r="E117" i="198"/>
  <c r="E116" i="198" s="1"/>
  <c r="E113" i="198"/>
  <c r="E114" i="198" s="1"/>
  <c r="E110" i="198" s="1"/>
  <c r="E108" i="198"/>
  <c r="E107" i="198"/>
  <c r="E105" i="198"/>
  <c r="E103" i="198" s="1"/>
  <c r="I105" i="198" s="1"/>
  <c r="E101" i="198"/>
  <c r="E99" i="198"/>
  <c r="E95" i="198"/>
  <c r="E92" i="198"/>
  <c r="E88" i="198"/>
  <c r="E87" i="198"/>
  <c r="E85" i="198"/>
  <c r="E84" i="198"/>
  <c r="E81" i="198"/>
  <c r="E78" i="198"/>
  <c r="E74" i="198"/>
  <c r="E71" i="198" s="1"/>
  <c r="E68" i="198"/>
  <c r="E66" i="198"/>
  <c r="E61" i="198"/>
  <c r="E60" i="198"/>
  <c r="E58" i="198"/>
  <c r="E56" i="198"/>
  <c r="E53" i="198"/>
  <c r="E50" i="198"/>
  <c r="E44" i="198"/>
  <c r="E42" i="198"/>
  <c r="E41" i="198"/>
  <c r="E40" i="198"/>
  <c r="E39" i="198"/>
  <c r="E38" i="198"/>
  <c r="E36" i="198"/>
  <c r="E35" i="198"/>
  <c r="E34" i="198"/>
  <c r="E33" i="198"/>
  <c r="E31" i="198"/>
  <c r="E28" i="198"/>
  <c r="E24" i="198"/>
  <c r="E22" i="198"/>
  <c r="E21" i="198"/>
  <c r="E20" i="198"/>
  <c r="E19" i="198"/>
  <c r="E17" i="198"/>
  <c r="E9" i="198" s="1"/>
  <c r="C8" i="198"/>
  <c r="D8" i="198" s="1"/>
  <c r="E8" i="198" s="1"/>
  <c r="F8" i="198" s="1"/>
  <c r="G8" i="198" s="1"/>
  <c r="H8" i="198" s="1"/>
  <c r="E121" i="198" l="1"/>
  <c r="E82" i="198"/>
  <c r="E75" i="198"/>
  <c r="G6" i="198" s="1"/>
  <c r="E19" i="197"/>
  <c r="E50" i="197" l="1"/>
  <c r="E123" i="197"/>
  <c r="E122" i="197"/>
  <c r="E117" i="197"/>
  <c r="E116" i="197" s="1"/>
  <c r="E113" i="197"/>
  <c r="E114" i="197" s="1"/>
  <c r="E110" i="197" s="1"/>
  <c r="E108" i="197"/>
  <c r="E107" i="197"/>
  <c r="E105" i="197"/>
  <c r="E103" i="197" s="1"/>
  <c r="I105" i="197" s="1"/>
  <c r="E101" i="197"/>
  <c r="E99" i="197"/>
  <c r="E95" i="197"/>
  <c r="E92" i="197"/>
  <c r="E88" i="197"/>
  <c r="E87" i="197"/>
  <c r="E85" i="197"/>
  <c r="E84" i="197"/>
  <c r="E82" i="197" s="1"/>
  <c r="E81" i="197"/>
  <c r="E78" i="197"/>
  <c r="E74" i="197"/>
  <c r="E71" i="197"/>
  <c r="E68" i="197"/>
  <c r="E66" i="197"/>
  <c r="E61" i="197"/>
  <c r="E60" i="197"/>
  <c r="E58" i="197"/>
  <c r="E56" i="197"/>
  <c r="E53" i="197"/>
  <c r="E44" i="197"/>
  <c r="E42" i="197"/>
  <c r="E41" i="197"/>
  <c r="E40" i="197"/>
  <c r="E39" i="197"/>
  <c r="E38" i="197"/>
  <c r="E36" i="197"/>
  <c r="E35" i="197"/>
  <c r="E34" i="197"/>
  <c r="E33" i="197"/>
  <c r="E32" i="197"/>
  <c r="E31" i="197"/>
  <c r="E28" i="197"/>
  <c r="E24" i="197"/>
  <c r="E22" i="197"/>
  <c r="E21" i="197"/>
  <c r="E20" i="197"/>
  <c r="E17" i="197"/>
  <c r="C8" i="197"/>
  <c r="D8" i="197" s="1"/>
  <c r="E8" i="197" s="1"/>
  <c r="F8" i="197" s="1"/>
  <c r="G8" i="197" s="1"/>
  <c r="H8" i="197" s="1"/>
  <c r="E121" i="197" l="1"/>
  <c r="E75" i="197"/>
  <c r="E9" i="197"/>
  <c r="G6" i="197" s="1"/>
  <c r="E31" i="196"/>
  <c r="E19" i="196"/>
  <c r="E123" i="196"/>
  <c r="E122" i="196"/>
  <c r="E117" i="196"/>
  <c r="E116" i="196" s="1"/>
  <c r="E114" i="196"/>
  <c r="E110" i="196" s="1"/>
  <c r="E113" i="196"/>
  <c r="E108" i="196"/>
  <c r="E107" i="196"/>
  <c r="E105" i="196"/>
  <c r="E101" i="196"/>
  <c r="E99" i="196"/>
  <c r="E95" i="196" s="1"/>
  <c r="E92" i="196"/>
  <c r="E88" i="196"/>
  <c r="E87" i="196"/>
  <c r="E85" i="196"/>
  <c r="E84" i="196"/>
  <c r="E82" i="196" s="1"/>
  <c r="E81" i="196"/>
  <c r="E78" i="196"/>
  <c r="E75" i="196"/>
  <c r="E74" i="196"/>
  <c r="E71" i="196" s="1"/>
  <c r="E68" i="196"/>
  <c r="E66" i="196"/>
  <c r="E61" i="196"/>
  <c r="E60" i="196"/>
  <c r="E58" i="196"/>
  <c r="E56" i="196"/>
  <c r="E53" i="196"/>
  <c r="E50" i="196"/>
  <c r="E44" i="196"/>
  <c r="E42" i="196"/>
  <c r="E41" i="196"/>
  <c r="E40" i="196"/>
  <c r="E39" i="196"/>
  <c r="E38" i="196"/>
  <c r="E36" i="196"/>
  <c r="E35" i="196"/>
  <c r="E34" i="196"/>
  <c r="E33" i="196"/>
  <c r="E32" i="196"/>
  <c r="E28" i="196"/>
  <c r="E24" i="196"/>
  <c r="E22" i="196"/>
  <c r="E21" i="196"/>
  <c r="E20" i="196"/>
  <c r="E17" i="196"/>
  <c r="C8" i="196"/>
  <c r="D8" i="196" s="1"/>
  <c r="E8" i="196" s="1"/>
  <c r="F8" i="196" s="1"/>
  <c r="G8" i="196" s="1"/>
  <c r="H8" i="196" s="1"/>
  <c r="E9" i="196" l="1"/>
  <c r="E121" i="196"/>
  <c r="E103" i="196"/>
  <c r="I105" i="196" s="1"/>
  <c r="G6" i="196" l="1"/>
  <c r="E25" i="195" l="1"/>
  <c r="E43" i="195" l="1"/>
  <c r="E22" i="195"/>
  <c r="E67" i="195"/>
  <c r="E51" i="195"/>
  <c r="E17" i="195"/>
  <c r="E20" i="195"/>
  <c r="E33" i="195"/>
  <c r="E54" i="195"/>
  <c r="E39" i="195"/>
  <c r="E19" i="195"/>
  <c r="E57" i="195"/>
  <c r="E45" i="195"/>
  <c r="E41" i="195"/>
  <c r="E40" i="195"/>
  <c r="E36" i="195"/>
  <c r="E37" i="195"/>
  <c r="E42" i="195" l="1"/>
  <c r="E61" i="195" l="1"/>
  <c r="E32" i="195"/>
  <c r="E21" i="195"/>
  <c r="E79" i="195" l="1"/>
  <c r="E124" i="195" l="1"/>
  <c r="E123" i="195"/>
  <c r="E122" i="195" s="1"/>
  <c r="E118" i="195"/>
  <c r="E117" i="195"/>
  <c r="E114" i="195"/>
  <c r="E115" i="195" s="1"/>
  <c r="E111" i="195" s="1"/>
  <c r="E109" i="195"/>
  <c r="E108" i="195"/>
  <c r="E104" i="195" s="1"/>
  <c r="I106" i="195" s="1"/>
  <c r="E106" i="195"/>
  <c r="E102" i="195"/>
  <c r="E100" i="195"/>
  <c r="E96" i="195"/>
  <c r="E93" i="195"/>
  <c r="E89" i="195"/>
  <c r="E88" i="195"/>
  <c r="E86" i="195"/>
  <c r="E83" i="195" s="1"/>
  <c r="E85" i="195"/>
  <c r="E82" i="195"/>
  <c r="E76" i="195"/>
  <c r="E75" i="195"/>
  <c r="E72" i="195" s="1"/>
  <c r="E69" i="195"/>
  <c r="E62" i="195"/>
  <c r="E59" i="195"/>
  <c r="E35" i="195"/>
  <c r="E34" i="195"/>
  <c r="E29" i="195"/>
  <c r="E24" i="195"/>
  <c r="E9" i="195" s="1"/>
  <c r="C8" i="195"/>
  <c r="D8" i="195" s="1"/>
  <c r="E8" i="195" s="1"/>
  <c r="F8" i="195" s="1"/>
  <c r="G8" i="195" s="1"/>
  <c r="H8" i="195" s="1"/>
  <c r="G6" i="195" l="1"/>
  <c r="E122" i="194"/>
  <c r="E121" i="194"/>
  <c r="E116" i="194"/>
  <c r="E115" i="194"/>
  <c r="E113" i="194"/>
  <c r="E109" i="194" s="1"/>
  <c r="E112" i="194"/>
  <c r="E107" i="194"/>
  <c r="E106" i="194"/>
  <c r="E102" i="194" s="1"/>
  <c r="I104" i="194" s="1"/>
  <c r="E104" i="194"/>
  <c r="E100" i="194"/>
  <c r="E98" i="194"/>
  <c r="E94" i="194"/>
  <c r="E91" i="194"/>
  <c r="E87" i="194"/>
  <c r="E86" i="194"/>
  <c r="E84" i="194"/>
  <c r="E83" i="194"/>
  <c r="E81" i="194" s="1"/>
  <c r="E80" i="194"/>
  <c r="E78" i="194"/>
  <c r="E75" i="194"/>
  <c r="E74" i="194"/>
  <c r="E71" i="194" s="1"/>
  <c r="E68" i="194"/>
  <c r="E61" i="194"/>
  <c r="E58" i="194"/>
  <c r="E53" i="194"/>
  <c r="E34" i="194"/>
  <c r="E33" i="194"/>
  <c r="E31" i="194"/>
  <c r="E28" i="194"/>
  <c r="E23" i="194"/>
  <c r="E20" i="194"/>
  <c r="E9" i="194"/>
  <c r="C8" i="194"/>
  <c r="D8" i="194" s="1"/>
  <c r="E8" i="194" s="1"/>
  <c r="F8" i="194" s="1"/>
  <c r="G8" i="194" s="1"/>
  <c r="H8" i="194" s="1"/>
  <c r="E120" i="194" l="1"/>
  <c r="G6" i="194"/>
  <c r="E18" i="193"/>
  <c r="E21" i="193" l="1"/>
  <c r="E26" i="193" l="1"/>
  <c r="E120" i="193"/>
  <c r="E118" i="193" s="1"/>
  <c r="E119" i="193"/>
  <c r="E114" i="193"/>
  <c r="E113" i="193" s="1"/>
  <c r="E110" i="193"/>
  <c r="E111" i="193" s="1"/>
  <c r="E107" i="193" s="1"/>
  <c r="E105" i="193"/>
  <c r="E104" i="193"/>
  <c r="E102" i="193"/>
  <c r="E100" i="193"/>
  <c r="I102" i="193" s="1"/>
  <c r="E98" i="193"/>
  <c r="E96" i="193"/>
  <c r="E92" i="193" s="1"/>
  <c r="E89" i="193"/>
  <c r="E85" i="193"/>
  <c r="E84" i="193"/>
  <c r="E82" i="193"/>
  <c r="E81" i="193"/>
  <c r="E79" i="193" s="1"/>
  <c r="E78" i="193"/>
  <c r="E76" i="193"/>
  <c r="E73" i="193" s="1"/>
  <c r="E72" i="193"/>
  <c r="E69" i="193" s="1"/>
  <c r="E66" i="193"/>
  <c r="E59" i="193"/>
  <c r="E56" i="193"/>
  <c r="E51" i="193"/>
  <c r="E32" i="193"/>
  <c r="E31" i="193"/>
  <c r="E29" i="193"/>
  <c r="C8" i="193"/>
  <c r="D8" i="193" s="1"/>
  <c r="E8" i="193" s="1"/>
  <c r="F8" i="193" s="1"/>
  <c r="G8" i="193" s="1"/>
  <c r="H8" i="193" s="1"/>
  <c r="E9" i="193" l="1"/>
  <c r="G6" i="193" s="1"/>
  <c r="E119" i="192" l="1"/>
  <c r="E118" i="192"/>
  <c r="E117" i="192" s="1"/>
  <c r="E113" i="192"/>
  <c r="E112" i="192" s="1"/>
  <c r="E109" i="192"/>
  <c r="E104" i="192"/>
  <c r="E103" i="192"/>
  <c r="E99" i="192" s="1"/>
  <c r="I101" i="192" s="1"/>
  <c r="E101" i="192"/>
  <c r="E97" i="192"/>
  <c r="E95" i="192"/>
  <c r="E91" i="192" s="1"/>
  <c r="E88" i="192"/>
  <c r="E84" i="192"/>
  <c r="E83" i="192"/>
  <c r="E81" i="192"/>
  <c r="E80" i="192"/>
  <c r="E77" i="192"/>
  <c r="E75" i="192"/>
  <c r="E71" i="192"/>
  <c r="E68" i="192"/>
  <c r="E65" i="192"/>
  <c r="E58" i="192"/>
  <c r="E55" i="192"/>
  <c r="E50" i="192"/>
  <c r="E32" i="192"/>
  <c r="E31" i="192"/>
  <c r="E29" i="192"/>
  <c r="E21" i="192"/>
  <c r="E9" i="192" s="1"/>
  <c r="C8" i="192"/>
  <c r="D8" i="192" s="1"/>
  <c r="E8" i="192" s="1"/>
  <c r="F8" i="192" s="1"/>
  <c r="G8" i="192" s="1"/>
  <c r="H8" i="192" s="1"/>
  <c r="E78" i="192" l="1"/>
  <c r="E72" i="192"/>
  <c r="E110" i="192"/>
  <c r="E106" i="192" s="1"/>
  <c r="G6" i="192" s="1"/>
  <c r="E21" i="191"/>
  <c r="E118" i="191"/>
  <c r="E117" i="191"/>
  <c r="E116" i="191" s="1"/>
  <c r="E112" i="191"/>
  <c r="E111" i="191" s="1"/>
  <c r="E108" i="191"/>
  <c r="E109" i="191" s="1"/>
  <c r="E105" i="191" s="1"/>
  <c r="E103" i="191"/>
  <c r="E102" i="191"/>
  <c r="E98" i="191" s="1"/>
  <c r="I100" i="191" s="1"/>
  <c r="E100" i="191"/>
  <c r="E96" i="191"/>
  <c r="E94" i="191"/>
  <c r="E90" i="191" s="1"/>
  <c r="E87" i="191"/>
  <c r="E83" i="191"/>
  <c r="E82" i="191"/>
  <c r="E77" i="191" s="1"/>
  <c r="E80" i="191"/>
  <c r="E79" i="191"/>
  <c r="E76" i="191"/>
  <c r="E74" i="191"/>
  <c r="E71" i="191" s="1"/>
  <c r="E70" i="191"/>
  <c r="E67" i="191" s="1"/>
  <c r="E64" i="191"/>
  <c r="E58" i="191"/>
  <c r="E55" i="191"/>
  <c r="E50" i="191"/>
  <c r="E32" i="191"/>
  <c r="E31" i="191"/>
  <c r="E29" i="191"/>
  <c r="C8" i="191"/>
  <c r="D8" i="191" s="1"/>
  <c r="E8" i="191" s="1"/>
  <c r="F8" i="191" s="1"/>
  <c r="G8" i="191" s="1"/>
  <c r="H8" i="191" s="1"/>
  <c r="E21" i="190"/>
  <c r="E9" i="191" l="1"/>
  <c r="G6" i="191" s="1"/>
  <c r="E118" i="190"/>
  <c r="E117" i="190"/>
  <c r="E112" i="190"/>
  <c r="E111" i="190"/>
  <c r="E109" i="190"/>
  <c r="E108" i="190"/>
  <c r="E103" i="190"/>
  <c r="E102" i="190"/>
  <c r="E98" i="190" s="1"/>
  <c r="I100" i="190" s="1"/>
  <c r="E100" i="190"/>
  <c r="E96" i="190"/>
  <c r="E94" i="190"/>
  <c r="E90" i="190"/>
  <c r="E87" i="190"/>
  <c r="E83" i="190"/>
  <c r="E82" i="190"/>
  <c r="E80" i="190"/>
  <c r="E79" i="190"/>
  <c r="E77" i="190" s="1"/>
  <c r="E76" i="190"/>
  <c r="E74" i="190"/>
  <c r="E71" i="190" s="1"/>
  <c r="E70" i="190"/>
  <c r="E67" i="190" s="1"/>
  <c r="E64" i="190"/>
  <c r="E58" i="190"/>
  <c r="E55" i="190"/>
  <c r="E50" i="190"/>
  <c r="E32" i="190"/>
  <c r="E31" i="190"/>
  <c r="E29" i="190"/>
  <c r="C8" i="190"/>
  <c r="D8" i="190" s="1"/>
  <c r="E8" i="190" s="1"/>
  <c r="F8" i="190" s="1"/>
  <c r="G8" i="190" s="1"/>
  <c r="H8" i="190" s="1"/>
  <c r="E105" i="190" l="1"/>
  <c r="E116" i="190"/>
  <c r="E9" i="190"/>
  <c r="G6" i="190" s="1"/>
  <c r="E117" i="189"/>
  <c r="E116" i="189"/>
  <c r="E115" i="189"/>
  <c r="E111" i="189"/>
  <c r="E110" i="189" s="1"/>
  <c r="E107" i="189"/>
  <c r="E102" i="189"/>
  <c r="E101" i="189"/>
  <c r="E97" i="189" s="1"/>
  <c r="I99" i="189" s="1"/>
  <c r="E99" i="189"/>
  <c r="E95" i="189"/>
  <c r="E93" i="189"/>
  <c r="E89" i="189" s="1"/>
  <c r="E86" i="189"/>
  <c r="E82" i="189"/>
  <c r="E81" i="189"/>
  <c r="E79" i="189"/>
  <c r="E78" i="189"/>
  <c r="E75" i="189"/>
  <c r="E73" i="189"/>
  <c r="E69" i="189"/>
  <c r="E66" i="189" s="1"/>
  <c r="E63" i="189"/>
  <c r="E57" i="189"/>
  <c r="E54" i="189"/>
  <c r="E49" i="189"/>
  <c r="E31" i="189"/>
  <c r="E30" i="189"/>
  <c r="E28" i="189"/>
  <c r="E9" i="189"/>
  <c r="C8" i="189"/>
  <c r="D8" i="189" s="1"/>
  <c r="E8" i="189" s="1"/>
  <c r="F8" i="189" s="1"/>
  <c r="G8" i="189" s="1"/>
  <c r="H8" i="189" s="1"/>
  <c r="E76" i="189" l="1"/>
  <c r="E70" i="189"/>
  <c r="E108" i="189"/>
  <c r="E104" i="189" s="1"/>
  <c r="G6" i="189" s="1"/>
  <c r="E28" i="188"/>
  <c r="E117" i="188" l="1"/>
  <c r="E116" i="188"/>
  <c r="E115" i="188" s="1"/>
  <c r="E111" i="188"/>
  <c r="E110" i="188"/>
  <c r="E107" i="188"/>
  <c r="E108" i="188" s="1"/>
  <c r="E104" i="188" s="1"/>
  <c r="E102" i="188"/>
  <c r="E101" i="188"/>
  <c r="E97" i="188" s="1"/>
  <c r="I99" i="188" s="1"/>
  <c r="E99" i="188"/>
  <c r="E95" i="188"/>
  <c r="E93" i="188"/>
  <c r="E89" i="188"/>
  <c r="E86" i="188"/>
  <c r="E82" i="188"/>
  <c r="E81" i="188"/>
  <c r="E79" i="188"/>
  <c r="E76" i="188" s="1"/>
  <c r="E78" i="188"/>
  <c r="E75" i="188"/>
  <c r="E73" i="188"/>
  <c r="E70" i="188" s="1"/>
  <c r="E69" i="188"/>
  <c r="E66" i="188" s="1"/>
  <c r="E63" i="188"/>
  <c r="E57" i="188"/>
  <c r="E54" i="188"/>
  <c r="E49" i="188"/>
  <c r="E31" i="188"/>
  <c r="E30" i="188"/>
  <c r="E9" i="188" s="1"/>
  <c r="G6" i="188" s="1"/>
  <c r="C8" i="188"/>
  <c r="D8" i="188" s="1"/>
  <c r="E8" i="188" s="1"/>
  <c r="F8" i="188" s="1"/>
  <c r="G8" i="188" s="1"/>
  <c r="H8" i="188" s="1"/>
  <c r="E27" i="187"/>
  <c r="E116" i="187" l="1"/>
  <c r="E115" i="187"/>
  <c r="E110" i="187"/>
  <c r="E109" i="187"/>
  <c r="E106" i="187"/>
  <c r="E107" i="187" s="1"/>
  <c r="E103" i="187" s="1"/>
  <c r="E101" i="187"/>
  <c r="E100" i="187"/>
  <c r="E98" i="187"/>
  <c r="E96" i="187" s="1"/>
  <c r="I98" i="187" s="1"/>
  <c r="E94" i="187"/>
  <c r="E92" i="187"/>
  <c r="E88" i="187"/>
  <c r="E85" i="187"/>
  <c r="E81" i="187"/>
  <c r="E80" i="187"/>
  <c r="E78" i="187"/>
  <c r="E77" i="187"/>
  <c r="E74" i="187"/>
  <c r="E72" i="187"/>
  <c r="E68" i="187"/>
  <c r="E65" i="187" s="1"/>
  <c r="E62" i="187"/>
  <c r="E56" i="187"/>
  <c r="E53" i="187"/>
  <c r="E48" i="187"/>
  <c r="E30" i="187"/>
  <c r="E29" i="187"/>
  <c r="C8" i="187"/>
  <c r="D8" i="187" s="1"/>
  <c r="E8" i="187" s="1"/>
  <c r="F8" i="187" s="1"/>
  <c r="G8" i="187" s="1"/>
  <c r="H8" i="187" s="1"/>
  <c r="E69" i="187" l="1"/>
  <c r="E75" i="187"/>
  <c r="E114" i="187"/>
  <c r="E9" i="187"/>
  <c r="G6" i="187" s="1"/>
  <c r="E29" i="186"/>
  <c r="E114" i="186"/>
  <c r="E113" i="186"/>
  <c r="E112" i="186"/>
  <c r="E108" i="186"/>
  <c r="E107" i="186" s="1"/>
  <c r="E104" i="186"/>
  <c r="E99" i="186"/>
  <c r="E98" i="186"/>
  <c r="E94" i="186" s="1"/>
  <c r="I96" i="186" s="1"/>
  <c r="E96" i="186"/>
  <c r="E92" i="186"/>
  <c r="E90" i="186"/>
  <c r="E86" i="186" s="1"/>
  <c r="E83" i="186"/>
  <c r="E79" i="186"/>
  <c r="E78" i="186"/>
  <c r="E76" i="186"/>
  <c r="E75" i="186"/>
  <c r="E72" i="186"/>
  <c r="E70" i="186"/>
  <c r="E66" i="186"/>
  <c r="E63" i="186" s="1"/>
  <c r="E60" i="186"/>
  <c r="E54" i="186"/>
  <c r="E51" i="186"/>
  <c r="E46" i="186"/>
  <c r="E28" i="186"/>
  <c r="C8" i="186"/>
  <c r="D8" i="186" s="1"/>
  <c r="E8" i="186" s="1"/>
  <c r="F8" i="186" s="1"/>
  <c r="G8" i="186" s="1"/>
  <c r="H8" i="186" s="1"/>
  <c r="E73" i="186" l="1"/>
  <c r="E67" i="186"/>
  <c r="E9" i="186"/>
  <c r="E105" i="186"/>
  <c r="E101" i="186" s="1"/>
  <c r="G6" i="186" s="1"/>
  <c r="E28" i="185"/>
  <c r="E113" i="185"/>
  <c r="E112" i="185"/>
  <c r="E111" i="185" s="1"/>
  <c r="E107" i="185"/>
  <c r="E106" i="185" s="1"/>
  <c r="E103" i="185"/>
  <c r="E104" i="185" s="1"/>
  <c r="E100" i="185" s="1"/>
  <c r="E98" i="185"/>
  <c r="E97" i="185"/>
  <c r="E95" i="185"/>
  <c r="E93" i="185" s="1"/>
  <c r="I95" i="185" s="1"/>
  <c r="E91" i="185"/>
  <c r="E89" i="185"/>
  <c r="E85" i="185" s="1"/>
  <c r="E82" i="185"/>
  <c r="E78" i="185"/>
  <c r="E77" i="185"/>
  <c r="E75" i="185"/>
  <c r="E74" i="185"/>
  <c r="E71" i="185"/>
  <c r="E69" i="185"/>
  <c r="E66" i="185" s="1"/>
  <c r="E65" i="185"/>
  <c r="E62" i="185"/>
  <c r="E59" i="185"/>
  <c r="E53" i="185"/>
  <c r="E50" i="185"/>
  <c r="E45" i="185"/>
  <c r="E9" i="185" s="1"/>
  <c r="C8" i="185"/>
  <c r="D8" i="185" s="1"/>
  <c r="E8" i="185" s="1"/>
  <c r="F8" i="185" s="1"/>
  <c r="G8" i="185" s="1"/>
  <c r="H8" i="185" s="1"/>
  <c r="E72" i="185" l="1"/>
  <c r="G6" i="185" s="1"/>
  <c r="E106" i="184"/>
  <c r="E105" i="184" s="1"/>
  <c r="E70" i="184" l="1"/>
  <c r="E102" i="184"/>
  <c r="E96" i="184"/>
  <c r="E94" i="184"/>
  <c r="E97" i="184"/>
  <c r="E88" i="184"/>
  <c r="E84" i="184"/>
  <c r="E103" i="184" l="1"/>
  <c r="E99" i="184" s="1"/>
  <c r="E81" i="184"/>
  <c r="E77" i="184"/>
  <c r="E73" i="184"/>
  <c r="E76" i="184"/>
  <c r="E68" i="184"/>
  <c r="E65" i="184" s="1"/>
  <c r="E64" i="184"/>
  <c r="E61" i="184" s="1"/>
  <c r="E112" i="184" l="1"/>
  <c r="E111" i="184"/>
  <c r="E110" i="184" s="1"/>
  <c r="E92" i="184"/>
  <c r="I94" i="184" s="1"/>
  <c r="E90" i="184"/>
  <c r="E74" i="184"/>
  <c r="E71" i="184" s="1"/>
  <c r="E58" i="184"/>
  <c r="E52" i="184"/>
  <c r="E49" i="184"/>
  <c r="E44" i="184"/>
  <c r="E27" i="184"/>
  <c r="E9" i="184"/>
  <c r="C8" i="184"/>
  <c r="D8" i="184" s="1"/>
  <c r="E8" i="184" s="1"/>
  <c r="F8" i="184" s="1"/>
  <c r="G8" i="184" s="1"/>
  <c r="H8" i="184" s="1"/>
  <c r="G6" i="184" l="1"/>
  <c r="E70" i="183" l="1"/>
  <c r="E71" i="183"/>
  <c r="E100" i="183"/>
  <c r="E99" i="183"/>
  <c r="E98" i="183" s="1"/>
  <c r="E96" i="183"/>
  <c r="E95" i="183"/>
  <c r="E94" i="183"/>
  <c r="E91" i="183" s="1"/>
  <c r="E89" i="183"/>
  <c r="E87" i="183"/>
  <c r="E85" i="183" s="1"/>
  <c r="E83" i="183"/>
  <c r="E78" i="183"/>
  <c r="E76" i="183"/>
  <c r="E73" i="183"/>
  <c r="E68" i="183"/>
  <c r="E64" i="183"/>
  <c r="E63" i="183"/>
  <c r="E61" i="183"/>
  <c r="E58" i="183"/>
  <c r="E52" i="183"/>
  <c r="E49" i="183"/>
  <c r="E44" i="183"/>
  <c r="E27" i="183"/>
  <c r="C8" i="183"/>
  <c r="D8" i="183" s="1"/>
  <c r="E8" i="183" s="1"/>
  <c r="F8" i="183" s="1"/>
  <c r="G8" i="183" s="1"/>
  <c r="H8" i="183" s="1"/>
  <c r="E9" i="183" l="1"/>
  <c r="G6" i="183" s="1"/>
  <c r="E100" i="182"/>
  <c r="E99" i="182"/>
  <c r="E98" i="182" s="1"/>
  <c r="E96" i="182"/>
  <c r="E94" i="182"/>
  <c r="E91" i="182" s="1"/>
  <c r="E49" i="182"/>
  <c r="E27" i="182"/>
  <c r="E95" i="182"/>
  <c r="E89" i="182"/>
  <c r="E87" i="182"/>
  <c r="E85" i="182" s="1"/>
  <c r="I88" i="182" s="1"/>
  <c r="E83" i="182"/>
  <c r="E78" i="182"/>
  <c r="E76" i="182"/>
  <c r="E73" i="182"/>
  <c r="E68" i="182"/>
  <c r="E64" i="182"/>
  <c r="E63" i="182"/>
  <c r="E61" i="182"/>
  <c r="E58" i="182"/>
  <c r="E52" i="182"/>
  <c r="E44" i="182"/>
  <c r="C8" i="182"/>
  <c r="D8" i="182" s="1"/>
  <c r="E8" i="182" s="1"/>
  <c r="F8" i="182" s="1"/>
  <c r="G8" i="182" s="1"/>
  <c r="H8" i="182" s="1"/>
  <c r="E9" i="182" l="1"/>
  <c r="G6" i="182"/>
  <c r="E44" i="181"/>
  <c r="E58" i="181" l="1"/>
  <c r="E98" i="181" l="1"/>
  <c r="E96" i="181"/>
  <c r="E95" i="181"/>
  <c r="E91" i="181"/>
  <c r="E89" i="181"/>
  <c r="E87" i="181"/>
  <c r="E85" i="181" s="1"/>
  <c r="I88" i="181" s="1"/>
  <c r="E83" i="181"/>
  <c r="E78" i="181"/>
  <c r="E76" i="181"/>
  <c r="E73" i="181"/>
  <c r="E68" i="181"/>
  <c r="E64" i="181"/>
  <c r="E63" i="181" s="1"/>
  <c r="E61" i="181"/>
  <c r="E52" i="181"/>
  <c r="E9" i="181" s="1"/>
  <c r="C8" i="181"/>
  <c r="D8" i="181" s="1"/>
  <c r="E8" i="181" s="1"/>
  <c r="F8" i="181" s="1"/>
  <c r="G8" i="181" s="1"/>
  <c r="H8" i="181" s="1"/>
  <c r="G6" i="181" l="1"/>
  <c r="E95" i="180"/>
  <c r="E94" i="180" s="1"/>
  <c r="E86" i="180"/>
  <c r="E63" i="180"/>
  <c r="E62" i="180" s="1"/>
  <c r="E51" i="180" l="1"/>
  <c r="E88" i="180" l="1"/>
  <c r="E84" i="180" l="1"/>
  <c r="I87" i="180" s="1"/>
  <c r="E97" i="180" l="1"/>
  <c r="E82" i="180" l="1"/>
  <c r="E75" i="180"/>
  <c r="E67" i="180"/>
  <c r="E60" i="180"/>
  <c r="E72" i="180"/>
  <c r="E77" i="180"/>
  <c r="E90" i="180"/>
  <c r="C8" i="180"/>
  <c r="D8" i="180" s="1"/>
  <c r="E8" i="180" s="1"/>
  <c r="F8" i="180" s="1"/>
  <c r="G8" i="180" s="1"/>
  <c r="H8" i="180" s="1"/>
  <c r="E9" i="180" l="1"/>
  <c r="G6" i="180" s="1"/>
</calcChain>
</file>

<file path=xl/sharedStrings.xml><?xml version="1.0" encoding="utf-8"?>
<sst xmlns="http://schemas.openxmlformats.org/spreadsheetml/2006/main" count="12043" uniqueCount="179">
  <si>
    <t>N</t>
  </si>
  <si>
    <t>შესყიდვის საშუალება</t>
  </si>
  <si>
    <t>დანაყოფის კოდი</t>
  </si>
  <si>
    <t>შენიშვნა</t>
  </si>
  <si>
    <t>სახელმწიფო შესყიდვების წლიური გეგმის ფორმა</t>
  </si>
  <si>
    <t>დანაყოფის დასახელება</t>
  </si>
  <si>
    <t>სავარაუდო ღირებულება</t>
  </si>
  <si>
    <t>33100000</t>
  </si>
  <si>
    <t xml:space="preserve">სამედიცინო მოწყობილობები    </t>
  </si>
  <si>
    <t xml:space="preserve">ფარმაცევტული პროდუქტები </t>
  </si>
  <si>
    <t>4. დაფინანსების წყარო:  სახელმწიფო  ბიუჯეტი</t>
  </si>
  <si>
    <t>აკუმულატორები, პირველადი ელემენტები და პირველადი ბატარეები</t>
  </si>
  <si>
    <t>90900000</t>
  </si>
  <si>
    <t>შენობის მოწყობილობების შეკეთება და ტექნიკური მომსახურება</t>
  </si>
  <si>
    <t>09100000</t>
  </si>
  <si>
    <t>საწვავი</t>
  </si>
  <si>
    <t xml:space="preserve">ინტერნეტ მომსახურებები </t>
  </si>
  <si>
    <t xml:space="preserve">72400000 </t>
  </si>
  <si>
    <t xml:space="preserve"> 64200000 </t>
  </si>
  <si>
    <t>დასუფთავება და სანიტარული ღონისძიებები</t>
  </si>
  <si>
    <t xml:space="preserve">3. შემსყიდველი ორგანიზაციის დასახელება: სსიპ ლ. საყვარელიძის სახ. დაავადებათა კონტროლისა და საზოგადოებრივი ჯანმრთელობის ეროვნული ცენტრი    </t>
  </si>
  <si>
    <t>2. შემსყიდველი ორგანიზაციის საიდენტიფიკაციო კოდი 211324351</t>
  </si>
  <si>
    <t>5. სახელმწიფო შესყიდვების გეგმით გათვალისწინებული ჯამური თანხა დაფინანსების წყაროს შესაბამისად</t>
  </si>
  <si>
    <t>ლარი</t>
  </si>
  <si>
    <t xml:space="preserve">85100000 </t>
  </si>
  <si>
    <t>79300000</t>
  </si>
  <si>
    <t>შესყიდვების ვადები</t>
  </si>
  <si>
    <t>გამოძიებასთან და უსაფრთხოებასთან დაკავშირებული მომსახურებები</t>
  </si>
  <si>
    <t> სამედიცინო მოწყობილობები</t>
  </si>
  <si>
    <t>ფარმაცევტული პროდუქტები</t>
  </si>
  <si>
    <t>33600000</t>
  </si>
  <si>
    <t>30100000</t>
  </si>
  <si>
    <t xml:space="preserve">საწვავი          </t>
  </si>
  <si>
    <t>დანართი N1.1</t>
  </si>
  <si>
    <t>ნაწილები და აქსესუარები სატრანსპორტო საშუალებებისა და მათი ძრავებისთვის</t>
  </si>
  <si>
    <t>34300000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</si>
  <si>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   </t>
  </si>
  <si>
    <t>79500000</t>
  </si>
  <si>
    <t xml:space="preserve">სატელეკომუნიკაციო მომსახურებები                  </t>
  </si>
  <si>
    <t>64100000</t>
  </si>
  <si>
    <t>საფოსტო და საკურიერო მომსახურებები</t>
  </si>
  <si>
    <t>03200000</t>
  </si>
  <si>
    <t>15700000</t>
  </si>
  <si>
    <t>ბურღულეული, კარტოფილი, ბოსტნეული, ხილი და თხილეული</t>
  </si>
  <si>
    <t>ცხოველის საკვები</t>
  </si>
  <si>
    <t>79900000</t>
  </si>
  <si>
    <t xml:space="preserve">1. შედგენის თარიღი </t>
  </si>
  <si>
    <t>72200000</t>
  </si>
  <si>
    <t xml:space="preserve">პროგრამული უზრუნველყოფის შემუშავება და საკონსულტაციო მომსახურებები </t>
  </si>
  <si>
    <t xml:space="preserve">სამედიცინო მოწყობილობები 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</si>
  <si>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</t>
  </si>
  <si>
    <t>50100000</t>
  </si>
  <si>
    <t>კტ</t>
  </si>
  <si>
    <t>გშ</t>
  </si>
  <si>
    <t xml:space="preserve">სატრანსპორტო საშუალებებისა და მათთან დაკავშირებული მოწყობილობების შეკეთება, ტექნიკური მომსახურება და მასთან დაკავშირებული მომსახურებები </t>
  </si>
  <si>
    <t xml:space="preserve">ოფისის მუშაობის უზრუნველყოფასთან დაკავშირებული მომსახურებები </t>
  </si>
  <si>
    <t>ეტ</t>
  </si>
  <si>
    <t>სხვადასხვა კომერციული მომსახურება და მასთან დაკავშირებული მომსახურებები</t>
  </si>
  <si>
    <t>სახელმწიფო შესყიდვების შესახებ საქართველოს კანონის 10(1) მუხლის, მე-3 პუნტქის ,,თ" ქვეპუნქტი</t>
  </si>
  <si>
    <t>სახელმწიფო შესყიდვების შესახებ საქართველოს კანონის 10(1) მუხლის, მე-3 პუნტქის ,,დ" ქვეპუნქტი</t>
  </si>
  <si>
    <t>სახელმწიფო შესყიდვების შესახებ საქართველოს კანონის 10(1) მუხლის, მე-3 პუნტქის ,,ვ" ქვეპუნქტი</t>
  </si>
  <si>
    <t xml:space="preserve"> ბაზრის კვლევა და ეკონომიკური კვლევა; გამოკითხვები და სტატისტიკა</t>
  </si>
  <si>
    <t xml:space="preserve">სახმელეთო, წყლისა და საჰაერო ტრანსპორტის დამხმარე მომსახურებები </t>
  </si>
  <si>
    <t>ჯანდაცვის სფეროს მომსახურებები</t>
  </si>
  <si>
    <t>75100000</t>
  </si>
  <si>
    <t>ადმინისტრაციული მომსახურება</t>
  </si>
  <si>
    <t xml:space="preserve">"სახელმწიფო შესყიდვების შესახებ" საქართველოს კანონის  მე-10(1) მუხლის მე-3 პუნქტის "ზ"  ქვეპუნქტი  </t>
  </si>
  <si>
    <t xml:space="preserve">"სახელმწიფო შესყიდვების შესახებ" საქართველოს კანონის  მე-10(1) მუხლის მე-3 პუნქტის "ა"  ქვეპუნქტი  </t>
  </si>
  <si>
    <t>ბეჭდვა და მასთან დაკავშირებული მომსახურებები</t>
  </si>
  <si>
    <t>90500000</t>
  </si>
  <si>
    <t>ნარჩენებსა და ნაგავთან დაკავშირებული მომსახურებები</t>
  </si>
  <si>
    <t>საწმენდი და საპრიალებელი პროდუქცია</t>
  </si>
  <si>
    <t>სახელმწიფო შესყიდვების შესახებ საქართველოს კანონის 10(1) მუხლის, მე-3 პუნტქის ,,ზ" ქვეპუნქტი</t>
  </si>
  <si>
    <t>50600000</t>
  </si>
  <si>
    <t>უსაფრთხოებისა და თავდაცვის მასალების შეკეთება და ტექნიკური მომსახურება</t>
  </si>
  <si>
    <t>24400000</t>
  </si>
  <si>
    <t>სასუქები და ნიტროგენული ნაერთები</t>
  </si>
  <si>
    <t xml:space="preserve">გშ </t>
  </si>
  <si>
    <t>39200000</t>
  </si>
  <si>
    <t>ავეჯის აქსესუარები</t>
  </si>
  <si>
    <t>39500000</t>
  </si>
  <si>
    <t>ქსოვილის ნივთები</t>
  </si>
  <si>
    <t>სახელმწიფო შესყიდვების შესახებ საქართველოს კანონის 10(1) მუხლის, მე-3 პუნტქის ,,დ " ქვეპუნქტი</t>
  </si>
  <si>
    <t xml:space="preserve">"სახელმწიფო შესყიდვების შესახებ" საქართველოს კანონის  მე-10(1)მუხლის მე-3 პუნქტის  "დ"  ქვეპუნქტები </t>
  </si>
  <si>
    <t xml:space="preserve">"სახელმწიფო შესყიდვების შესახებ" საქართველოს კანონის  მე-10(1)მუხლის მე-3 პუნქტის   "დ"  ქვეპუნქტები </t>
  </si>
  <si>
    <t>სახელმწიფო შესყიდვების შესახებ საქართველოს კანონის 10(1) მუხლის, მე-3 პუნტქის ,,დ" ქვეპუნქტი (მრავალწლიანი)</t>
  </si>
  <si>
    <t>15600000</t>
  </si>
  <si>
    <t>დაფქული მარცვლეული პროდუქტები, სახამებელი და სახამებლის პროდუქტები</t>
  </si>
  <si>
    <t xml:space="preserve">შენობის მოწყობის  სამუშაოები </t>
  </si>
  <si>
    <t xml:space="preserve">პროგრამული პაკეტების მომსახურე პროგრამები </t>
  </si>
  <si>
    <t>50400000</t>
  </si>
  <si>
    <t>სამედიცინო და ზუსტი საზომი აპარატურის შეკეთება და ტექნიკური მომსახურება</t>
  </si>
  <si>
    <t>50300000</t>
  </si>
  <si>
    <t>პერსონალური კომპიუტერების, საოფისე აპარატურის, სატელეკომუნიკაციო და აუდიოვიზუალური მოწყობილობების შეკეთება, ტექნიკური მომსახურება და მათთან დაკავშირებული მომსახურებები</t>
  </si>
  <si>
    <t>50500000</t>
  </si>
  <si>
    <t>ტუმბოების, სარქველების, ონკანებისა და ლითონის კონტეინერების, ასევე, მანქანა-დანადგარების შეკეთება და ტექნიკური მომსახურება</t>
  </si>
  <si>
    <t>63100000</t>
  </si>
  <si>
    <t>ტვირთის გადაზიდვისა და შენახვის მომსახურებები</t>
  </si>
  <si>
    <t> სადაზღვევო და საპენსიო მომსახურებები</t>
  </si>
  <si>
    <t>66500000</t>
  </si>
  <si>
    <t>92500000</t>
  </si>
  <si>
    <t> ბიბლიოთეკების, არქივების, მუზეუმებისა და სხვა კულტურული დაწესებულებების მომსახურებები</t>
  </si>
  <si>
    <t>60100000</t>
  </si>
  <si>
    <t xml:space="preserve">ავტობუსის დაქირავება </t>
  </si>
  <si>
    <t>ბაზრის კვლევა და ეკონომიკური კვლევა; გამოკითხვები და სტატისტიკა</t>
  </si>
  <si>
    <t>79600000</t>
  </si>
  <si>
    <t>პერსონალის დაქირავებასთან დაკავშირებული მომსახურებები</t>
  </si>
  <si>
    <t>90400000</t>
  </si>
  <si>
    <t>ჩამდინარე წყლებთან დაკავშირებული მომსახურებები</t>
  </si>
  <si>
    <t>30200000</t>
  </si>
  <si>
    <t>34100000</t>
  </si>
  <si>
    <t>სახელმწიფო შესყიდვების შესახებ საქართველოს კანონის 10(1) მუხლის, მე-3 პუნტქის ,,ზ " ქვეპუნქტი</t>
  </si>
  <si>
    <t>79200000</t>
  </si>
  <si>
    <t>საბუღალტრო, აუდიტორული და ფისკალური მომსახურებები</t>
  </si>
  <si>
    <t>2019 წლის IV-2020წლის IV კვარტალი</t>
  </si>
  <si>
    <t>კომპიუტერული მოწყობილობები და აქსესუარები</t>
  </si>
  <si>
    <t>ავტოსატრანსპორტო საშუალებები</t>
  </si>
  <si>
    <t xml:space="preserve">სამედიცინო მოწყობილობები </t>
  </si>
  <si>
    <t xml:space="preserve">არაფინანსური აქტივების ზრდა </t>
  </si>
  <si>
    <t xml:space="preserve">სხვა ხარჯები </t>
  </si>
  <si>
    <t xml:space="preserve"> საქონელი და მომსახურება</t>
  </si>
  <si>
    <t>27 01 03 დაავადებათა კონტროლისა და ეპიდემიოლოგიური უსაფრთხოების პროგრამის მართვა</t>
  </si>
  <si>
    <t>27 03 02 01 დაავადებათა ადრეული გამოვლენა და სკრინინგი</t>
  </si>
  <si>
    <t>27 03 02 02იმუნიზაცია</t>
  </si>
  <si>
    <t>2020 წლის IV-2020წლის IV კვარტალი</t>
  </si>
  <si>
    <t>27 03 02 03ეპიდზედამხედველობის პროგრამა</t>
  </si>
  <si>
    <t>27 03 02 04 უსაფრთხო სისხლი</t>
  </si>
  <si>
    <t xml:space="preserve">27 03 02 05 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 </t>
  </si>
  <si>
    <t>27 03 02 06 02 ტუბერკულოზის მართვა</t>
  </si>
  <si>
    <t>27 03 02 06 03 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</si>
  <si>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 02 აივ ინფექცია/შიდსი</t>
  </si>
  <si>
    <t>27 03 02 07 03 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</si>
  <si>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 02 დედათა და ბავშვთა ჯანმრთელობა</t>
  </si>
  <si>
    <t>სოციალური უზრუნველყოფა</t>
  </si>
  <si>
    <t>27 03 02 10 ჯანმრთელობის ხელშეწყობის პროგრამა</t>
  </si>
  <si>
    <t>80500000</t>
  </si>
  <si>
    <t>სატრენინგო მომსახურება</t>
  </si>
  <si>
    <t xml:space="preserve">სხვა ხარჯი </t>
  </si>
  <si>
    <t xml:space="preserve">27 03 02 11 02 C ჰეპატიტის მართვა </t>
  </si>
  <si>
    <t>98100000</t>
  </si>
  <si>
    <t xml:space="preserve">საწევრო ორგანიზაციების გადასახდელი </t>
  </si>
  <si>
    <t>300000</t>
  </si>
  <si>
    <t xml:space="preserve">ბუნებრივი წყალი </t>
  </si>
  <si>
    <t>„</t>
  </si>
  <si>
    <t xml:space="preserve">კტ </t>
  </si>
  <si>
    <t>2020წლის I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</si>
  <si>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</t>
  </si>
  <si>
    <t xml:space="preserve">სახელმწიფო შესყიდვების შესახებ საქართველოს კანონის  მე-10(1)მუხლის მე-3 პუნქტის   "დ"  ქვეპუნქტები </t>
  </si>
  <si>
    <t xml:space="preserve">მრავალწლიანი </t>
  </si>
  <si>
    <t>2019 წლის IV-2020 წლის I კვარტალი</t>
  </si>
  <si>
    <t xml:space="preserve">"სახელმწიფო შესყიდვების შესახებ" საქართველოს კანონის  მე-10(1)მუხლის მე-3 პუნქტის "დ"  ქვეპუნქტი2019 წლის დეკემბერი  </t>
  </si>
  <si>
    <t>2020 წლის I- IV კვარტალი</t>
  </si>
  <si>
    <t>2019 წლის IV-2020წლის I კვარტალი</t>
  </si>
  <si>
    <t>2020წლის I - IV კვარტალი</t>
  </si>
  <si>
    <t xml:space="preserve">სახელმწიფო შესყიდვების შესახებ საქართველოს კანონის  მე-10(1)მუხლის მე-3 პუნქტის "დ"  ქვეპუნქტი2019 წლის დეკემბერი  </t>
  </si>
  <si>
    <t>85100000</t>
  </si>
  <si>
    <t>92200000</t>
  </si>
  <si>
    <t>სატელევიზიო და რადიო მომსახურებები</t>
  </si>
  <si>
    <t>22200000</t>
  </si>
  <si>
    <t>გაზეთები, სამეცნიერო ჟურნალები, პერიოდიკა და ჟურნალები</t>
  </si>
  <si>
    <t>2020  წლის I- IV კვარტალი</t>
  </si>
  <si>
    <t>51100000</t>
  </si>
  <si>
    <t>ელექტრო- და მექანიკური მოწყობილობების მონტაჟი</t>
  </si>
  <si>
    <t>2019წლის IV-2020წლის IV კვარტალი</t>
  </si>
  <si>
    <t>„მთლიანი ან ნაწილობრივი სამშენებლო სამუშაოები და სამოქალაქო მშენებლობის სამუშაოები“</t>
  </si>
  <si>
    <t>პირადი ჰიგიენის საშუალებები</t>
  </si>
  <si>
    <t>90700000</t>
  </si>
  <si>
    <t>მომსახურებები ეკოლოგიის სფეროში</t>
  </si>
  <si>
    <t>71300000</t>
  </si>
  <si>
    <t> საინჟინრო მომსახურებები</t>
  </si>
  <si>
    <t>09200000</t>
  </si>
  <si>
    <t>ნავთობი, ქვანახშირი და ნავთობპროდუქტები</t>
  </si>
  <si>
    <t>42900000</t>
  </si>
  <si>
    <t>სხვადასხვა ზოგადი და სპეციალური დანიშნულების მანქანა-დანადგარები</t>
  </si>
  <si>
    <t xml:space="preserve">  </t>
  </si>
  <si>
    <t>79800000</t>
  </si>
  <si>
    <t>2020 წლის I-  IV კვარტალი</t>
  </si>
  <si>
    <t>2019 წლის IV-2020 წლის IV კვარტალი</t>
  </si>
  <si>
    <t>სატელევიზიო და რადიომომსახურებები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</si>
</sst>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23">
    <font>
      <sz val="11"/>
      <color theme="1"/>
      <name val="Calibri"/>
      <family val="2"/>
      <scheme val="minor"/>
    </font>
    <font>
      <sz val="8"/>
      <name val="Sylfaen"/>
      <family val="1"/>
      <charset val="204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name val="GEO DUMBADZE"/>
      <family val="2"/>
    </font>
    <font>
      <b/>
      <sz val="10"/>
      <name val="Calibri"/>
      <family val="2"/>
      <charset val="204"/>
      <scheme val="minor"/>
    </font>
    <font>
      <sz val="10"/>
      <name val="Sylfaen"/>
      <family val="1"/>
      <charset val="204"/>
    </font>
    <font>
      <b/>
      <sz val="11"/>
      <color rgb="FFFF0000"/>
      <name val="Calibri"/>
      <family val="2"/>
      <scheme val="minor"/>
    </font>
    <font>
      <sz val="8"/>
      <name val="Sylfaen"/>
      <family val="2"/>
    </font>
    <font>
      <b/>
      <sz val="11"/>
      <name val="Calibri"/>
      <family val="2"/>
      <scheme val="minor"/>
    </font>
    <font>
      <sz val="8"/>
      <color theme="1"/>
      <name val="Sylfaen"/>
      <family val="1"/>
      <charset val="204"/>
    </font>
    <font>
      <sz val="8"/>
      <color theme="1"/>
      <name val="Sylfaen"/>
      <family val="2"/>
    </font>
    <font>
      <sz val="8"/>
      <color theme="1"/>
      <name val="Calibri"/>
      <family val="2"/>
      <charset val="204"/>
      <scheme val="minor"/>
    </font>
    <font>
      <sz val="11"/>
      <color rgb="FF222222"/>
      <name val="Verdan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00FF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05C5E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5B4EB"/>
        <bgColor indexed="64"/>
      </patternFill>
    </fill>
    <fill>
      <patternFill patternType="solid">
        <fgColor rgb="FFFFFFC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11" fillId="0" borderId="0"/>
    <xf numFmtId="0" fontId="2" fillId="0" borderId="0"/>
    <xf numFmtId="43" fontId="2" fillId="0" borderId="0" applyFont="0" applyFill="0" applyBorder="0" applyAlignment="0" applyProtection="0"/>
  </cellStyleXfs>
  <cellXfs count="97">
    <xf numFmtId="0" fontId="0" fillId="0" borderId="0" xfId="0"/>
    <xf numFmtId="0" fontId="0" fillId="0" borderId="0" xfId="0" applyFill="1"/>
    <xf numFmtId="43" fontId="3" fillId="0" borderId="2" xfId="1" applyNumberFormat="1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 applyProtection="1">
      <alignment horizontal="center" vertical="center"/>
    </xf>
    <xf numFmtId="0" fontId="9" fillId="3" borderId="2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14" fillId="3" borderId="2" xfId="0" applyFont="1" applyFill="1" applyBorder="1" applyAlignment="1">
      <alignment vertical="center" wrapText="1"/>
    </xf>
    <xf numFmtId="0" fontId="7" fillId="0" borderId="0" xfId="0" applyFont="1"/>
    <xf numFmtId="0" fontId="16" fillId="4" borderId="2" xfId="0" applyFont="1" applyFill="1" applyBorder="1" applyAlignment="1">
      <alignment vertical="center" wrapText="1"/>
    </xf>
    <xf numFmtId="0" fontId="9" fillId="4" borderId="2" xfId="0" applyFont="1" applyFill="1" applyBorder="1" applyAlignment="1">
      <alignment vertical="center" wrapText="1"/>
    </xf>
    <xf numFmtId="43" fontId="9" fillId="3" borderId="2" xfId="4" applyFont="1" applyFill="1" applyBorder="1" applyAlignment="1">
      <alignment horizontal="center" vertical="center" wrapText="1"/>
    </xf>
    <xf numFmtId="43" fontId="9" fillId="4" borderId="2" xfId="4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5" borderId="0" xfId="0" applyFill="1"/>
    <xf numFmtId="0" fontId="0" fillId="5" borderId="0" xfId="0" applyFont="1" applyFill="1"/>
    <xf numFmtId="0" fontId="20" fillId="5" borderId="0" xfId="0" applyFont="1" applyFill="1" applyAlignment="1">
      <alignment wrapText="1"/>
    </xf>
    <xf numFmtId="43" fontId="0" fillId="5" borderId="0" xfId="0" applyNumberFormat="1" applyFill="1"/>
    <xf numFmtId="43" fontId="21" fillId="6" borderId="2" xfId="4" applyFont="1" applyFill="1" applyBorder="1" applyAlignment="1">
      <alignment horizontal="center" vertical="center" wrapText="1"/>
    </xf>
    <xf numFmtId="0" fontId="21" fillId="6" borderId="2" xfId="0" applyFont="1" applyFill="1" applyBorder="1" applyAlignment="1">
      <alignment vertical="center" wrapText="1"/>
    </xf>
    <xf numFmtId="0" fontId="21" fillId="6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3" fontId="0" fillId="0" borderId="0" xfId="4" applyFont="1" applyFill="1"/>
    <xf numFmtId="43" fontId="0" fillId="0" borderId="0" xfId="0" applyNumberFormat="1" applyFill="1"/>
    <xf numFmtId="43" fontId="0" fillId="0" borderId="0" xfId="0" applyNumberFormat="1"/>
    <xf numFmtId="164" fontId="0" fillId="5" borderId="0" xfId="0" applyNumberFormat="1" applyFill="1" applyAlignment="1">
      <alignment vertical="center"/>
    </xf>
    <xf numFmtId="0" fontId="12" fillId="5" borderId="2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 wrapText="1"/>
    </xf>
    <xf numFmtId="43" fontId="1" fillId="5" borderId="1" xfId="4" applyFont="1" applyFill="1" applyBorder="1" applyAlignment="1">
      <alignment horizontal="center" vertical="center" wrapText="1"/>
    </xf>
    <xf numFmtId="49" fontId="15" fillId="5" borderId="1" xfId="0" applyNumberFormat="1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0" fillId="5" borderId="6" xfId="0" applyFont="1" applyFill="1" applyBorder="1" applyAlignment="1">
      <alignment horizontal="center" vertical="center" wrapText="1"/>
    </xf>
    <xf numFmtId="0" fontId="10" fillId="5" borderId="8" xfId="0" applyFont="1" applyFill="1" applyBorder="1" applyAlignment="1">
      <alignment horizontal="center" vertical="center" wrapText="1"/>
    </xf>
    <xf numFmtId="49" fontId="1" fillId="5" borderId="7" xfId="0" applyNumberFormat="1" applyFont="1" applyFill="1" applyBorder="1" applyAlignment="1">
      <alignment horizontal="center" vertical="center" wrapText="1"/>
    </xf>
    <xf numFmtId="49" fontId="15" fillId="5" borderId="7" xfId="0" applyNumberFormat="1" applyFont="1" applyFill="1" applyBorder="1" applyAlignment="1">
      <alignment horizontal="center" vertical="center" wrapText="1"/>
    </xf>
    <xf numFmtId="0" fontId="10" fillId="5" borderId="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17" fillId="5" borderId="1" xfId="0" applyNumberFormat="1" applyFont="1" applyFill="1" applyBorder="1" applyAlignment="1">
      <alignment horizontal="center" vertical="center" wrapText="1"/>
    </xf>
    <xf numFmtId="49" fontId="18" fillId="5" borderId="1" xfId="0" applyNumberFormat="1" applyFont="1" applyFill="1" applyBorder="1" applyAlignment="1">
      <alignment horizontal="center" vertical="center" wrapText="1"/>
    </xf>
    <xf numFmtId="0" fontId="19" fillId="5" borderId="6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49" fontId="1" fillId="5" borderId="1" xfId="0" applyNumberFormat="1" applyFont="1" applyFill="1" applyBorder="1" applyAlignment="1">
      <alignment horizontal="center" vertical="center"/>
    </xf>
    <xf numFmtId="0" fontId="12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1" fillId="5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/>
    <xf numFmtId="0" fontId="5" fillId="5" borderId="1" xfId="0" applyFont="1" applyFill="1" applyBorder="1" applyAlignment="1">
      <alignment horizontal="center" vertical="center" wrapText="1"/>
    </xf>
    <xf numFmtId="2" fontId="1" fillId="5" borderId="1" xfId="0" applyNumberFormat="1" applyFont="1" applyFill="1" applyBorder="1" applyAlignment="1">
      <alignment horizontal="center" vertical="center" wrapTex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" fillId="7" borderId="1" xfId="0" applyNumberFormat="1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43" fontId="1" fillId="7" borderId="1" xfId="4" applyFont="1" applyFill="1" applyBorder="1" applyAlignment="1">
      <alignment horizontal="center" vertical="center" wrapText="1"/>
    </xf>
    <xf numFmtId="49" fontId="15" fillId="7" borderId="1" xfId="0" applyNumberFormat="1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/>
    </xf>
    <xf numFmtId="0" fontId="6" fillId="7" borderId="1" xfId="0" applyFont="1" applyFill="1" applyBorder="1"/>
    <xf numFmtId="2" fontId="1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43" fontId="0" fillId="0" borderId="0" xfId="0" applyNumberFormat="1" applyAlignment="1">
      <alignment horizontal="center"/>
    </xf>
    <xf numFmtId="0" fontId="12" fillId="7" borderId="1" xfId="0" applyFont="1" applyFill="1" applyBorder="1" applyAlignment="1">
      <alignment horizontal="center" vertical="center" wrapText="1"/>
    </xf>
    <xf numFmtId="0" fontId="5" fillId="7" borderId="1" xfId="0" applyFont="1" applyFill="1" applyBorder="1"/>
    <xf numFmtId="0" fontId="10" fillId="7" borderId="8" xfId="0" applyFont="1" applyFill="1" applyBorder="1" applyAlignment="1">
      <alignment horizontal="center" vertical="center" wrapText="1"/>
    </xf>
    <xf numFmtId="0" fontId="10" fillId="7" borderId="6" xfId="0" applyFont="1" applyFill="1" applyBorder="1" applyAlignment="1">
      <alignment horizontal="center" vertical="center" wrapText="1"/>
    </xf>
    <xf numFmtId="49" fontId="1" fillId="7" borderId="7" xfId="0" applyNumberFormat="1" applyFont="1" applyFill="1" applyBorder="1" applyAlignment="1">
      <alignment horizontal="center" vertical="center" wrapText="1"/>
    </xf>
    <xf numFmtId="49" fontId="15" fillId="7" borderId="7" xfId="0" applyNumberFormat="1" applyFont="1" applyFill="1" applyBorder="1" applyAlignment="1">
      <alignment horizontal="center" vertical="center" wrapText="1"/>
    </xf>
    <xf numFmtId="0" fontId="10" fillId="7" borderId="7" xfId="0" applyFont="1" applyFill="1" applyBorder="1" applyAlignment="1">
      <alignment horizontal="center" vertical="center" wrapText="1"/>
    </xf>
    <xf numFmtId="43" fontId="1" fillId="7" borderId="2" xfId="4" applyFont="1" applyFill="1" applyBorder="1" applyAlignment="1">
      <alignment horizontal="center" vertical="center" wrapText="1"/>
    </xf>
    <xf numFmtId="0" fontId="22" fillId="7" borderId="2" xfId="0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center" vertical="center" wrapText="1"/>
    </xf>
    <xf numFmtId="43" fontId="17" fillId="7" borderId="1" xfId="4" applyFont="1" applyFill="1" applyBorder="1" applyAlignment="1">
      <alignment horizontal="center" vertical="center" wrapText="1"/>
    </xf>
    <xf numFmtId="49" fontId="18" fillId="7" borderId="1" xfId="0" applyNumberFormat="1" applyFont="1" applyFill="1" applyBorder="1" applyAlignment="1">
      <alignment horizontal="center" vertical="center" wrapText="1"/>
    </xf>
    <xf numFmtId="0" fontId="17" fillId="7" borderId="1" xfId="0" applyFont="1" applyFill="1" applyBorder="1" applyAlignment="1">
      <alignment horizontal="center" vertical="center" wrapText="1"/>
    </xf>
    <xf numFmtId="0" fontId="19" fillId="7" borderId="8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43" fontId="17" fillId="5" borderId="1" xfId="4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9" fillId="5" borderId="8" xfId="0" applyFont="1" applyFill="1" applyBorder="1" applyAlignment="1">
      <alignment horizontal="center" vertical="center" wrapText="1"/>
    </xf>
    <xf numFmtId="43" fontId="1" fillId="5" borderId="2" xfId="4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left" vertical="center" wrapText="1" indent="2"/>
    </xf>
    <xf numFmtId="0" fontId="9" fillId="3" borderId="2" xfId="0" applyFont="1" applyFill="1" applyBorder="1" applyAlignment="1">
      <alignment horizontal="left" vertical="center" wrapText="1" indent="2"/>
    </xf>
    <xf numFmtId="0" fontId="4" fillId="0" borderId="0" xfId="0" applyFont="1" applyFill="1" applyAlignment="1">
      <alignment horizontal="right" vertical="center" wrapText="1"/>
    </xf>
    <xf numFmtId="0" fontId="4" fillId="0" borderId="5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12" fillId="3" borderId="4" xfId="0" applyFont="1" applyFill="1" applyBorder="1" applyAlignment="1">
      <alignment horizontal="left" vertical="center" wrapText="1" indent="2"/>
    </xf>
    <xf numFmtId="0" fontId="12" fillId="3" borderId="2" xfId="0" applyFont="1" applyFill="1" applyBorder="1" applyAlignment="1">
      <alignment horizontal="left" vertical="center" wrapText="1" indent="2"/>
    </xf>
    <xf numFmtId="0" fontId="21" fillId="6" borderId="4" xfId="0" applyFont="1" applyFill="1" applyBorder="1" applyAlignment="1">
      <alignment horizontal="left" vertical="center" wrapText="1" indent="2"/>
    </xf>
    <xf numFmtId="0" fontId="21" fillId="6" borderId="2" xfId="0" applyFont="1" applyFill="1" applyBorder="1" applyAlignment="1">
      <alignment horizontal="left" vertical="center" wrapText="1" indent="2"/>
    </xf>
    <xf numFmtId="0" fontId="9" fillId="4" borderId="4" xfId="0" applyFont="1" applyFill="1" applyBorder="1" applyAlignment="1">
      <alignment horizontal="left" vertical="center" wrapText="1" indent="2"/>
    </xf>
    <xf numFmtId="0" fontId="9" fillId="4" borderId="2" xfId="0" applyFont="1" applyFill="1" applyBorder="1" applyAlignment="1">
      <alignment horizontal="left" vertical="center" wrapText="1" indent="2"/>
    </xf>
  </cellXfs>
  <cellStyles count="5">
    <cellStyle name="Comma" xfId="4" builtinId="3"/>
    <cellStyle name="Comma 2" xfId="1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colors>
    <mruColors>
      <color rgb="FFFFFFCC"/>
      <color rgb="FF00CCFF"/>
      <color rgb="FF05B4EB"/>
      <color rgb="FF05C5EB"/>
      <color rgb="FF00FFFF"/>
      <color rgb="FF0000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99"/>
  <sheetViews>
    <sheetView topLeftCell="B58" zoomScaleNormal="100" zoomScaleSheetLayoutView="80" workbookViewId="0">
      <selection activeCell="C55" sqref="C5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E9+E60+E62+E67+E72+E75+E77+E82+E84+E88+E90+E94+E97</f>
        <v>42457030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SUM(E10:E59)</f>
        <v>5002030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8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8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8" s="18" customFormat="1" ht="38.25" customHeight="1">
      <c r="B20" s="30" t="s">
        <v>120</v>
      </c>
      <c r="C20" s="31" t="s">
        <v>35</v>
      </c>
      <c r="D20" s="31" t="s">
        <v>34</v>
      </c>
      <c r="E20" s="32">
        <v>20000</v>
      </c>
      <c r="F20" s="33" t="s">
        <v>52</v>
      </c>
      <c r="G20" s="34" t="s">
        <v>114</v>
      </c>
      <c r="H20" s="44"/>
    </row>
    <row r="21" spans="2:8" s="18" customFormat="1" ht="33.75">
      <c r="B21" s="30" t="s">
        <v>120</v>
      </c>
      <c r="C21" s="31" t="s">
        <v>78</v>
      </c>
      <c r="D21" s="31" t="s">
        <v>79</v>
      </c>
      <c r="E21" s="32">
        <v>3000</v>
      </c>
      <c r="F21" s="33" t="s">
        <v>77</v>
      </c>
      <c r="G21" s="34" t="s">
        <v>114</v>
      </c>
      <c r="H21" s="49"/>
    </row>
    <row r="22" spans="2:8" s="18" customFormat="1" ht="33.75">
      <c r="B22" s="30" t="s">
        <v>120</v>
      </c>
      <c r="C22" s="31" t="s">
        <v>80</v>
      </c>
      <c r="D22" s="31" t="s">
        <v>81</v>
      </c>
      <c r="E22" s="32">
        <v>3000</v>
      </c>
      <c r="F22" s="33" t="s">
        <v>77</v>
      </c>
      <c r="G22" s="34" t="s">
        <v>114</v>
      </c>
      <c r="H22" s="49"/>
    </row>
    <row r="23" spans="2:8" s="18" customFormat="1" ht="33.75">
      <c r="B23" s="30" t="s">
        <v>120</v>
      </c>
      <c r="C23" s="50">
        <v>39800000</v>
      </c>
      <c r="D23" s="50" t="s">
        <v>71</v>
      </c>
      <c r="E23" s="32">
        <v>2000</v>
      </c>
      <c r="F23" s="33" t="s">
        <v>77</v>
      </c>
      <c r="G23" s="34" t="s">
        <v>114</v>
      </c>
      <c r="H23" s="49"/>
    </row>
    <row r="24" spans="2:8" s="18" customFormat="1" ht="51.75" customHeight="1">
      <c r="B24" s="30" t="s">
        <v>120</v>
      </c>
      <c r="C24" s="48">
        <v>45400000</v>
      </c>
      <c r="D24" s="50" t="s">
        <v>88</v>
      </c>
      <c r="E24" s="32">
        <v>300000</v>
      </c>
      <c r="F24" s="33" t="s">
        <v>56</v>
      </c>
      <c r="G24" s="34" t="s">
        <v>114</v>
      </c>
      <c r="H24" s="49"/>
    </row>
    <row r="25" spans="2:8" s="18" customFormat="1" ht="37.5" customHeight="1">
      <c r="B25" s="30" t="s">
        <v>118</v>
      </c>
      <c r="C25" s="48">
        <v>48700000</v>
      </c>
      <c r="D25" s="31" t="s">
        <v>89</v>
      </c>
      <c r="E25" s="32">
        <v>80000</v>
      </c>
      <c r="F25" s="33" t="s">
        <v>56</v>
      </c>
      <c r="G25" s="34" t="s">
        <v>114</v>
      </c>
      <c r="H25" s="49"/>
    </row>
    <row r="26" spans="2:8" s="18" customFormat="1" ht="56.25">
      <c r="B26" s="30" t="s">
        <v>120</v>
      </c>
      <c r="C26" s="31">
        <v>50100000</v>
      </c>
      <c r="D26" s="31" t="s">
        <v>36</v>
      </c>
      <c r="E26" s="32">
        <v>20000</v>
      </c>
      <c r="F26" s="33" t="s">
        <v>53</v>
      </c>
      <c r="G26" s="34" t="s">
        <v>114</v>
      </c>
      <c r="H26" s="51" t="s">
        <v>58</v>
      </c>
    </row>
    <row r="27" spans="2:8" s="18" customFormat="1" ht="92.25" customHeight="1">
      <c r="B27" s="30" t="s">
        <v>120</v>
      </c>
      <c r="C27" s="31" t="s">
        <v>51</v>
      </c>
      <c r="D27" s="31" t="s">
        <v>54</v>
      </c>
      <c r="E27" s="32">
        <v>140000</v>
      </c>
      <c r="F27" s="33" t="s">
        <v>56</v>
      </c>
      <c r="G27" s="34" t="s">
        <v>114</v>
      </c>
      <c r="H27" s="37"/>
    </row>
    <row r="28" spans="2:8" s="18" customFormat="1" ht="92.25" customHeight="1">
      <c r="B28" s="30" t="s">
        <v>120</v>
      </c>
      <c r="C28" s="31" t="s">
        <v>92</v>
      </c>
      <c r="D28" s="31" t="s">
        <v>93</v>
      </c>
      <c r="E28" s="32">
        <v>60000</v>
      </c>
      <c r="F28" s="33" t="s">
        <v>56</v>
      </c>
      <c r="G28" s="34" t="s">
        <v>114</v>
      </c>
      <c r="H28" s="49"/>
    </row>
    <row r="29" spans="2:8" s="18" customFormat="1" ht="92.25" customHeight="1">
      <c r="B29" s="30" t="s">
        <v>120</v>
      </c>
      <c r="C29" s="31" t="s">
        <v>90</v>
      </c>
      <c r="D29" s="31" t="s">
        <v>91</v>
      </c>
      <c r="E29" s="32">
        <v>210000</v>
      </c>
      <c r="F29" s="33" t="s">
        <v>56</v>
      </c>
      <c r="G29" s="34" t="s">
        <v>114</v>
      </c>
      <c r="H29" s="37"/>
    </row>
    <row r="30" spans="2:8" s="18" customFormat="1" ht="92.25" customHeight="1">
      <c r="B30" s="30" t="s">
        <v>120</v>
      </c>
      <c r="C30" s="31" t="s">
        <v>94</v>
      </c>
      <c r="D30" s="31" t="s">
        <v>95</v>
      </c>
      <c r="E30" s="32">
        <v>90000</v>
      </c>
      <c r="F30" s="33" t="s">
        <v>56</v>
      </c>
      <c r="G30" s="34" t="s">
        <v>114</v>
      </c>
      <c r="H30" s="37"/>
    </row>
    <row r="31" spans="2:8" s="18" customFormat="1" ht="102.75" customHeight="1">
      <c r="B31" s="30" t="s">
        <v>120</v>
      </c>
      <c r="C31" s="31" t="s">
        <v>73</v>
      </c>
      <c r="D31" s="31" t="s">
        <v>74</v>
      </c>
      <c r="E31" s="32">
        <v>25000</v>
      </c>
      <c r="F31" s="33" t="s">
        <v>56</v>
      </c>
      <c r="G31" s="34" t="s">
        <v>114</v>
      </c>
      <c r="H31" s="31"/>
    </row>
    <row r="32" spans="2:8" s="18" customFormat="1" ht="115.5" customHeight="1">
      <c r="B32" s="30" t="s">
        <v>120</v>
      </c>
      <c r="C32" s="31">
        <v>50700000</v>
      </c>
      <c r="D32" s="31" t="s">
        <v>13</v>
      </c>
      <c r="E32" s="32">
        <v>1700000</v>
      </c>
      <c r="F32" s="31" t="s">
        <v>53</v>
      </c>
      <c r="G32" s="34" t="s">
        <v>114</v>
      </c>
      <c r="H32" s="31" t="s">
        <v>85</v>
      </c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115000</v>
      </c>
      <c r="F33" s="31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 t="s">
        <v>102</v>
      </c>
      <c r="D34" s="31" t="s">
        <v>103</v>
      </c>
      <c r="E34" s="32">
        <v>200000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96</v>
      </c>
      <c r="D35" s="31" t="s">
        <v>97</v>
      </c>
      <c r="E35" s="32">
        <v>120000</v>
      </c>
      <c r="F35" s="31" t="s">
        <v>56</v>
      </c>
      <c r="G35" s="34" t="s">
        <v>114</v>
      </c>
      <c r="H35" s="31"/>
    </row>
    <row r="36" spans="2:10" s="18" customFormat="1" ht="58.5" customHeight="1">
      <c r="B36" s="30" t="s">
        <v>120</v>
      </c>
      <c r="C36" s="48">
        <v>63700000</v>
      </c>
      <c r="D36" s="31" t="s">
        <v>62</v>
      </c>
      <c r="E36" s="32">
        <v>2000</v>
      </c>
      <c r="F36" s="33" t="s">
        <v>53</v>
      </c>
      <c r="G36" s="34" t="s">
        <v>114</v>
      </c>
      <c r="H36" s="34" t="s">
        <v>72</v>
      </c>
    </row>
    <row r="37" spans="2:10" s="18" customFormat="1" ht="63.75" customHeight="1">
      <c r="B37" s="30" t="s">
        <v>120</v>
      </c>
      <c r="C37" s="31" t="s">
        <v>39</v>
      </c>
      <c r="D37" s="31" t="s">
        <v>40</v>
      </c>
      <c r="E37" s="32">
        <v>10000</v>
      </c>
      <c r="F37" s="33" t="s">
        <v>56</v>
      </c>
      <c r="G37" s="34" t="s">
        <v>114</v>
      </c>
      <c r="H37" s="31"/>
    </row>
    <row r="38" spans="2:10" s="18" customFormat="1" ht="56.25">
      <c r="B38" s="30" t="s">
        <v>120</v>
      </c>
      <c r="C38" s="45" t="s">
        <v>18</v>
      </c>
      <c r="D38" s="31" t="s">
        <v>38</v>
      </c>
      <c r="E38" s="32">
        <v>25000</v>
      </c>
      <c r="F38" s="33" t="s">
        <v>53</v>
      </c>
      <c r="G38" s="34" t="s">
        <v>114</v>
      </c>
      <c r="H38" s="34" t="s">
        <v>82</v>
      </c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10000</v>
      </c>
      <c r="F39" s="33" t="s">
        <v>53</v>
      </c>
      <c r="G39" s="34" t="s">
        <v>114</v>
      </c>
      <c r="H39" s="34" t="s">
        <v>111</v>
      </c>
    </row>
    <row r="40" spans="2:10" s="18" customFormat="1" ht="33.7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52</v>
      </c>
      <c r="G40" s="34" t="s">
        <v>114</v>
      </c>
      <c r="H40" s="52"/>
    </row>
    <row r="41" spans="2:10" s="18" customFormat="1" ht="50.25" customHeight="1">
      <c r="B41" s="30" t="s">
        <v>119</v>
      </c>
      <c r="C41" s="45" t="s">
        <v>99</v>
      </c>
      <c r="D41" s="31" t="s">
        <v>98</v>
      </c>
      <c r="E41" s="32">
        <v>30000</v>
      </c>
      <c r="F41" s="33" t="s">
        <v>56</v>
      </c>
      <c r="G41" s="34" t="s">
        <v>114</v>
      </c>
      <c r="H41" s="34"/>
    </row>
    <row r="42" spans="2:10" s="18" customFormat="1" ht="33.75">
      <c r="B42" s="30" t="s">
        <v>120</v>
      </c>
      <c r="C42" s="45" t="s">
        <v>47</v>
      </c>
      <c r="D42" s="31" t="s">
        <v>48</v>
      </c>
      <c r="E42" s="32">
        <v>1680</v>
      </c>
      <c r="F42" s="33" t="s">
        <v>77</v>
      </c>
      <c r="G42" s="34" t="s">
        <v>114</v>
      </c>
      <c r="H42" s="52"/>
    </row>
    <row r="43" spans="2:10" s="18" customFormat="1" ht="57" customHeight="1">
      <c r="B43" s="30" t="s">
        <v>120</v>
      </c>
      <c r="C43" s="45" t="s">
        <v>17</v>
      </c>
      <c r="D43" s="31" t="s">
        <v>16</v>
      </c>
      <c r="E43" s="32">
        <v>124000</v>
      </c>
      <c r="F43" s="33" t="s">
        <v>53</v>
      </c>
      <c r="G43" s="34" t="s">
        <v>114</v>
      </c>
      <c r="H43" s="34" t="s">
        <v>59</v>
      </c>
    </row>
    <row r="44" spans="2:10" s="18" customFormat="1" ht="65.25" customHeight="1">
      <c r="B44" s="30" t="s">
        <v>120</v>
      </c>
      <c r="C44" s="45" t="s">
        <v>17</v>
      </c>
      <c r="D44" s="31" t="s">
        <v>16</v>
      </c>
      <c r="E44" s="32">
        <v>2000</v>
      </c>
      <c r="F44" s="33" t="s">
        <v>53</v>
      </c>
      <c r="G44" s="34" t="s">
        <v>114</v>
      </c>
      <c r="H44" s="34"/>
      <c r="J44" s="20"/>
    </row>
    <row r="45" spans="2:10" s="18" customFormat="1" ht="56.25">
      <c r="B45" s="30" t="s">
        <v>120</v>
      </c>
      <c r="C45" s="45" t="s">
        <v>64</v>
      </c>
      <c r="D45" s="31" t="s">
        <v>65</v>
      </c>
      <c r="E45" s="32">
        <v>1500</v>
      </c>
      <c r="F45" s="33" t="s">
        <v>53</v>
      </c>
      <c r="G45" s="34" t="s">
        <v>114</v>
      </c>
      <c r="H45" s="34" t="s">
        <v>66</v>
      </c>
    </row>
    <row r="46" spans="2:10" s="18" customFormat="1" ht="75" customHeight="1">
      <c r="B46" s="30" t="s">
        <v>120</v>
      </c>
      <c r="C46" s="45" t="s">
        <v>25</v>
      </c>
      <c r="D46" s="31" t="s">
        <v>104</v>
      </c>
      <c r="E46" s="32">
        <v>100000</v>
      </c>
      <c r="F46" s="33" t="s">
        <v>56</v>
      </c>
      <c r="G46" s="34" t="s">
        <v>114</v>
      </c>
      <c r="H46" s="34"/>
    </row>
    <row r="47" spans="2:10" s="18" customFormat="1" ht="75" customHeight="1">
      <c r="B47" s="30" t="s">
        <v>120</v>
      </c>
      <c r="C47" s="45" t="s">
        <v>112</v>
      </c>
      <c r="D47" s="31" t="s">
        <v>113</v>
      </c>
      <c r="E47" s="32">
        <v>3000</v>
      </c>
      <c r="F47" s="33" t="s">
        <v>53</v>
      </c>
      <c r="G47" s="34" t="s">
        <v>114</v>
      </c>
      <c r="H47" s="34" t="s">
        <v>66</v>
      </c>
    </row>
    <row r="48" spans="2:10" s="18" customFormat="1" ht="63.75" customHeight="1">
      <c r="B48" s="30" t="s">
        <v>120</v>
      </c>
      <c r="C48" s="31" t="s">
        <v>37</v>
      </c>
      <c r="D48" s="31" t="s">
        <v>55</v>
      </c>
      <c r="E48" s="32">
        <v>6000</v>
      </c>
      <c r="F48" s="33" t="s">
        <v>56</v>
      </c>
      <c r="G48" s="34" t="s">
        <v>114</v>
      </c>
      <c r="H48" s="34"/>
    </row>
    <row r="49" spans="2:10" s="18" customFormat="1" ht="63.75" customHeight="1">
      <c r="B49" s="30" t="s">
        <v>120</v>
      </c>
      <c r="C49" s="31" t="s">
        <v>105</v>
      </c>
      <c r="D49" s="31" t="s">
        <v>106</v>
      </c>
      <c r="E49" s="32">
        <v>450</v>
      </c>
      <c r="F49" s="33" t="s">
        <v>53</v>
      </c>
      <c r="G49" s="34" t="s">
        <v>114</v>
      </c>
      <c r="H49" s="34"/>
    </row>
    <row r="50" spans="2:10" s="18" customFormat="1" ht="77.25" customHeight="1">
      <c r="B50" s="30" t="s">
        <v>120</v>
      </c>
      <c r="C50" s="48">
        <v>79700000</v>
      </c>
      <c r="D50" s="31" t="s">
        <v>27</v>
      </c>
      <c r="E50" s="32">
        <v>520000</v>
      </c>
      <c r="F50" s="33" t="s">
        <v>53</v>
      </c>
      <c r="G50" s="34" t="s">
        <v>114</v>
      </c>
      <c r="H50" s="34" t="s">
        <v>67</v>
      </c>
    </row>
    <row r="51" spans="2:10" s="18" customFormat="1" ht="62.25" customHeight="1">
      <c r="B51" s="30" t="s">
        <v>120</v>
      </c>
      <c r="C51" s="48">
        <v>79800000</v>
      </c>
      <c r="D51" s="31" t="s">
        <v>68</v>
      </c>
      <c r="E51" s="32">
        <f>10000+15000</f>
        <v>25000</v>
      </c>
      <c r="F51" s="33" t="s">
        <v>56</v>
      </c>
      <c r="G51" s="34" t="s">
        <v>114</v>
      </c>
      <c r="H51" s="34"/>
    </row>
    <row r="52" spans="2:10" s="18" customFormat="1" ht="62.25" customHeight="1">
      <c r="B52" s="30" t="s">
        <v>120</v>
      </c>
      <c r="C52" s="31" t="s">
        <v>45</v>
      </c>
      <c r="D52" s="31" t="s">
        <v>57</v>
      </c>
      <c r="E52" s="32">
        <v>25000</v>
      </c>
      <c r="F52" s="33" t="s">
        <v>53</v>
      </c>
      <c r="G52" s="34" t="s">
        <v>114</v>
      </c>
      <c r="H52" s="31" t="s">
        <v>60</v>
      </c>
    </row>
    <row r="53" spans="2:10" s="18" customFormat="1" ht="62.25" customHeight="1">
      <c r="B53" s="30" t="s">
        <v>120</v>
      </c>
      <c r="C53" s="45" t="s">
        <v>24</v>
      </c>
      <c r="D53" s="31" t="s">
        <v>63</v>
      </c>
      <c r="E53" s="32">
        <v>12000</v>
      </c>
      <c r="F53" s="33" t="s">
        <v>56</v>
      </c>
      <c r="G53" s="34" t="s">
        <v>114</v>
      </c>
      <c r="H53" s="31"/>
    </row>
    <row r="54" spans="2:10" s="18" customFormat="1" ht="62.25" customHeight="1">
      <c r="B54" s="30" t="s">
        <v>120</v>
      </c>
      <c r="C54" s="45" t="s">
        <v>107</v>
      </c>
      <c r="D54" s="31" t="s">
        <v>108</v>
      </c>
      <c r="E54" s="32">
        <v>1000</v>
      </c>
      <c r="F54" s="33" t="s">
        <v>53</v>
      </c>
      <c r="G54" s="34" t="s">
        <v>114</v>
      </c>
      <c r="H54" s="31"/>
    </row>
    <row r="55" spans="2:10" s="18" customFormat="1" ht="60.75" customHeight="1">
      <c r="B55" s="30" t="s">
        <v>120</v>
      </c>
      <c r="C55" s="31" t="s">
        <v>69</v>
      </c>
      <c r="D55" s="31" t="s">
        <v>70</v>
      </c>
      <c r="E55" s="32">
        <v>20000</v>
      </c>
      <c r="F55" s="33" t="s">
        <v>56</v>
      </c>
      <c r="G55" s="34" t="s">
        <v>114</v>
      </c>
      <c r="H55" s="49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10000</v>
      </c>
      <c r="F56" s="33" t="s">
        <v>77</v>
      </c>
      <c r="G56" s="34" t="s">
        <v>114</v>
      </c>
      <c r="H56" s="34" t="s">
        <v>66</v>
      </c>
    </row>
    <row r="57" spans="2:10" s="18" customFormat="1" ht="36.75" customHeight="1">
      <c r="B57" s="30" t="s">
        <v>120</v>
      </c>
      <c r="C57" s="31" t="s">
        <v>12</v>
      </c>
      <c r="D57" s="31" t="s">
        <v>19</v>
      </c>
      <c r="E57" s="32">
        <v>130000</v>
      </c>
      <c r="F57" s="33" t="s">
        <v>56</v>
      </c>
      <c r="G57" s="34" t="s">
        <v>114</v>
      </c>
      <c r="H57" s="49"/>
    </row>
    <row r="58" spans="2:10" s="18" customFormat="1" ht="36.75" customHeight="1">
      <c r="B58" s="30" t="s">
        <v>120</v>
      </c>
      <c r="C58" s="31" t="s">
        <v>139</v>
      </c>
      <c r="D58" s="31" t="s">
        <v>140</v>
      </c>
      <c r="E58" s="32">
        <v>4900</v>
      </c>
      <c r="F58" s="33" t="s">
        <v>77</v>
      </c>
      <c r="G58" s="34" t="s">
        <v>114</v>
      </c>
      <c r="H58" s="34" t="s">
        <v>66</v>
      </c>
    </row>
    <row r="59" spans="2:10" s="18" customFormat="1" ht="54.75" customHeight="1">
      <c r="B59" s="30" t="s">
        <v>120</v>
      </c>
      <c r="C59" s="31" t="s">
        <v>100</v>
      </c>
      <c r="D59" s="31" t="s">
        <v>101</v>
      </c>
      <c r="E59" s="32">
        <v>15000</v>
      </c>
      <c r="F59" s="33" t="s">
        <v>53</v>
      </c>
      <c r="G59" s="34" t="s">
        <v>114</v>
      </c>
      <c r="H59" s="34" t="s">
        <v>66</v>
      </c>
    </row>
    <row r="60" spans="2:10" s="1" customFormat="1" ht="75" customHeight="1">
      <c r="B60" s="84" t="s">
        <v>122</v>
      </c>
      <c r="C60" s="85"/>
      <c r="D60" s="85"/>
      <c r="E60" s="16">
        <f>SUM(E61:E61)</f>
        <v>1700000</v>
      </c>
      <c r="F60" s="13"/>
      <c r="G60" s="14"/>
      <c r="H60" s="10"/>
      <c r="I60" s="26"/>
      <c r="J60" s="27"/>
    </row>
    <row r="61" spans="2:10" s="18" customFormat="1" ht="59.25" customHeight="1">
      <c r="B61" s="30" t="s">
        <v>120</v>
      </c>
      <c r="C61" s="31" t="s">
        <v>24</v>
      </c>
      <c r="D61" s="31" t="s">
        <v>63</v>
      </c>
      <c r="E61" s="32">
        <v>1700000</v>
      </c>
      <c r="F61" s="33" t="s">
        <v>56</v>
      </c>
      <c r="G61" s="34" t="s">
        <v>114</v>
      </c>
      <c r="H61" s="35"/>
    </row>
    <row r="62" spans="2:10" s="1" customFormat="1" ht="31.5" customHeight="1">
      <c r="B62" s="84" t="s">
        <v>123</v>
      </c>
      <c r="C62" s="85"/>
      <c r="D62" s="85"/>
      <c r="E62" s="16">
        <f>SUM(E63:E66)</f>
        <v>22250000</v>
      </c>
      <c r="F62" s="13"/>
      <c r="G62" s="9"/>
      <c r="H62" s="10"/>
      <c r="I62" s="26"/>
      <c r="J62" s="27"/>
    </row>
    <row r="63" spans="2:10" s="18" customFormat="1" ht="75.75" customHeight="1">
      <c r="B63" s="30" t="s">
        <v>120</v>
      </c>
      <c r="C63" s="31" t="s">
        <v>7</v>
      </c>
      <c r="D63" s="31" t="s">
        <v>49</v>
      </c>
      <c r="E63" s="32">
        <f>250000-100000</f>
        <v>150000</v>
      </c>
      <c r="F63" s="33" t="s">
        <v>53</v>
      </c>
      <c r="G63" s="34" t="s">
        <v>114</v>
      </c>
      <c r="H63" s="36" t="s">
        <v>83</v>
      </c>
    </row>
    <row r="64" spans="2:10" s="18" customFormat="1" ht="75.75" customHeight="1">
      <c r="B64" s="30" t="s">
        <v>118</v>
      </c>
      <c r="C64" s="31" t="s">
        <v>7</v>
      </c>
      <c r="D64" s="31" t="s">
        <v>49</v>
      </c>
      <c r="E64" s="32">
        <v>100000</v>
      </c>
      <c r="F64" s="33" t="s">
        <v>53</v>
      </c>
      <c r="G64" s="34" t="s">
        <v>124</v>
      </c>
      <c r="H64" s="36" t="s">
        <v>83</v>
      </c>
    </row>
    <row r="65" spans="2:14" s="18" customFormat="1" ht="121.5" customHeight="1">
      <c r="B65" s="30" t="s">
        <v>120</v>
      </c>
      <c r="C65" s="31">
        <v>33600000</v>
      </c>
      <c r="D65" s="31" t="s">
        <v>29</v>
      </c>
      <c r="E65" s="32">
        <v>16000000</v>
      </c>
      <c r="F65" s="33" t="s">
        <v>56</v>
      </c>
      <c r="G65" s="34" t="s">
        <v>114</v>
      </c>
      <c r="H65" s="35"/>
      <c r="J65" s="29"/>
      <c r="K65" s="29"/>
      <c r="L65" s="29"/>
      <c r="M65" s="29"/>
      <c r="N65" s="29"/>
    </row>
    <row r="66" spans="2:14" s="18" customFormat="1" ht="87.75" customHeight="1">
      <c r="B66" s="30" t="s">
        <v>120</v>
      </c>
      <c r="C66" s="31" t="s">
        <v>30</v>
      </c>
      <c r="D66" s="31" t="s">
        <v>29</v>
      </c>
      <c r="E66" s="32">
        <v>6000000</v>
      </c>
      <c r="F66" s="33" t="s">
        <v>53</v>
      </c>
      <c r="G66" s="34" t="s">
        <v>114</v>
      </c>
      <c r="H66" s="36" t="s">
        <v>84</v>
      </c>
      <c r="J66" s="21"/>
      <c r="K66" s="21"/>
      <c r="N66" s="21"/>
    </row>
    <row r="67" spans="2:14" s="1" customFormat="1" ht="60" customHeight="1">
      <c r="B67" s="84" t="s">
        <v>125</v>
      </c>
      <c r="C67" s="85"/>
      <c r="D67" s="85"/>
      <c r="E67" s="16">
        <f>SUM(E68:E71)</f>
        <v>1700000</v>
      </c>
      <c r="F67" s="13"/>
      <c r="G67" s="14"/>
      <c r="H67" s="10"/>
      <c r="I67" s="26"/>
      <c r="J67" s="27"/>
    </row>
    <row r="68" spans="2:14" s="18" customFormat="1" ht="36.75" customHeight="1">
      <c r="B68" s="30" t="s">
        <v>120</v>
      </c>
      <c r="C68" s="31" t="s">
        <v>7</v>
      </c>
      <c r="D68" s="31" t="s">
        <v>28</v>
      </c>
      <c r="E68" s="32">
        <v>50000</v>
      </c>
      <c r="F68" s="33" t="s">
        <v>56</v>
      </c>
      <c r="G68" s="34" t="s">
        <v>114</v>
      </c>
      <c r="H68" s="35"/>
    </row>
    <row r="69" spans="2:14" s="18" customFormat="1" ht="30.75" customHeight="1">
      <c r="B69" s="30" t="s">
        <v>120</v>
      </c>
      <c r="C69" s="31" t="s">
        <v>30</v>
      </c>
      <c r="D69" s="31" t="s">
        <v>29</v>
      </c>
      <c r="E69" s="32">
        <v>200000</v>
      </c>
      <c r="F69" s="33" t="s">
        <v>56</v>
      </c>
      <c r="G69" s="34" t="s">
        <v>114</v>
      </c>
      <c r="H69" s="35"/>
    </row>
    <row r="70" spans="2:14" s="18" customFormat="1" ht="45" customHeight="1">
      <c r="B70" s="30" t="s">
        <v>120</v>
      </c>
      <c r="C70" s="31" t="s">
        <v>75</v>
      </c>
      <c r="D70" s="31" t="s">
        <v>76</v>
      </c>
      <c r="E70" s="32">
        <v>620000</v>
      </c>
      <c r="F70" s="33" t="s">
        <v>56</v>
      </c>
      <c r="G70" s="34" t="s">
        <v>114</v>
      </c>
      <c r="H70" s="36"/>
    </row>
    <row r="71" spans="2:14" s="18" customFormat="1" ht="60" customHeight="1">
      <c r="B71" s="30" t="s">
        <v>120</v>
      </c>
      <c r="C71" s="31" t="s">
        <v>24</v>
      </c>
      <c r="D71" s="31" t="s">
        <v>63</v>
      </c>
      <c r="E71" s="32">
        <v>830000</v>
      </c>
      <c r="F71" s="33" t="s">
        <v>56</v>
      </c>
      <c r="G71" s="34" t="s">
        <v>114</v>
      </c>
      <c r="H71" s="36"/>
    </row>
    <row r="72" spans="2:14" s="1" customFormat="1" ht="65.25" customHeight="1">
      <c r="B72" s="84" t="s">
        <v>126</v>
      </c>
      <c r="C72" s="85"/>
      <c r="D72" s="85"/>
      <c r="E72" s="16">
        <f>SUM(E73:E74)</f>
        <v>1700000</v>
      </c>
      <c r="F72" s="13"/>
      <c r="G72" s="14"/>
      <c r="H72" s="10"/>
      <c r="I72" s="26"/>
      <c r="J72" s="27"/>
    </row>
    <row r="73" spans="2:14" s="18" customFormat="1" ht="33.75">
      <c r="B73" s="30" t="s">
        <v>120</v>
      </c>
      <c r="C73" s="37" t="s">
        <v>25</v>
      </c>
      <c r="D73" s="37" t="s">
        <v>61</v>
      </c>
      <c r="E73" s="32">
        <v>100000</v>
      </c>
      <c r="F73" s="38" t="s">
        <v>56</v>
      </c>
      <c r="G73" s="34" t="s">
        <v>114</v>
      </c>
      <c r="H73" s="39"/>
    </row>
    <row r="74" spans="2:14" s="18" customFormat="1" ht="60.75" customHeight="1">
      <c r="B74" s="30" t="s">
        <v>120</v>
      </c>
      <c r="C74" s="31">
        <v>85100000</v>
      </c>
      <c r="D74" s="31" t="s">
        <v>63</v>
      </c>
      <c r="E74" s="32">
        <v>1600000</v>
      </c>
      <c r="F74" s="33" t="s">
        <v>56</v>
      </c>
      <c r="G74" s="34" t="s">
        <v>114</v>
      </c>
      <c r="H74" s="40"/>
    </row>
    <row r="75" spans="2:14" s="1" customFormat="1" ht="61.5" customHeight="1">
      <c r="B75" s="84" t="s">
        <v>127</v>
      </c>
      <c r="C75" s="85"/>
      <c r="D75" s="85"/>
      <c r="E75" s="16">
        <f>SUM(E76:E76)</f>
        <v>170000</v>
      </c>
      <c r="F75" s="13"/>
      <c r="G75" s="14"/>
      <c r="H75" s="10"/>
      <c r="I75" s="26"/>
      <c r="J75" s="27"/>
    </row>
    <row r="76" spans="2:14" s="18" customFormat="1" ht="75" customHeight="1">
      <c r="B76" s="30" t="s">
        <v>120</v>
      </c>
      <c r="C76" s="31" t="s">
        <v>24</v>
      </c>
      <c r="D76" s="31" t="s">
        <v>63</v>
      </c>
      <c r="E76" s="32">
        <v>170000</v>
      </c>
      <c r="F76" s="33" t="s">
        <v>56</v>
      </c>
      <c r="G76" s="34" t="s">
        <v>114</v>
      </c>
      <c r="H76" s="36"/>
    </row>
    <row r="77" spans="2:14" s="1" customFormat="1" ht="65.25" customHeight="1">
      <c r="B77" s="95" t="s">
        <v>128</v>
      </c>
      <c r="C77" s="96"/>
      <c r="D77" s="96"/>
      <c r="E77" s="16">
        <f>SUM(E78:E81)</f>
        <v>1050000</v>
      </c>
      <c r="F77" s="13"/>
      <c r="G77" s="14"/>
      <c r="H77" s="25"/>
      <c r="I77" s="26"/>
      <c r="J77" s="27"/>
    </row>
    <row r="78" spans="2:14" s="18" customFormat="1" ht="49.5" customHeight="1">
      <c r="B78" s="30" t="s">
        <v>120</v>
      </c>
      <c r="C78" s="31" t="s">
        <v>14</v>
      </c>
      <c r="D78" s="31" t="s">
        <v>15</v>
      </c>
      <c r="E78" s="32">
        <v>25000</v>
      </c>
      <c r="F78" s="33" t="s">
        <v>52</v>
      </c>
      <c r="G78" s="34" t="s">
        <v>114</v>
      </c>
      <c r="H78" s="35"/>
    </row>
    <row r="79" spans="2:14" s="18" customFormat="1" ht="33.75">
      <c r="B79" s="30" t="s">
        <v>120</v>
      </c>
      <c r="C79" s="41">
        <v>33100000</v>
      </c>
      <c r="D79" s="41" t="s">
        <v>28</v>
      </c>
      <c r="E79" s="32">
        <v>410000</v>
      </c>
      <c r="F79" s="42" t="s">
        <v>56</v>
      </c>
      <c r="G79" s="34" t="s">
        <v>114</v>
      </c>
      <c r="H79" s="43"/>
    </row>
    <row r="80" spans="2:14" s="18" customFormat="1" ht="60.75" customHeight="1">
      <c r="B80" s="30" t="s">
        <v>120</v>
      </c>
      <c r="C80" s="31" t="s">
        <v>51</v>
      </c>
      <c r="D80" s="31" t="s">
        <v>36</v>
      </c>
      <c r="E80" s="32">
        <v>15000</v>
      </c>
      <c r="F80" s="33" t="s">
        <v>56</v>
      </c>
      <c r="G80" s="34" t="s">
        <v>114</v>
      </c>
      <c r="H80" s="35"/>
    </row>
    <row r="81" spans="2:10" s="18" customFormat="1" ht="65.25" customHeight="1">
      <c r="B81" s="30" t="s">
        <v>120</v>
      </c>
      <c r="C81" s="31">
        <v>85100000</v>
      </c>
      <c r="D81" s="31" t="s">
        <v>63</v>
      </c>
      <c r="E81" s="32">
        <v>600000</v>
      </c>
      <c r="F81" s="33" t="s">
        <v>56</v>
      </c>
      <c r="G81" s="34" t="s">
        <v>114</v>
      </c>
      <c r="H81" s="36"/>
    </row>
    <row r="82" spans="2:10" s="1" customFormat="1" ht="80.25" customHeight="1">
      <c r="B82" s="84" t="s">
        <v>129</v>
      </c>
      <c r="C82" s="85"/>
      <c r="D82" s="85"/>
      <c r="E82" s="16">
        <f>SUM(E83:E83)</f>
        <v>1250000</v>
      </c>
      <c r="F82" s="13"/>
      <c r="G82" s="14"/>
      <c r="H82" s="10"/>
      <c r="I82" s="26"/>
      <c r="J82" s="27"/>
    </row>
    <row r="83" spans="2:10" s="18" customFormat="1" ht="84.75" customHeight="1">
      <c r="B83" s="30" t="s">
        <v>120</v>
      </c>
      <c r="C83" s="31" t="s">
        <v>30</v>
      </c>
      <c r="D83" s="31" t="s">
        <v>29</v>
      </c>
      <c r="E83" s="32">
        <v>1250000</v>
      </c>
      <c r="F83" s="33" t="s">
        <v>56</v>
      </c>
      <c r="G83" s="34" t="s">
        <v>114</v>
      </c>
      <c r="H83" s="44"/>
    </row>
    <row r="84" spans="2:10" s="1" customFormat="1" ht="57.75" customHeight="1">
      <c r="B84" s="93" t="s">
        <v>130</v>
      </c>
      <c r="C84" s="94"/>
      <c r="D84" s="94"/>
      <c r="E84" s="22">
        <f>SUM(E85:E87)</f>
        <v>3150000</v>
      </c>
      <c r="F84" s="23"/>
      <c r="G84" s="23"/>
      <c r="H84" s="24"/>
      <c r="I84" s="26"/>
      <c r="J84" s="27"/>
    </row>
    <row r="85" spans="2:10" s="18" customFormat="1" ht="29.25" customHeight="1">
      <c r="B85" s="30" t="s">
        <v>120</v>
      </c>
      <c r="C85" s="45">
        <v>33100000</v>
      </c>
      <c r="D85" s="31" t="s">
        <v>8</v>
      </c>
      <c r="E85" s="32">
        <v>100000</v>
      </c>
      <c r="F85" s="33" t="s">
        <v>56</v>
      </c>
      <c r="G85" s="34" t="s">
        <v>114</v>
      </c>
      <c r="H85" s="34"/>
    </row>
    <row r="86" spans="2:10" s="18" customFormat="1" ht="33.75">
      <c r="B86" s="30" t="s">
        <v>120</v>
      </c>
      <c r="C86" s="45" t="s">
        <v>30</v>
      </c>
      <c r="D86" s="31" t="s">
        <v>9</v>
      </c>
      <c r="E86" s="32">
        <f>2500000-340000</f>
        <v>2160000</v>
      </c>
      <c r="F86" s="33" t="s">
        <v>56</v>
      </c>
      <c r="G86" s="34" t="s">
        <v>114</v>
      </c>
      <c r="H86" s="34"/>
    </row>
    <row r="87" spans="2:10" s="18" customFormat="1" ht="42.75" customHeight="1">
      <c r="B87" s="30" t="s">
        <v>120</v>
      </c>
      <c r="C87" s="31" t="s">
        <v>24</v>
      </c>
      <c r="D87" s="31" t="s">
        <v>63</v>
      </c>
      <c r="E87" s="32">
        <v>890000</v>
      </c>
      <c r="F87" s="33" t="s">
        <v>56</v>
      </c>
      <c r="G87" s="34" t="s">
        <v>114</v>
      </c>
      <c r="H87" s="40"/>
      <c r="I87" s="21">
        <f>E84-3150000</f>
        <v>0</v>
      </c>
    </row>
    <row r="88" spans="2:10" ht="133.5" customHeight="1">
      <c r="B88" s="84" t="s">
        <v>131</v>
      </c>
      <c r="C88" s="85"/>
      <c r="D88" s="85"/>
      <c r="E88" s="16">
        <f>SUM(E89)</f>
        <v>2400000</v>
      </c>
      <c r="F88" s="13"/>
      <c r="G88" s="14"/>
      <c r="H88" s="10"/>
      <c r="I88" s="26"/>
      <c r="J88" s="28"/>
    </row>
    <row r="89" spans="2:10" s="18" customFormat="1" ht="117.75" customHeight="1">
      <c r="B89" s="30" t="s">
        <v>120</v>
      </c>
      <c r="C89" s="31" t="s">
        <v>30</v>
      </c>
      <c r="D89" s="31" t="s">
        <v>29</v>
      </c>
      <c r="E89" s="32">
        <v>2400000</v>
      </c>
      <c r="F89" s="33" t="s">
        <v>56</v>
      </c>
      <c r="G89" s="34" t="s">
        <v>114</v>
      </c>
      <c r="H89" s="36"/>
    </row>
    <row r="90" spans="2:10" s="1" customFormat="1" ht="57" customHeight="1">
      <c r="B90" s="95" t="s">
        <v>132</v>
      </c>
      <c r="C90" s="96"/>
      <c r="D90" s="96"/>
      <c r="E90" s="16">
        <f>SUM(E91:E93)</f>
        <v>435000</v>
      </c>
      <c r="F90" s="13"/>
      <c r="G90" s="25"/>
      <c r="H90" s="25"/>
      <c r="I90" s="26"/>
      <c r="J90" s="27"/>
    </row>
    <row r="91" spans="2:10" s="18" customFormat="1" ht="59.25" customHeight="1">
      <c r="B91" s="30" t="s">
        <v>133</v>
      </c>
      <c r="C91" s="31">
        <v>33100000</v>
      </c>
      <c r="D91" s="31" t="s">
        <v>28</v>
      </c>
      <c r="E91" s="32">
        <v>10000</v>
      </c>
      <c r="F91" s="33" t="s">
        <v>56</v>
      </c>
      <c r="G91" s="34" t="s">
        <v>114</v>
      </c>
      <c r="H91" s="35"/>
    </row>
    <row r="92" spans="2:10" s="18" customFormat="1" ht="33.75">
      <c r="B92" s="30" t="s">
        <v>133</v>
      </c>
      <c r="C92" s="37">
        <v>33600000</v>
      </c>
      <c r="D92" s="37" t="s">
        <v>29</v>
      </c>
      <c r="E92" s="32">
        <v>320000</v>
      </c>
      <c r="F92" s="38" t="s">
        <v>56</v>
      </c>
      <c r="G92" s="34" t="s">
        <v>114</v>
      </c>
      <c r="H92" s="39"/>
    </row>
    <row r="93" spans="2:10" s="18" customFormat="1" ht="51" customHeight="1">
      <c r="B93" s="30" t="s">
        <v>120</v>
      </c>
      <c r="C93" s="45" t="s">
        <v>24</v>
      </c>
      <c r="D93" s="31" t="s">
        <v>63</v>
      </c>
      <c r="E93" s="32">
        <v>105000</v>
      </c>
      <c r="F93" s="33" t="s">
        <v>56</v>
      </c>
      <c r="G93" s="34" t="s">
        <v>114</v>
      </c>
      <c r="H93" s="40"/>
    </row>
    <row r="94" spans="2:10" ht="59.25" customHeight="1">
      <c r="B94" s="84" t="s">
        <v>134</v>
      </c>
      <c r="C94" s="85"/>
      <c r="D94" s="85"/>
      <c r="E94" s="16">
        <f>SUM(E95:E96)</f>
        <v>1500000</v>
      </c>
      <c r="F94" s="13"/>
      <c r="G94" s="14"/>
      <c r="H94" s="10"/>
      <c r="I94" s="26"/>
      <c r="J94" s="28"/>
    </row>
    <row r="95" spans="2:10" s="18" customFormat="1" ht="42.75" customHeight="1">
      <c r="B95" s="46" t="s">
        <v>120</v>
      </c>
      <c r="C95" s="31" t="s">
        <v>25</v>
      </c>
      <c r="D95" s="31" t="s">
        <v>61</v>
      </c>
      <c r="E95" s="32">
        <f>1500000-170000</f>
        <v>1330000</v>
      </c>
      <c r="F95" s="33" t="s">
        <v>56</v>
      </c>
      <c r="G95" s="34" t="s">
        <v>114</v>
      </c>
      <c r="H95" s="47"/>
    </row>
    <row r="96" spans="2:10" s="18" customFormat="1" ht="42.75" customHeight="1">
      <c r="B96" s="46" t="s">
        <v>137</v>
      </c>
      <c r="C96" s="31" t="s">
        <v>135</v>
      </c>
      <c r="D96" s="31" t="s">
        <v>136</v>
      </c>
      <c r="E96" s="32">
        <v>170000</v>
      </c>
      <c r="F96" s="33" t="s">
        <v>56</v>
      </c>
      <c r="G96" s="34" t="s">
        <v>114</v>
      </c>
      <c r="H96" s="47"/>
    </row>
    <row r="97" spans="2:10" ht="70.5" customHeight="1">
      <c r="B97" s="84" t="s">
        <v>138</v>
      </c>
      <c r="C97" s="85"/>
      <c r="D97" s="85"/>
      <c r="E97" s="16">
        <f>SUM(E98:E99)</f>
        <v>150000</v>
      </c>
      <c r="F97" s="13"/>
      <c r="G97" s="14"/>
      <c r="H97" s="10"/>
      <c r="I97" s="26"/>
      <c r="J97" s="28"/>
    </row>
    <row r="98" spans="2:10" s="18" customFormat="1" ht="33.75">
      <c r="B98" s="46" t="s">
        <v>120</v>
      </c>
      <c r="C98" s="31" t="s">
        <v>30</v>
      </c>
      <c r="D98" s="31" t="s">
        <v>29</v>
      </c>
      <c r="E98" s="31" t="s">
        <v>141</v>
      </c>
      <c r="F98" s="31" t="s">
        <v>56</v>
      </c>
      <c r="G98" s="34" t="s">
        <v>114</v>
      </c>
      <c r="H98" s="31"/>
    </row>
    <row r="99" spans="2:10" s="18" customFormat="1" ht="33.75">
      <c r="B99" s="46" t="s">
        <v>120</v>
      </c>
      <c r="C99" s="31" t="s">
        <v>7</v>
      </c>
      <c r="D99" s="31" t="s">
        <v>28</v>
      </c>
      <c r="E99" s="31">
        <v>150000</v>
      </c>
      <c r="F99" s="31" t="s">
        <v>56</v>
      </c>
      <c r="G99" s="34" t="s">
        <v>114</v>
      </c>
      <c r="H99" s="31"/>
    </row>
  </sheetData>
  <autoFilter ref="A8:H99"/>
  <mergeCells count="20">
    <mergeCell ref="B6:F6"/>
    <mergeCell ref="B9:D9"/>
    <mergeCell ref="B84:D84"/>
    <mergeCell ref="B90:D90"/>
    <mergeCell ref="B77:D77"/>
    <mergeCell ref="B2:H2"/>
    <mergeCell ref="B3:H3"/>
    <mergeCell ref="B4:E4"/>
    <mergeCell ref="F4:H4"/>
    <mergeCell ref="B5:E5"/>
    <mergeCell ref="F5:H5"/>
    <mergeCell ref="B97:D97"/>
    <mergeCell ref="B62:D62"/>
    <mergeCell ref="B60:D60"/>
    <mergeCell ref="B67:D67"/>
    <mergeCell ref="B75:D75"/>
    <mergeCell ref="B94:D94"/>
    <mergeCell ref="B82:D82"/>
    <mergeCell ref="B88:D88"/>
    <mergeCell ref="B72:D7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25" zoomScaleNormal="100" zoomScaleSheetLayoutView="80" workbookViewId="0">
      <selection activeCell="D132" sqref="D13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47117824.700000003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5087046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30" t="s">
        <v>118</v>
      </c>
      <c r="C27" s="50">
        <v>45200000</v>
      </c>
      <c r="D27" s="50" t="s">
        <v>164</v>
      </c>
      <c r="E27" s="32">
        <v>105010</v>
      </c>
      <c r="F27" s="33" t="s">
        <v>56</v>
      </c>
      <c r="G27" s="34" t="s">
        <v>151</v>
      </c>
      <c r="H27" s="49"/>
    </row>
    <row r="28" spans="2:14" s="18" customFormat="1" ht="51.75" customHeight="1">
      <c r="B28" s="30" t="s">
        <v>120</v>
      </c>
      <c r="C28" s="48">
        <v>45400000</v>
      </c>
      <c r="D28" s="50" t="s">
        <v>88</v>
      </c>
      <c r="E28" s="32">
        <f>300000-91000-105010</f>
        <v>103990</v>
      </c>
      <c r="F28" s="33" t="s">
        <v>56</v>
      </c>
      <c r="G28" s="34" t="s">
        <v>114</v>
      </c>
      <c r="H28" s="49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53" t="s">
        <v>120</v>
      </c>
      <c r="C43" s="55" t="s">
        <v>39</v>
      </c>
      <c r="D43" s="55" t="s">
        <v>40</v>
      </c>
      <c r="E43" s="56">
        <v>4970</v>
      </c>
      <c r="F43" s="57" t="s">
        <v>77</v>
      </c>
      <c r="G43" s="58" t="s">
        <v>114</v>
      </c>
      <c r="H43" s="55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46" t="s">
        <v>120</v>
      </c>
      <c r="C118" s="31" t="s">
        <v>7</v>
      </c>
      <c r="D118" s="31" t="s">
        <v>28</v>
      </c>
      <c r="E118" s="32">
        <v>45000</v>
      </c>
      <c r="F118" s="31" t="s">
        <v>144</v>
      </c>
      <c r="G118" s="34" t="s">
        <v>160</v>
      </c>
      <c r="H118" s="31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  <mergeCell ref="B110:D110"/>
    <mergeCell ref="B115:D115"/>
    <mergeCell ref="B86:D86"/>
    <mergeCell ref="B89:D89"/>
    <mergeCell ref="B95:D95"/>
    <mergeCell ref="B97:D97"/>
    <mergeCell ref="B102:D102"/>
    <mergeCell ref="B104:D10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6" zoomScaleNormal="100" zoomScaleSheetLayoutView="80" workbookViewId="0">
      <selection activeCell="J23" sqref="J23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47118324.700000003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5087546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</f>
        <v>500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2"/>
  <sheetViews>
    <sheetView topLeftCell="B115" zoomScaleNormal="100" zoomScaleSheetLayoutView="80" workbookViewId="0">
      <selection activeCell="N26" sqref="N2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E9+E67+E71+E77+E83+E87+E90+E96+E98+E103+E105+E111+E116</f>
        <v>47121998.700000003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SUM(E10:E66)</f>
        <v>5091220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</f>
        <v>4174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36.75" customHeight="1">
      <c r="B64" s="30" t="s">
        <v>120</v>
      </c>
      <c r="C64" s="31" t="s">
        <v>12</v>
      </c>
      <c r="D64" s="31" t="s">
        <v>19</v>
      </c>
      <c r="E64" s="32">
        <f>130000+6600</f>
        <v>136600</v>
      </c>
      <c r="F64" s="33" t="s">
        <v>56</v>
      </c>
      <c r="G64" s="34" t="s">
        <v>114</v>
      </c>
      <c r="H64" s="49"/>
    </row>
    <row r="65" spans="2:14" s="18" customFormat="1" ht="36.75" customHeight="1">
      <c r="B65" s="30" t="s">
        <v>120</v>
      </c>
      <c r="C65" s="31" t="s">
        <v>139</v>
      </c>
      <c r="D65" s="31" t="s">
        <v>140</v>
      </c>
      <c r="E65" s="32">
        <v>4900</v>
      </c>
      <c r="F65" s="33" t="s">
        <v>77</v>
      </c>
      <c r="G65" s="34" t="s">
        <v>114</v>
      </c>
      <c r="H65" s="34" t="s">
        <v>66</v>
      </c>
    </row>
    <row r="66" spans="2:14" s="18" customFormat="1" ht="54.75" customHeight="1">
      <c r="B66" s="30" t="s">
        <v>120</v>
      </c>
      <c r="C66" s="31" t="s">
        <v>100</v>
      </c>
      <c r="D66" s="31" t="s">
        <v>101</v>
      </c>
      <c r="E66" s="32">
        <v>15000</v>
      </c>
      <c r="F66" s="33" t="s">
        <v>53</v>
      </c>
      <c r="G66" s="34" t="s">
        <v>114</v>
      </c>
      <c r="H66" s="34" t="s">
        <v>66</v>
      </c>
    </row>
    <row r="67" spans="2:14" s="1" customFormat="1" ht="75" customHeight="1">
      <c r="B67" s="84" t="s">
        <v>122</v>
      </c>
      <c r="C67" s="85"/>
      <c r="D67" s="85"/>
      <c r="E67" s="16">
        <f>SUM(E68:E70)</f>
        <v>2524191.7000000002</v>
      </c>
      <c r="F67" s="13"/>
      <c r="G67" s="14"/>
      <c r="H67" s="10"/>
      <c r="I67" s="26"/>
      <c r="J67" s="27"/>
    </row>
    <row r="68" spans="2:14" s="18" customFormat="1" ht="59.25" customHeight="1">
      <c r="B68" s="30" t="s">
        <v>120</v>
      </c>
      <c r="C68" s="31" t="s">
        <v>24</v>
      </c>
      <c r="D68" s="31" t="s">
        <v>63</v>
      </c>
      <c r="E68" s="32">
        <v>2000000</v>
      </c>
      <c r="F68" s="33" t="s">
        <v>56</v>
      </c>
      <c r="G68" s="34" t="s">
        <v>114</v>
      </c>
      <c r="H68" s="35"/>
    </row>
    <row r="69" spans="2:14" s="18" customFormat="1" ht="90.75" customHeight="1">
      <c r="B69" s="30" t="s">
        <v>120</v>
      </c>
      <c r="C69" s="31" t="s">
        <v>24</v>
      </c>
      <c r="D69" s="31" t="s">
        <v>63</v>
      </c>
      <c r="E69" s="32">
        <v>121390</v>
      </c>
      <c r="F69" s="33" t="s">
        <v>53</v>
      </c>
      <c r="G69" s="34" t="s">
        <v>145</v>
      </c>
      <c r="H69" s="35" t="s">
        <v>146</v>
      </c>
    </row>
    <row r="70" spans="2:14" s="18" customFormat="1" ht="74.25" customHeight="1">
      <c r="B70" s="30" t="s">
        <v>120</v>
      </c>
      <c r="C70" s="31" t="s">
        <v>24</v>
      </c>
      <c r="D70" s="31" t="s">
        <v>63</v>
      </c>
      <c r="E70" s="32">
        <f>153466.1+13224+53288+19471.6+160022+3330</f>
        <v>402801.7</v>
      </c>
      <c r="F70" s="33" t="s">
        <v>53</v>
      </c>
      <c r="G70" s="34" t="s">
        <v>145</v>
      </c>
      <c r="H70" s="35" t="s">
        <v>147</v>
      </c>
    </row>
    <row r="71" spans="2:14" s="1" customFormat="1" ht="31.5" customHeight="1">
      <c r="B71" s="84" t="s">
        <v>123</v>
      </c>
      <c r="C71" s="85"/>
      <c r="D71" s="85"/>
      <c r="E71" s="16">
        <f>SUM(E72:E76)</f>
        <v>22970000</v>
      </c>
      <c r="F71" s="13"/>
      <c r="G71" s="9"/>
      <c r="H71" s="10"/>
      <c r="I71" s="26"/>
      <c r="J71" s="27"/>
    </row>
    <row r="72" spans="2:14" s="18" customFormat="1" ht="75.75" customHeight="1">
      <c r="B72" s="30" t="s">
        <v>120</v>
      </c>
      <c r="C72" s="31" t="s">
        <v>7</v>
      </c>
      <c r="D72" s="31" t="s">
        <v>49</v>
      </c>
      <c r="E72" s="32">
        <v>500000</v>
      </c>
      <c r="F72" s="33" t="s">
        <v>53</v>
      </c>
      <c r="G72" s="34" t="s">
        <v>114</v>
      </c>
      <c r="H72" s="36" t="s">
        <v>83</v>
      </c>
    </row>
    <row r="73" spans="2:14" s="18" customFormat="1" ht="75.75" customHeight="1">
      <c r="B73" s="30" t="s">
        <v>118</v>
      </c>
      <c r="C73" s="31" t="s">
        <v>7</v>
      </c>
      <c r="D73" s="31" t="s">
        <v>49</v>
      </c>
      <c r="E73" s="32">
        <v>100000</v>
      </c>
      <c r="F73" s="33" t="s">
        <v>53</v>
      </c>
      <c r="G73" s="34" t="s">
        <v>124</v>
      </c>
      <c r="H73" s="36" t="s">
        <v>83</v>
      </c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f>5721975+602964+2000000+200000</f>
        <v>8524939</v>
      </c>
      <c r="F74" s="33" t="s">
        <v>56</v>
      </c>
      <c r="G74" s="34" t="s">
        <v>114</v>
      </c>
      <c r="H74" s="35"/>
      <c r="I74" s="21"/>
      <c r="J74" s="29"/>
      <c r="K74" s="29"/>
      <c r="L74" s="29"/>
      <c r="M74" s="29"/>
      <c r="N74" s="29"/>
    </row>
    <row r="75" spans="2:14" s="18" customFormat="1" ht="121.5" customHeight="1">
      <c r="B75" s="30" t="s">
        <v>120</v>
      </c>
      <c r="C75" s="31">
        <v>33600000</v>
      </c>
      <c r="D75" s="31" t="s">
        <v>29</v>
      </c>
      <c r="E75" s="32">
        <v>5546250</v>
      </c>
      <c r="F75" s="33" t="s">
        <v>56</v>
      </c>
      <c r="G75" s="34" t="s">
        <v>114</v>
      </c>
      <c r="H75" s="35" t="s">
        <v>148</v>
      </c>
      <c r="I75" s="21"/>
      <c r="J75" s="29"/>
      <c r="K75" s="29"/>
      <c r="L75" s="29"/>
      <c r="M75" s="29"/>
      <c r="N75" s="29"/>
    </row>
    <row r="76" spans="2:14" s="18" customFormat="1" ht="87.75" customHeight="1">
      <c r="B76" s="30" t="s">
        <v>120</v>
      </c>
      <c r="C76" s="31" t="s">
        <v>30</v>
      </c>
      <c r="D76" s="31" t="s">
        <v>29</v>
      </c>
      <c r="E76" s="32">
        <f>6000000+2328811-30000</f>
        <v>8298811</v>
      </c>
      <c r="F76" s="33" t="s">
        <v>53</v>
      </c>
      <c r="G76" s="34" t="s">
        <v>114</v>
      </c>
      <c r="H76" s="36" t="s">
        <v>84</v>
      </c>
      <c r="J76" s="21"/>
      <c r="K76" s="21"/>
      <c r="N76" s="21"/>
    </row>
    <row r="77" spans="2:14" s="1" customFormat="1" ht="60" customHeight="1">
      <c r="B77" s="84" t="s">
        <v>125</v>
      </c>
      <c r="C77" s="85"/>
      <c r="D77" s="85"/>
      <c r="E77" s="16">
        <f>SUM(E78:E82)</f>
        <v>1700000</v>
      </c>
      <c r="F77" s="13"/>
      <c r="G77" s="14"/>
      <c r="H77" s="10"/>
      <c r="I77" s="26"/>
      <c r="J77" s="27"/>
    </row>
    <row r="78" spans="2:14" s="18" customFormat="1" ht="36.75" customHeight="1">
      <c r="B78" s="30" t="s">
        <v>120</v>
      </c>
      <c r="C78" s="31" t="s">
        <v>7</v>
      </c>
      <c r="D78" s="31" t="s">
        <v>28</v>
      </c>
      <c r="E78" s="32">
        <v>50000</v>
      </c>
      <c r="F78" s="33" t="s">
        <v>56</v>
      </c>
      <c r="G78" s="34" t="s">
        <v>114</v>
      </c>
      <c r="H78" s="35"/>
    </row>
    <row r="79" spans="2:14" s="18" customFormat="1" ht="30.75" customHeight="1">
      <c r="B79" s="30" t="s">
        <v>120</v>
      </c>
      <c r="C79" s="31" t="s">
        <v>30</v>
      </c>
      <c r="D79" s="31" t="s">
        <v>29</v>
      </c>
      <c r="E79" s="32">
        <f>200000-92300-30220</f>
        <v>77480</v>
      </c>
      <c r="F79" s="33" t="s">
        <v>56</v>
      </c>
      <c r="G79" s="34" t="s">
        <v>114</v>
      </c>
      <c r="H79" s="35"/>
    </row>
    <row r="80" spans="2:14" s="18" customFormat="1" ht="45" customHeight="1">
      <c r="B80" s="30" t="s">
        <v>120</v>
      </c>
      <c r="C80" s="31" t="s">
        <v>75</v>
      </c>
      <c r="D80" s="31" t="s">
        <v>76</v>
      </c>
      <c r="E80" s="32">
        <f>620000+92300</f>
        <v>712300</v>
      </c>
      <c r="F80" s="33" t="s">
        <v>56</v>
      </c>
      <c r="G80" s="34" t="s">
        <v>114</v>
      </c>
      <c r="H80" s="36"/>
    </row>
    <row r="81" spans="2:10" s="18" customFormat="1" ht="78" customHeight="1">
      <c r="B81" s="30" t="s">
        <v>120</v>
      </c>
      <c r="C81" s="31" t="s">
        <v>24</v>
      </c>
      <c r="D81" s="31" t="s">
        <v>63</v>
      </c>
      <c r="E81" s="32">
        <v>52208</v>
      </c>
      <c r="F81" s="33" t="s">
        <v>53</v>
      </c>
      <c r="G81" s="34" t="s">
        <v>149</v>
      </c>
      <c r="H81" s="36" t="s">
        <v>150</v>
      </c>
      <c r="J81" s="21"/>
    </row>
    <row r="82" spans="2:10" s="18" customFormat="1" ht="87.75" customHeight="1">
      <c r="B82" s="30" t="s">
        <v>120</v>
      </c>
      <c r="C82" s="31" t="s">
        <v>24</v>
      </c>
      <c r="D82" s="31" t="s">
        <v>63</v>
      </c>
      <c r="E82" s="32">
        <f>577500+171079.6+10376.4+3456+45600</f>
        <v>808012</v>
      </c>
      <c r="F82" s="33" t="s">
        <v>53</v>
      </c>
      <c r="G82" s="34" t="s">
        <v>151</v>
      </c>
      <c r="H82" s="36" t="s">
        <v>84</v>
      </c>
      <c r="J82" s="21"/>
    </row>
    <row r="83" spans="2:10" s="1" customFormat="1" ht="65.25" customHeight="1">
      <c r="B83" s="84" t="s">
        <v>126</v>
      </c>
      <c r="C83" s="85"/>
      <c r="D83" s="85"/>
      <c r="E83" s="16">
        <f>SUM(E84:E86)</f>
        <v>2864778</v>
      </c>
      <c r="F83" s="13"/>
      <c r="G83" s="14"/>
      <c r="H83" s="10"/>
      <c r="I83" s="26"/>
      <c r="J83" s="27"/>
    </row>
    <row r="84" spans="2:10" s="18" customFormat="1" ht="33.75">
      <c r="B84" s="30" t="s">
        <v>120</v>
      </c>
      <c r="C84" s="37" t="s">
        <v>25</v>
      </c>
      <c r="D84" s="37" t="s">
        <v>61</v>
      </c>
      <c r="E84" s="32">
        <v>200000</v>
      </c>
      <c r="F84" s="38" t="s">
        <v>56</v>
      </c>
      <c r="G84" s="34" t="s">
        <v>114</v>
      </c>
      <c r="H84" s="39"/>
    </row>
    <row r="85" spans="2:10" s="18" customFormat="1" ht="87.75" customHeight="1">
      <c r="B85" s="30" t="s">
        <v>120</v>
      </c>
      <c r="C85" s="31">
        <v>85100000</v>
      </c>
      <c r="D85" s="31" t="s">
        <v>63</v>
      </c>
      <c r="E85" s="32">
        <v>203458</v>
      </c>
      <c r="F85" s="33" t="s">
        <v>53</v>
      </c>
      <c r="G85" s="34" t="s">
        <v>152</v>
      </c>
      <c r="H85" s="40" t="s">
        <v>154</v>
      </c>
    </row>
    <row r="86" spans="2:10" s="18" customFormat="1" ht="69.75" customHeight="1">
      <c r="B86" s="30" t="s">
        <v>120</v>
      </c>
      <c r="C86" s="31">
        <v>85100000</v>
      </c>
      <c r="D86" s="31" t="s">
        <v>63</v>
      </c>
      <c r="E86" s="32">
        <v>2461320</v>
      </c>
      <c r="F86" s="33" t="s">
        <v>53</v>
      </c>
      <c r="G86" s="34" t="s">
        <v>153</v>
      </c>
      <c r="H86" s="36" t="s">
        <v>84</v>
      </c>
    </row>
    <row r="87" spans="2:10" s="1" customFormat="1" ht="61.5" customHeight="1">
      <c r="B87" s="84" t="s">
        <v>127</v>
      </c>
      <c r="C87" s="85"/>
      <c r="D87" s="85"/>
      <c r="E87" s="16">
        <f>SUM(E88:E89)</f>
        <v>184167</v>
      </c>
      <c r="F87" s="13"/>
      <c r="G87" s="14"/>
      <c r="H87" s="10"/>
      <c r="I87" s="26"/>
      <c r="J87" s="27"/>
    </row>
    <row r="88" spans="2:10" s="18" customFormat="1" ht="75" customHeight="1">
      <c r="B88" s="30" t="s">
        <v>120</v>
      </c>
      <c r="C88" s="31" t="s">
        <v>24</v>
      </c>
      <c r="D88" s="31" t="s">
        <v>63</v>
      </c>
      <c r="E88" s="32">
        <v>170000</v>
      </c>
      <c r="F88" s="33" t="s">
        <v>53</v>
      </c>
      <c r="G88" s="34" t="s">
        <v>153</v>
      </c>
      <c r="H88" s="36" t="s">
        <v>84</v>
      </c>
    </row>
    <row r="89" spans="2:10" s="18" customFormat="1" ht="91.5" customHeight="1">
      <c r="B89" s="30" t="s">
        <v>120</v>
      </c>
      <c r="C89" s="31" t="s">
        <v>24</v>
      </c>
      <c r="D89" s="31" t="s">
        <v>63</v>
      </c>
      <c r="E89" s="32">
        <v>14167</v>
      </c>
      <c r="F89" s="33" t="s">
        <v>53</v>
      </c>
      <c r="G89" s="34" t="s">
        <v>152</v>
      </c>
      <c r="H89" s="40" t="s">
        <v>154</v>
      </c>
    </row>
    <row r="90" spans="2:10" s="1" customFormat="1" ht="65.25" customHeight="1">
      <c r="B90" s="95" t="s">
        <v>128</v>
      </c>
      <c r="C90" s="96"/>
      <c r="D90" s="96"/>
      <c r="E90" s="16">
        <f>SUM(E91:E95)</f>
        <v>1655642</v>
      </c>
      <c r="F90" s="13"/>
      <c r="G90" s="14"/>
      <c r="H90" s="25"/>
      <c r="I90" s="26"/>
      <c r="J90" s="27"/>
    </row>
    <row r="91" spans="2:10" s="18" customFormat="1" ht="49.5" customHeight="1">
      <c r="B91" s="30" t="s">
        <v>120</v>
      </c>
      <c r="C91" s="31" t="s">
        <v>14</v>
      </c>
      <c r="D91" s="31" t="s">
        <v>15</v>
      </c>
      <c r="E91" s="32">
        <v>25000</v>
      </c>
      <c r="F91" s="33" t="s">
        <v>52</v>
      </c>
      <c r="G91" s="34" t="s">
        <v>114</v>
      </c>
      <c r="H91" s="35"/>
    </row>
    <row r="92" spans="2:10" s="18" customFormat="1" ht="33.75">
      <c r="B92" s="30" t="s">
        <v>120</v>
      </c>
      <c r="C92" s="41">
        <v>33100000</v>
      </c>
      <c r="D92" s="41" t="s">
        <v>28</v>
      </c>
      <c r="E92" s="32">
        <v>410000</v>
      </c>
      <c r="F92" s="42" t="s">
        <v>56</v>
      </c>
      <c r="G92" s="34" t="s">
        <v>114</v>
      </c>
      <c r="H92" s="43"/>
    </row>
    <row r="93" spans="2:10" s="18" customFormat="1" ht="60.75" customHeight="1">
      <c r="B93" s="30" t="s">
        <v>120</v>
      </c>
      <c r="C93" s="31" t="s">
        <v>51</v>
      </c>
      <c r="D93" s="31" t="s">
        <v>36</v>
      </c>
      <c r="E93" s="32">
        <v>15000</v>
      </c>
      <c r="F93" s="33" t="s">
        <v>56</v>
      </c>
      <c r="G93" s="34" t="s">
        <v>114</v>
      </c>
      <c r="H93" s="35"/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f>1081996+37800</f>
        <v>1119796</v>
      </c>
      <c r="F94" s="33" t="s">
        <v>53</v>
      </c>
      <c r="G94" s="34" t="s">
        <v>153</v>
      </c>
      <c r="H94" s="36" t="s">
        <v>84</v>
      </c>
    </row>
    <row r="95" spans="2:10" s="18" customFormat="1" ht="65.25" customHeight="1">
      <c r="B95" s="30" t="s">
        <v>120</v>
      </c>
      <c r="C95" s="31">
        <v>85100000</v>
      </c>
      <c r="D95" s="31" t="s">
        <v>63</v>
      </c>
      <c r="E95" s="32">
        <v>85846</v>
      </c>
      <c r="F95" s="33" t="s">
        <v>53</v>
      </c>
      <c r="G95" s="34" t="s">
        <v>152</v>
      </c>
      <c r="H95" s="40" t="s">
        <v>154</v>
      </c>
    </row>
    <row r="96" spans="2:10" s="1" customFormat="1" ht="80.25" customHeight="1">
      <c r="B96" s="84" t="s">
        <v>129</v>
      </c>
      <c r="C96" s="85"/>
      <c r="D96" s="85"/>
      <c r="E96" s="16">
        <f>SUM(E97:E97)</f>
        <v>1890000</v>
      </c>
      <c r="F96" s="13"/>
      <c r="G96" s="14"/>
      <c r="H96" s="10"/>
      <c r="I96" s="26"/>
      <c r="J96" s="27"/>
    </row>
    <row r="97" spans="2:10" s="18" customFormat="1" ht="84.75" customHeight="1">
      <c r="B97" s="30" t="s">
        <v>120</v>
      </c>
      <c r="C97" s="31" t="s">
        <v>30</v>
      </c>
      <c r="D97" s="31" t="s">
        <v>29</v>
      </c>
      <c r="E97" s="32">
        <v>1890000</v>
      </c>
      <c r="F97" s="33" t="s">
        <v>53</v>
      </c>
      <c r="G97" s="34" t="s">
        <v>114</v>
      </c>
      <c r="H97" s="36" t="s">
        <v>84</v>
      </c>
    </row>
    <row r="98" spans="2:10" s="1" customFormat="1" ht="57.75" customHeight="1">
      <c r="B98" s="93" t="s">
        <v>130</v>
      </c>
      <c r="C98" s="94"/>
      <c r="D98" s="94"/>
      <c r="E98" s="22">
        <f>SUM(E99:E102)</f>
        <v>3317000</v>
      </c>
      <c r="F98" s="23"/>
      <c r="G98" s="23"/>
      <c r="H98" s="24"/>
      <c r="I98" s="26"/>
      <c r="J98" s="27"/>
    </row>
    <row r="99" spans="2:10" s="18" customFormat="1" ht="29.25" customHeight="1">
      <c r="B99" s="30" t="s">
        <v>120</v>
      </c>
      <c r="C99" s="45">
        <v>33100000</v>
      </c>
      <c r="D99" s="31" t="s">
        <v>8</v>
      </c>
      <c r="E99" s="32">
        <v>100000</v>
      </c>
      <c r="F99" s="33" t="s">
        <v>56</v>
      </c>
      <c r="G99" s="34" t="s">
        <v>114</v>
      </c>
      <c r="H99" s="34"/>
    </row>
    <row r="100" spans="2:10" s="18" customFormat="1" ht="33.75">
      <c r="B100" s="30" t="s">
        <v>120</v>
      </c>
      <c r="C100" s="45" t="s">
        <v>30</v>
      </c>
      <c r="D100" s="31" t="s">
        <v>9</v>
      </c>
      <c r="E100" s="32">
        <f>2500000-340000-630198.8</f>
        <v>1529801.2</v>
      </c>
      <c r="F100" s="33" t="s">
        <v>56</v>
      </c>
      <c r="G100" s="34" t="s">
        <v>114</v>
      </c>
      <c r="H100" s="34"/>
      <c r="I100" s="21">
        <f>E98-3317000</f>
        <v>0</v>
      </c>
    </row>
    <row r="101" spans="2:10" s="18" customFormat="1" ht="90.75" customHeight="1">
      <c r="B101" s="30" t="s">
        <v>120</v>
      </c>
      <c r="C101" s="31" t="s">
        <v>24</v>
      </c>
      <c r="D101" s="31" t="s">
        <v>63</v>
      </c>
      <c r="E101" s="32">
        <v>111542</v>
      </c>
      <c r="F101" s="33" t="s">
        <v>77</v>
      </c>
      <c r="G101" s="34" t="s">
        <v>153</v>
      </c>
      <c r="H101" s="40" t="s">
        <v>154</v>
      </c>
      <c r="I101" s="21"/>
    </row>
    <row r="102" spans="2:10" s="18" customFormat="1" ht="75.75" customHeight="1">
      <c r="B102" s="30" t="s">
        <v>120</v>
      </c>
      <c r="C102" s="31" t="s">
        <v>24</v>
      </c>
      <c r="D102" s="31" t="s">
        <v>63</v>
      </c>
      <c r="E102" s="32">
        <f>840656.8+735000</f>
        <v>1575656.8</v>
      </c>
      <c r="F102" s="33" t="s">
        <v>77</v>
      </c>
      <c r="G102" s="34" t="s">
        <v>114</v>
      </c>
      <c r="H102" s="36" t="s">
        <v>84</v>
      </c>
      <c r="I102" s="21"/>
    </row>
    <row r="103" spans="2:10" ht="133.5" customHeight="1">
      <c r="B103" s="84" t="s">
        <v>131</v>
      </c>
      <c r="C103" s="85"/>
      <c r="D103" s="85"/>
      <c r="E103" s="16">
        <f>SUM(E104)</f>
        <v>2420000</v>
      </c>
      <c r="F103" s="13"/>
      <c r="G103" s="14"/>
      <c r="H103" s="10"/>
      <c r="I103" s="26"/>
      <c r="J103" s="28"/>
    </row>
    <row r="104" spans="2:10" s="18" customFormat="1" ht="117.75" customHeight="1">
      <c r="B104" s="30" t="s">
        <v>120</v>
      </c>
      <c r="C104" s="31" t="s">
        <v>30</v>
      </c>
      <c r="D104" s="31" t="s">
        <v>29</v>
      </c>
      <c r="E104" s="32">
        <v>2420000</v>
      </c>
      <c r="F104" s="33" t="s">
        <v>77</v>
      </c>
      <c r="G104" s="34" t="s">
        <v>114</v>
      </c>
      <c r="H104" s="36" t="s">
        <v>84</v>
      </c>
    </row>
    <row r="105" spans="2:10" s="1" customFormat="1" ht="57" customHeight="1">
      <c r="B105" s="95" t="s">
        <v>132</v>
      </c>
      <c r="C105" s="96"/>
      <c r="D105" s="96"/>
      <c r="E105" s="16">
        <f>SUM(E106:E110)</f>
        <v>430000</v>
      </c>
      <c r="F105" s="13"/>
      <c r="G105" s="25"/>
      <c r="H105" s="25"/>
      <c r="I105" s="26"/>
      <c r="J105" s="27"/>
    </row>
    <row r="106" spans="2:10" s="18" customFormat="1" ht="59.25" customHeight="1">
      <c r="B106" s="30" t="s">
        <v>133</v>
      </c>
      <c r="C106" s="31">
        <v>33100000</v>
      </c>
      <c r="D106" s="31" t="s">
        <v>28</v>
      </c>
      <c r="E106" s="32">
        <v>10000</v>
      </c>
      <c r="F106" s="33" t="s">
        <v>56</v>
      </c>
      <c r="G106" s="34" t="s">
        <v>114</v>
      </c>
      <c r="H106" s="35"/>
    </row>
    <row r="107" spans="2:10" s="18" customFormat="1" ht="33.75">
      <c r="B107" s="30" t="s">
        <v>133</v>
      </c>
      <c r="C107" s="37">
        <v>33600000</v>
      </c>
      <c r="D107" s="37" t="s">
        <v>29</v>
      </c>
      <c r="E107" s="32">
        <v>320000</v>
      </c>
      <c r="F107" s="38" t="s">
        <v>56</v>
      </c>
      <c r="G107" s="34" t="s">
        <v>114</v>
      </c>
      <c r="H107" s="39"/>
    </row>
    <row r="108" spans="2:10" s="18" customFormat="1" ht="69" customHeight="1">
      <c r="B108" s="30" t="s">
        <v>120</v>
      </c>
      <c r="C108" s="45" t="s">
        <v>24</v>
      </c>
      <c r="D108" s="31" t="s">
        <v>63</v>
      </c>
      <c r="E108" s="32">
        <f>16450</f>
        <v>16450</v>
      </c>
      <c r="F108" s="33" t="s">
        <v>53</v>
      </c>
      <c r="G108" s="34" t="s">
        <v>114</v>
      </c>
      <c r="H108" s="36" t="s">
        <v>84</v>
      </c>
    </row>
    <row r="109" spans="2:10" s="18" customFormat="1" ht="51" customHeight="1">
      <c r="B109" s="30" t="s">
        <v>120</v>
      </c>
      <c r="C109" s="45" t="s">
        <v>24</v>
      </c>
      <c r="D109" s="31" t="s">
        <v>63</v>
      </c>
      <c r="E109" s="32">
        <f>100000-E108-E110</f>
        <v>75325</v>
      </c>
      <c r="F109" s="33" t="s">
        <v>56</v>
      </c>
      <c r="G109" s="34" t="s">
        <v>114</v>
      </c>
      <c r="H109" s="40"/>
    </row>
    <row r="110" spans="2:10" s="18" customFormat="1" ht="103.5" customHeight="1">
      <c r="B110" s="30" t="s">
        <v>120</v>
      </c>
      <c r="C110" s="45" t="s">
        <v>155</v>
      </c>
      <c r="D110" s="31" t="s">
        <v>63</v>
      </c>
      <c r="E110" s="82">
        <v>8225</v>
      </c>
      <c r="F110" s="33" t="s">
        <v>53</v>
      </c>
      <c r="G110" s="34" t="s">
        <v>153</v>
      </c>
      <c r="H110" s="40" t="s">
        <v>146</v>
      </c>
    </row>
    <row r="111" spans="2:10" ht="59.25" customHeight="1">
      <c r="B111" s="84" t="s">
        <v>134</v>
      </c>
      <c r="C111" s="85"/>
      <c r="D111" s="85"/>
      <c r="E111" s="16">
        <f>SUM(E112:E115)</f>
        <v>1240000</v>
      </c>
      <c r="F111" s="13"/>
      <c r="G111" s="14"/>
      <c r="H111" s="10"/>
      <c r="I111" s="26"/>
      <c r="J111" s="28"/>
    </row>
    <row r="112" spans="2:10" s="18" customFormat="1" ht="42.75" customHeight="1">
      <c r="B112" s="46" t="s">
        <v>120</v>
      </c>
      <c r="C112" s="31" t="s">
        <v>25</v>
      </c>
      <c r="D112" s="31" t="s">
        <v>61</v>
      </c>
      <c r="E112" s="32">
        <f>1500000-170000-260000-90000-86410</f>
        <v>893590</v>
      </c>
      <c r="F112" s="33" t="s">
        <v>56</v>
      </c>
      <c r="G112" s="34" t="s">
        <v>114</v>
      </c>
      <c r="H112" s="47"/>
      <c r="I112" s="21"/>
    </row>
    <row r="113" spans="2:10" s="18" customFormat="1" ht="42.75" customHeight="1">
      <c r="B113" s="46" t="s">
        <v>137</v>
      </c>
      <c r="C113" s="31" t="s">
        <v>135</v>
      </c>
      <c r="D113" s="31" t="s">
        <v>136</v>
      </c>
      <c r="E113" s="32">
        <v>170000</v>
      </c>
      <c r="F113" s="33" t="s">
        <v>56</v>
      </c>
      <c r="G113" s="34" t="s">
        <v>114</v>
      </c>
      <c r="H113" s="47"/>
    </row>
    <row r="114" spans="2:10" s="18" customFormat="1" ht="82.5" customHeight="1">
      <c r="B114" s="30" t="s">
        <v>120</v>
      </c>
      <c r="C114" s="31" t="s">
        <v>156</v>
      </c>
      <c r="D114" s="31" t="s">
        <v>157</v>
      </c>
      <c r="E114" s="32">
        <v>90000</v>
      </c>
      <c r="F114" s="33" t="s">
        <v>53</v>
      </c>
      <c r="G114" s="34" t="s">
        <v>153</v>
      </c>
      <c r="H114" s="36" t="s">
        <v>84</v>
      </c>
    </row>
    <row r="115" spans="2:10" s="19" customFormat="1" ht="81.75" customHeight="1">
      <c r="B115" s="78" t="s">
        <v>120</v>
      </c>
      <c r="C115" s="41" t="s">
        <v>25</v>
      </c>
      <c r="D115" s="41" t="s">
        <v>61</v>
      </c>
      <c r="E115" s="79">
        <v>86410</v>
      </c>
      <c r="F115" s="42" t="s">
        <v>53</v>
      </c>
      <c r="G115" s="80" t="s">
        <v>151</v>
      </c>
      <c r="H115" s="81" t="s">
        <v>84</v>
      </c>
    </row>
    <row r="116" spans="2:10" ht="70.5" customHeight="1">
      <c r="B116" s="84" t="s">
        <v>138</v>
      </c>
      <c r="C116" s="85"/>
      <c r="D116" s="85"/>
      <c r="E116" s="16">
        <f>SUM(E117:E120)</f>
        <v>835000</v>
      </c>
      <c r="F116" s="13"/>
      <c r="G116" s="14"/>
      <c r="H116" s="10"/>
      <c r="I116" s="26"/>
      <c r="J116" s="28"/>
    </row>
    <row r="117" spans="2:10" s="18" customFormat="1" ht="33.75">
      <c r="B117" s="46" t="s">
        <v>120</v>
      </c>
      <c r="C117" s="31" t="s">
        <v>30</v>
      </c>
      <c r="D117" s="31" t="s">
        <v>29</v>
      </c>
      <c r="E117" s="32">
        <f>300000+300000</f>
        <v>600000</v>
      </c>
      <c r="F117" s="31" t="s">
        <v>56</v>
      </c>
      <c r="G117" s="34" t="s">
        <v>114</v>
      </c>
      <c r="H117" s="31"/>
    </row>
    <row r="118" spans="2:10" s="18" customFormat="1" ht="33.75">
      <c r="B118" s="46" t="s">
        <v>120</v>
      </c>
      <c r="C118" s="31" t="s">
        <v>7</v>
      </c>
      <c r="D118" s="31" t="s">
        <v>28</v>
      </c>
      <c r="E118" s="32">
        <f>150000</f>
        <v>150000</v>
      </c>
      <c r="F118" s="31" t="s">
        <v>56</v>
      </c>
      <c r="G118" s="34" t="s">
        <v>114</v>
      </c>
      <c r="H118" s="31"/>
    </row>
    <row r="119" spans="2:10" s="18" customFormat="1" ht="25.5">
      <c r="B119" s="46" t="s">
        <v>120</v>
      </c>
      <c r="C119" s="31" t="s">
        <v>7</v>
      </c>
      <c r="D119" s="31" t="s">
        <v>28</v>
      </c>
      <c r="E119" s="32">
        <v>45000</v>
      </c>
      <c r="F119" s="31" t="s">
        <v>144</v>
      </c>
      <c r="G119" s="34" t="s">
        <v>160</v>
      </c>
      <c r="H119" s="31"/>
    </row>
    <row r="120" spans="2:10" ht="33.75">
      <c r="B120" s="46" t="s">
        <v>120</v>
      </c>
      <c r="C120" s="31" t="s">
        <v>14</v>
      </c>
      <c r="D120" s="31" t="s">
        <v>32</v>
      </c>
      <c r="E120" s="32">
        <v>40000</v>
      </c>
      <c r="F120" s="31" t="s">
        <v>52</v>
      </c>
      <c r="G120" s="34" t="s">
        <v>163</v>
      </c>
      <c r="H120" s="31"/>
    </row>
    <row r="122" spans="2:10">
      <c r="E122" s="63"/>
    </row>
  </sheetData>
  <autoFilter ref="A8:H120"/>
  <mergeCells count="20">
    <mergeCell ref="B111:D111"/>
    <mergeCell ref="B116:D116"/>
    <mergeCell ref="B87:D87"/>
    <mergeCell ref="B90:D90"/>
    <mergeCell ref="B96:D96"/>
    <mergeCell ref="B98:D98"/>
    <mergeCell ref="B103:D103"/>
    <mergeCell ref="B105:D105"/>
    <mergeCell ref="B83:D83"/>
    <mergeCell ref="B2:H2"/>
    <mergeCell ref="B3:H3"/>
    <mergeCell ref="B4:E4"/>
    <mergeCell ref="F4:H4"/>
    <mergeCell ref="B5:E5"/>
    <mergeCell ref="F5:H5"/>
    <mergeCell ref="B6:F6"/>
    <mergeCell ref="B9:D9"/>
    <mergeCell ref="B67:D67"/>
    <mergeCell ref="B71:D71"/>
    <mergeCell ref="B77:D77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N123"/>
  <sheetViews>
    <sheetView topLeftCell="B1" zoomScaleNormal="100" zoomScaleSheetLayoutView="80" workbookViewId="0">
      <selection activeCell="D127" sqref="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E9+E68+E72+E78+E84+E88+E91+E97+E99+E104+E106+E112+E117</f>
        <v>47153798.700000003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hidden="1" customHeight="1">
      <c r="B9" s="91" t="s">
        <v>121</v>
      </c>
      <c r="C9" s="92"/>
      <c r="D9" s="92"/>
      <c r="E9" s="15">
        <f>SUM(E10:E67)</f>
        <v>5123020</v>
      </c>
      <c r="F9" s="11"/>
      <c r="G9" s="9"/>
      <c r="H9" s="10"/>
    </row>
    <row r="10" spans="2:8" s="18" customFormat="1" ht="33.75" hidden="1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 hidden="1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 hidden="1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 hidden="1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 hidden="1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hidden="1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hidden="1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hidden="1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hidden="1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hidden="1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hidden="1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hidden="1" customHeight="1">
      <c r="B21" s="30" t="s">
        <v>120</v>
      </c>
      <c r="C21" s="48">
        <v>33700000</v>
      </c>
      <c r="D21" s="31" t="s">
        <v>165</v>
      </c>
      <c r="E21" s="32">
        <f>500+3674</f>
        <v>4174</v>
      </c>
      <c r="F21" s="33" t="s">
        <v>53</v>
      </c>
      <c r="G21" s="34" t="s">
        <v>151</v>
      </c>
      <c r="H21" s="31"/>
    </row>
    <row r="22" spans="2:14" s="18" customFormat="1" ht="38.25" hidden="1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hidden="1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hidden="1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 hidden="1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 hidden="1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 hidden="1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hidden="1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hidden="1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 hidden="1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 hidden="1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hidden="1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hidden="1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hidden="1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hidden="1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hidden="1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hidden="1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hidden="1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hidden="1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hidden="1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hidden="1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hidden="1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hidden="1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 hidden="1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 hidden="1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 hidden="1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hidden="1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33.75" hidden="1">
      <c r="B49" s="30" t="s">
        <v>120</v>
      </c>
      <c r="C49" s="45" t="s">
        <v>47</v>
      </c>
      <c r="D49" s="31" t="s">
        <v>48</v>
      </c>
      <c r="E49" s="32">
        <v>1680</v>
      </c>
      <c r="F49" s="33" t="s">
        <v>77</v>
      </c>
      <c r="G49" s="34" t="s">
        <v>114</v>
      </c>
      <c r="H49" s="52"/>
    </row>
    <row r="50" spans="2:10" s="18" customFormat="1" ht="57" hidden="1" customHeight="1">
      <c r="B50" s="30" t="s">
        <v>120</v>
      </c>
      <c r="C50" s="45" t="s">
        <v>17</v>
      </c>
      <c r="D50" s="31" t="s">
        <v>16</v>
      </c>
      <c r="E50" s="32">
        <f>124000+28800</f>
        <v>152800</v>
      </c>
      <c r="F50" s="33" t="s">
        <v>53</v>
      </c>
      <c r="G50" s="34" t="s">
        <v>114</v>
      </c>
      <c r="H50" s="34" t="s">
        <v>59</v>
      </c>
    </row>
    <row r="51" spans="2:10" s="18" customFormat="1" ht="65.25" hidden="1" customHeight="1">
      <c r="B51" s="30" t="s">
        <v>120</v>
      </c>
      <c r="C51" s="45" t="s">
        <v>17</v>
      </c>
      <c r="D51" s="31" t="s">
        <v>16</v>
      </c>
      <c r="E51" s="32">
        <v>2000</v>
      </c>
      <c r="F51" s="33" t="s">
        <v>53</v>
      </c>
      <c r="G51" s="34" t="s">
        <v>114</v>
      </c>
      <c r="H51" s="34"/>
      <c r="J51" s="20"/>
    </row>
    <row r="52" spans="2:10" s="18" customFormat="1" ht="56.25" hidden="1">
      <c r="B52" s="30" t="s">
        <v>120</v>
      </c>
      <c r="C52" s="45" t="s">
        <v>64</v>
      </c>
      <c r="D52" s="31" t="s">
        <v>65</v>
      </c>
      <c r="E52" s="32">
        <v>1500</v>
      </c>
      <c r="F52" s="33" t="s">
        <v>53</v>
      </c>
      <c r="G52" s="34" t="s">
        <v>114</v>
      </c>
      <c r="H52" s="34" t="s">
        <v>66</v>
      </c>
    </row>
    <row r="53" spans="2:10" s="18" customFormat="1" ht="75" hidden="1" customHeight="1">
      <c r="B53" s="30" t="s">
        <v>120</v>
      </c>
      <c r="C53" s="45" t="s">
        <v>25</v>
      </c>
      <c r="D53" s="31" t="s">
        <v>104</v>
      </c>
      <c r="E53" s="32">
        <v>100000</v>
      </c>
      <c r="F53" s="33" t="s">
        <v>56</v>
      </c>
      <c r="G53" s="34" t="s">
        <v>114</v>
      </c>
      <c r="H53" s="34"/>
    </row>
    <row r="54" spans="2:10" s="18" customFormat="1" ht="75" hidden="1" customHeight="1">
      <c r="B54" s="30" t="s">
        <v>120</v>
      </c>
      <c r="C54" s="45" t="s">
        <v>112</v>
      </c>
      <c r="D54" s="31" t="s">
        <v>113</v>
      </c>
      <c r="E54" s="32">
        <v>3000</v>
      </c>
      <c r="F54" s="33" t="s">
        <v>53</v>
      </c>
      <c r="G54" s="34" t="s">
        <v>114</v>
      </c>
      <c r="H54" s="34" t="s">
        <v>66</v>
      </c>
    </row>
    <row r="55" spans="2:10" s="18" customFormat="1" ht="63.75" hidden="1" customHeight="1">
      <c r="B55" s="30" t="s">
        <v>120</v>
      </c>
      <c r="C55" s="31" t="s">
        <v>37</v>
      </c>
      <c r="D55" s="31" t="s">
        <v>55</v>
      </c>
      <c r="E55" s="32">
        <f>3950+6000</f>
        <v>9950</v>
      </c>
      <c r="F55" s="33" t="s">
        <v>56</v>
      </c>
      <c r="G55" s="34" t="s">
        <v>114</v>
      </c>
      <c r="H55" s="34"/>
    </row>
    <row r="56" spans="2:10" s="18" customFormat="1" ht="63.75" hidden="1" customHeight="1">
      <c r="B56" s="30" t="s">
        <v>120</v>
      </c>
      <c r="C56" s="31" t="s">
        <v>105</v>
      </c>
      <c r="D56" s="31" t="s">
        <v>106</v>
      </c>
      <c r="E56" s="32">
        <v>450</v>
      </c>
      <c r="F56" s="33" t="s">
        <v>53</v>
      </c>
      <c r="G56" s="34" t="s">
        <v>114</v>
      </c>
      <c r="H56" s="34"/>
    </row>
    <row r="57" spans="2:10" s="18" customFormat="1" ht="77.25" hidden="1" customHeight="1">
      <c r="B57" s="30" t="s">
        <v>120</v>
      </c>
      <c r="C57" s="48">
        <v>79700000</v>
      </c>
      <c r="D57" s="31" t="s">
        <v>27</v>
      </c>
      <c r="E57" s="32">
        <v>520000</v>
      </c>
      <c r="F57" s="33" t="s">
        <v>53</v>
      </c>
      <c r="G57" s="34" t="s">
        <v>114</v>
      </c>
      <c r="H57" s="34" t="s">
        <v>67</v>
      </c>
    </row>
    <row r="58" spans="2:10" s="18" customFormat="1" ht="62.25" hidden="1" customHeight="1">
      <c r="B58" s="30" t="s">
        <v>120</v>
      </c>
      <c r="C58" s="48">
        <v>79800000</v>
      </c>
      <c r="D58" s="31" t="s">
        <v>68</v>
      </c>
      <c r="E58" s="32">
        <f>10000+15000</f>
        <v>25000</v>
      </c>
      <c r="F58" s="33" t="s">
        <v>56</v>
      </c>
      <c r="G58" s="34" t="s">
        <v>114</v>
      </c>
      <c r="H58" s="34"/>
    </row>
    <row r="59" spans="2:10" s="18" customFormat="1" ht="62.25" hidden="1" customHeight="1">
      <c r="B59" s="30" t="s">
        <v>120</v>
      </c>
      <c r="C59" s="31" t="s">
        <v>45</v>
      </c>
      <c r="D59" s="31" t="s">
        <v>57</v>
      </c>
      <c r="E59" s="32">
        <v>25000</v>
      </c>
      <c r="F59" s="33" t="s">
        <v>53</v>
      </c>
      <c r="G59" s="34" t="s">
        <v>114</v>
      </c>
      <c r="H59" s="31" t="s">
        <v>60</v>
      </c>
    </row>
    <row r="60" spans="2:10" s="18" customFormat="1" ht="62.25" hidden="1" customHeight="1">
      <c r="B60" s="30" t="s">
        <v>120</v>
      </c>
      <c r="C60" s="45" t="s">
        <v>24</v>
      </c>
      <c r="D60" s="31" t="s">
        <v>63</v>
      </c>
      <c r="E60" s="32">
        <v>12000</v>
      </c>
      <c r="F60" s="33" t="s">
        <v>56</v>
      </c>
      <c r="G60" s="34" t="s">
        <v>114</v>
      </c>
      <c r="H60" s="31"/>
    </row>
    <row r="61" spans="2:10" s="18" customFormat="1" ht="62.25" hidden="1" customHeight="1">
      <c r="B61" s="30" t="s">
        <v>120</v>
      </c>
      <c r="C61" s="45" t="s">
        <v>107</v>
      </c>
      <c r="D61" s="31" t="s">
        <v>108</v>
      </c>
      <c r="E61" s="32">
        <v>1000</v>
      </c>
      <c r="F61" s="33" t="s">
        <v>53</v>
      </c>
      <c r="G61" s="34" t="s">
        <v>114</v>
      </c>
      <c r="H61" s="31"/>
    </row>
    <row r="62" spans="2:10" s="18" customFormat="1" ht="60.75" hidden="1" customHeight="1">
      <c r="B62" s="30" t="s">
        <v>120</v>
      </c>
      <c r="C62" s="31" t="s">
        <v>69</v>
      </c>
      <c r="D62" s="31" t="s">
        <v>70</v>
      </c>
      <c r="E62" s="32">
        <v>20000</v>
      </c>
      <c r="F62" s="33" t="s">
        <v>56</v>
      </c>
      <c r="G62" s="34" t="s">
        <v>114</v>
      </c>
      <c r="H62" s="49"/>
    </row>
    <row r="63" spans="2:10" s="18" customFormat="1" ht="60.75" hidden="1" customHeight="1">
      <c r="B63" s="30" t="s">
        <v>120</v>
      </c>
      <c r="C63" s="31" t="s">
        <v>69</v>
      </c>
      <c r="D63" s="31" t="s">
        <v>70</v>
      </c>
      <c r="E63" s="32">
        <v>10000</v>
      </c>
      <c r="F63" s="33" t="s">
        <v>77</v>
      </c>
      <c r="G63" s="34" t="s">
        <v>114</v>
      </c>
      <c r="H63" s="34" t="s">
        <v>66</v>
      </c>
    </row>
    <row r="64" spans="2:10" s="18" customFormat="1" ht="60.75" hidden="1" customHeight="1">
      <c r="B64" s="53" t="s">
        <v>120</v>
      </c>
      <c r="C64" s="55" t="s">
        <v>166</v>
      </c>
      <c r="D64" s="55" t="s">
        <v>167</v>
      </c>
      <c r="E64" s="56">
        <v>31800</v>
      </c>
      <c r="F64" s="57" t="s">
        <v>56</v>
      </c>
      <c r="G64" s="58" t="s">
        <v>151</v>
      </c>
      <c r="H64" s="58"/>
    </row>
    <row r="65" spans="2:14" s="18" customFormat="1" ht="36.75" hidden="1" customHeight="1">
      <c r="B65" s="30" t="s">
        <v>120</v>
      </c>
      <c r="C65" s="31" t="s">
        <v>12</v>
      </c>
      <c r="D65" s="31" t="s">
        <v>19</v>
      </c>
      <c r="E65" s="32">
        <f>130000+6600</f>
        <v>136600</v>
      </c>
      <c r="F65" s="33" t="s">
        <v>56</v>
      </c>
      <c r="G65" s="34" t="s">
        <v>114</v>
      </c>
      <c r="H65" s="49"/>
    </row>
    <row r="66" spans="2:14" s="18" customFormat="1" ht="36.75" hidden="1" customHeight="1">
      <c r="B66" s="30" t="s">
        <v>120</v>
      </c>
      <c r="C66" s="31" t="s">
        <v>139</v>
      </c>
      <c r="D66" s="31" t="s">
        <v>140</v>
      </c>
      <c r="E66" s="32">
        <v>4900</v>
      </c>
      <c r="F66" s="33" t="s">
        <v>77</v>
      </c>
      <c r="G66" s="34" t="s">
        <v>114</v>
      </c>
      <c r="H66" s="34" t="s">
        <v>66</v>
      </c>
    </row>
    <row r="67" spans="2:14" s="18" customFormat="1" ht="54.75" hidden="1" customHeight="1">
      <c r="B67" s="30" t="s">
        <v>120</v>
      </c>
      <c r="C67" s="31" t="s">
        <v>100</v>
      </c>
      <c r="D67" s="31" t="s">
        <v>101</v>
      </c>
      <c r="E67" s="32">
        <v>15000</v>
      </c>
      <c r="F67" s="33" t="s">
        <v>53</v>
      </c>
      <c r="G67" s="34" t="s">
        <v>114</v>
      </c>
      <c r="H67" s="34" t="s">
        <v>66</v>
      </c>
    </row>
    <row r="68" spans="2:14" s="1" customFormat="1" ht="75" hidden="1" customHeight="1">
      <c r="B68" s="84" t="s">
        <v>122</v>
      </c>
      <c r="C68" s="85"/>
      <c r="D68" s="85"/>
      <c r="E68" s="16">
        <f>SUM(E69:E71)</f>
        <v>2524191.7000000002</v>
      </c>
      <c r="F68" s="13"/>
      <c r="G68" s="14"/>
      <c r="H68" s="10"/>
      <c r="I68" s="26"/>
      <c r="J68" s="27"/>
    </row>
    <row r="69" spans="2:14" s="18" customFormat="1" ht="59.25" hidden="1" customHeight="1">
      <c r="B69" s="30" t="s">
        <v>120</v>
      </c>
      <c r="C69" s="31" t="s">
        <v>24</v>
      </c>
      <c r="D69" s="31" t="s">
        <v>63</v>
      </c>
      <c r="E69" s="32">
        <v>2000000</v>
      </c>
      <c r="F69" s="33" t="s">
        <v>56</v>
      </c>
      <c r="G69" s="34" t="s">
        <v>114</v>
      </c>
      <c r="H69" s="35"/>
    </row>
    <row r="70" spans="2:14" s="18" customFormat="1" ht="90.75" hidden="1" customHeight="1">
      <c r="B70" s="30" t="s">
        <v>120</v>
      </c>
      <c r="C70" s="31" t="s">
        <v>24</v>
      </c>
      <c r="D70" s="31" t="s">
        <v>63</v>
      </c>
      <c r="E70" s="32">
        <v>121390</v>
      </c>
      <c r="F70" s="33" t="s">
        <v>53</v>
      </c>
      <c r="G70" s="34" t="s">
        <v>145</v>
      </c>
      <c r="H70" s="35" t="s">
        <v>146</v>
      </c>
    </row>
    <row r="71" spans="2:14" s="18" customFormat="1" ht="74.25" hidden="1" customHeight="1">
      <c r="B71" s="30" t="s">
        <v>120</v>
      </c>
      <c r="C71" s="31" t="s">
        <v>24</v>
      </c>
      <c r="D71" s="31" t="s">
        <v>63</v>
      </c>
      <c r="E71" s="32">
        <f>153466.1+13224+53288+19471.6+160022+3330</f>
        <v>402801.7</v>
      </c>
      <c r="F71" s="33" t="s">
        <v>53</v>
      </c>
      <c r="G71" s="34" t="s">
        <v>145</v>
      </c>
      <c r="H71" s="35" t="s">
        <v>147</v>
      </c>
    </row>
    <row r="72" spans="2:14" s="1" customFormat="1" ht="31.5" hidden="1" customHeight="1">
      <c r="B72" s="84" t="s">
        <v>123</v>
      </c>
      <c r="C72" s="85"/>
      <c r="D72" s="85"/>
      <c r="E72" s="16">
        <f>SUM(E73:E77)</f>
        <v>22970000</v>
      </c>
      <c r="F72" s="13"/>
      <c r="G72" s="9"/>
      <c r="H72" s="10"/>
      <c r="I72" s="26"/>
      <c r="J72" s="27"/>
    </row>
    <row r="73" spans="2:14" s="18" customFormat="1" ht="75.75" hidden="1" customHeight="1">
      <c r="B73" s="30" t="s">
        <v>120</v>
      </c>
      <c r="C73" s="31" t="s">
        <v>7</v>
      </c>
      <c r="D73" s="31" t="s">
        <v>49</v>
      </c>
      <c r="E73" s="32">
        <v>500000</v>
      </c>
      <c r="F73" s="33" t="s">
        <v>53</v>
      </c>
      <c r="G73" s="34" t="s">
        <v>114</v>
      </c>
      <c r="H73" s="36" t="s">
        <v>83</v>
      </c>
    </row>
    <row r="74" spans="2:14" s="18" customFormat="1" ht="75.75" hidden="1" customHeight="1">
      <c r="B74" s="30" t="s">
        <v>118</v>
      </c>
      <c r="C74" s="31" t="s">
        <v>7</v>
      </c>
      <c r="D74" s="31" t="s">
        <v>49</v>
      </c>
      <c r="E74" s="32">
        <v>100000</v>
      </c>
      <c r="F74" s="33" t="s">
        <v>53</v>
      </c>
      <c r="G74" s="34" t="s">
        <v>124</v>
      </c>
      <c r="H74" s="36" t="s">
        <v>83</v>
      </c>
    </row>
    <row r="75" spans="2:14" s="18" customFormat="1" ht="121.5" hidden="1" customHeight="1">
      <c r="B75" s="30" t="s">
        <v>120</v>
      </c>
      <c r="C75" s="31">
        <v>33600000</v>
      </c>
      <c r="D75" s="31" t="s">
        <v>29</v>
      </c>
      <c r="E75" s="32">
        <f>5721975+602964+2000000+200000</f>
        <v>8524939</v>
      </c>
      <c r="F75" s="33" t="s">
        <v>56</v>
      </c>
      <c r="G75" s="34" t="s">
        <v>114</v>
      </c>
      <c r="H75" s="35"/>
      <c r="I75" s="21"/>
      <c r="J75" s="29"/>
      <c r="K75" s="29"/>
      <c r="L75" s="29"/>
      <c r="M75" s="29"/>
      <c r="N75" s="29"/>
    </row>
    <row r="76" spans="2:14" s="18" customFormat="1" ht="121.5" hidden="1" customHeight="1">
      <c r="B76" s="30" t="s">
        <v>120</v>
      </c>
      <c r="C76" s="31">
        <v>33600000</v>
      </c>
      <c r="D76" s="31" t="s">
        <v>29</v>
      </c>
      <c r="E76" s="32">
        <v>5546250</v>
      </c>
      <c r="F76" s="33" t="s">
        <v>56</v>
      </c>
      <c r="G76" s="34" t="s">
        <v>114</v>
      </c>
      <c r="H76" s="35" t="s">
        <v>148</v>
      </c>
      <c r="I76" s="21"/>
      <c r="J76" s="29"/>
      <c r="K76" s="29"/>
      <c r="L76" s="29"/>
      <c r="M76" s="29"/>
      <c r="N76" s="29"/>
    </row>
    <row r="77" spans="2:14" s="18" customFormat="1" ht="87.75" hidden="1" customHeight="1">
      <c r="B77" s="30" t="s">
        <v>120</v>
      </c>
      <c r="C77" s="31" t="s">
        <v>30</v>
      </c>
      <c r="D77" s="31" t="s">
        <v>29</v>
      </c>
      <c r="E77" s="32">
        <f>6000000+2328811-30000</f>
        <v>8298811</v>
      </c>
      <c r="F77" s="33" t="s">
        <v>53</v>
      </c>
      <c r="G77" s="34" t="s">
        <v>114</v>
      </c>
      <c r="H77" s="36" t="s">
        <v>84</v>
      </c>
      <c r="J77" s="21"/>
      <c r="K77" s="21"/>
      <c r="N77" s="21"/>
    </row>
    <row r="78" spans="2:14" s="1" customFormat="1" ht="60" hidden="1" customHeight="1">
      <c r="B78" s="84" t="s">
        <v>125</v>
      </c>
      <c r="C78" s="85"/>
      <c r="D78" s="85"/>
      <c r="E78" s="16">
        <f>SUM(E79:E83)</f>
        <v>1700000</v>
      </c>
      <c r="F78" s="13"/>
      <c r="G78" s="14"/>
      <c r="H78" s="10"/>
      <c r="I78" s="26"/>
      <c r="J78" s="27"/>
    </row>
    <row r="79" spans="2:14" s="18" customFormat="1" ht="36.75" hidden="1" customHeight="1">
      <c r="B79" s="30" t="s">
        <v>120</v>
      </c>
      <c r="C79" s="31" t="s">
        <v>7</v>
      </c>
      <c r="D79" s="31" t="s">
        <v>28</v>
      </c>
      <c r="E79" s="32">
        <v>50000</v>
      </c>
      <c r="F79" s="33" t="s">
        <v>56</v>
      </c>
      <c r="G79" s="34" t="s">
        <v>114</v>
      </c>
      <c r="H79" s="35"/>
    </row>
    <row r="80" spans="2:14" s="18" customFormat="1" ht="30.75" hidden="1" customHeight="1">
      <c r="B80" s="30" t="s">
        <v>120</v>
      </c>
      <c r="C80" s="31" t="s">
        <v>30</v>
      </c>
      <c r="D80" s="31" t="s">
        <v>29</v>
      </c>
      <c r="E80" s="32">
        <f>200000-92300-30220</f>
        <v>77480</v>
      </c>
      <c r="F80" s="33" t="s">
        <v>56</v>
      </c>
      <c r="G80" s="34" t="s">
        <v>114</v>
      </c>
      <c r="H80" s="35"/>
    </row>
    <row r="81" spans="2:10" s="18" customFormat="1" ht="45" hidden="1" customHeight="1">
      <c r="B81" s="30" t="s">
        <v>120</v>
      </c>
      <c r="C81" s="31" t="s">
        <v>75</v>
      </c>
      <c r="D81" s="31" t="s">
        <v>76</v>
      </c>
      <c r="E81" s="32">
        <f>620000+92300</f>
        <v>712300</v>
      </c>
      <c r="F81" s="33" t="s">
        <v>56</v>
      </c>
      <c r="G81" s="34" t="s">
        <v>114</v>
      </c>
      <c r="H81" s="36"/>
    </row>
    <row r="82" spans="2:10" s="18" customFormat="1" ht="78" hidden="1" customHeight="1">
      <c r="B82" s="30" t="s">
        <v>120</v>
      </c>
      <c r="C82" s="31" t="s">
        <v>24</v>
      </c>
      <c r="D82" s="31" t="s">
        <v>63</v>
      </c>
      <c r="E82" s="32">
        <v>52208</v>
      </c>
      <c r="F82" s="33" t="s">
        <v>53</v>
      </c>
      <c r="G82" s="34" t="s">
        <v>149</v>
      </c>
      <c r="H82" s="36" t="s">
        <v>150</v>
      </c>
      <c r="J82" s="21"/>
    </row>
    <row r="83" spans="2:10" s="18" customFormat="1" ht="87.75" hidden="1" customHeight="1">
      <c r="B83" s="30" t="s">
        <v>120</v>
      </c>
      <c r="C83" s="31" t="s">
        <v>24</v>
      </c>
      <c r="D83" s="31" t="s">
        <v>63</v>
      </c>
      <c r="E83" s="32">
        <f>577500+171079.6+10376.4+3456+45600</f>
        <v>808012</v>
      </c>
      <c r="F83" s="33" t="s">
        <v>53</v>
      </c>
      <c r="G83" s="34" t="s">
        <v>151</v>
      </c>
      <c r="H83" s="36" t="s">
        <v>84</v>
      </c>
      <c r="J83" s="21"/>
    </row>
    <row r="84" spans="2:10" s="1" customFormat="1" ht="65.25" hidden="1" customHeight="1">
      <c r="B84" s="84" t="s">
        <v>126</v>
      </c>
      <c r="C84" s="85"/>
      <c r="D84" s="85"/>
      <c r="E84" s="16">
        <f>SUM(E85:E87)</f>
        <v>2864778</v>
      </c>
      <c r="F84" s="13"/>
      <c r="G84" s="14"/>
      <c r="H84" s="10"/>
      <c r="I84" s="26"/>
      <c r="J84" s="27"/>
    </row>
    <row r="85" spans="2:10" s="18" customFormat="1" ht="33.75" hidden="1">
      <c r="B85" s="30" t="s">
        <v>120</v>
      </c>
      <c r="C85" s="37" t="s">
        <v>25</v>
      </c>
      <c r="D85" s="37" t="s">
        <v>61</v>
      </c>
      <c r="E85" s="32">
        <v>200000</v>
      </c>
      <c r="F85" s="38" t="s">
        <v>56</v>
      </c>
      <c r="G85" s="34" t="s">
        <v>114</v>
      </c>
      <c r="H85" s="39"/>
    </row>
    <row r="86" spans="2:10" s="18" customFormat="1" ht="87.75" hidden="1" customHeight="1">
      <c r="B86" s="30" t="s">
        <v>120</v>
      </c>
      <c r="C86" s="31">
        <v>85100000</v>
      </c>
      <c r="D86" s="31" t="s">
        <v>63</v>
      </c>
      <c r="E86" s="32">
        <v>203458</v>
      </c>
      <c r="F86" s="33" t="s">
        <v>53</v>
      </c>
      <c r="G86" s="34" t="s">
        <v>152</v>
      </c>
      <c r="H86" s="40" t="s">
        <v>154</v>
      </c>
    </row>
    <row r="87" spans="2:10" s="18" customFormat="1" ht="69.75" hidden="1" customHeight="1">
      <c r="B87" s="30" t="s">
        <v>120</v>
      </c>
      <c r="C87" s="31">
        <v>85100000</v>
      </c>
      <c r="D87" s="31" t="s">
        <v>63</v>
      </c>
      <c r="E87" s="32">
        <v>2461320</v>
      </c>
      <c r="F87" s="33" t="s">
        <v>53</v>
      </c>
      <c r="G87" s="34" t="s">
        <v>153</v>
      </c>
      <c r="H87" s="36" t="s">
        <v>84</v>
      </c>
    </row>
    <row r="88" spans="2:10" s="1" customFormat="1" ht="61.5" hidden="1" customHeight="1">
      <c r="B88" s="84" t="s">
        <v>127</v>
      </c>
      <c r="C88" s="85"/>
      <c r="D88" s="85"/>
      <c r="E88" s="16">
        <f>SUM(E89:E90)</f>
        <v>184167</v>
      </c>
      <c r="F88" s="13"/>
      <c r="G88" s="14"/>
      <c r="H88" s="10"/>
      <c r="I88" s="26"/>
      <c r="J88" s="27"/>
    </row>
    <row r="89" spans="2:10" s="18" customFormat="1" ht="75" hidden="1" customHeight="1">
      <c r="B89" s="30" t="s">
        <v>120</v>
      </c>
      <c r="C89" s="31" t="s">
        <v>24</v>
      </c>
      <c r="D89" s="31" t="s">
        <v>63</v>
      </c>
      <c r="E89" s="32">
        <v>170000</v>
      </c>
      <c r="F89" s="33" t="s">
        <v>53</v>
      </c>
      <c r="G89" s="34" t="s">
        <v>153</v>
      </c>
      <c r="H89" s="36" t="s">
        <v>84</v>
      </c>
    </row>
    <row r="90" spans="2:10" s="18" customFormat="1" ht="91.5" hidden="1" customHeight="1">
      <c r="B90" s="30" t="s">
        <v>120</v>
      </c>
      <c r="C90" s="31" t="s">
        <v>24</v>
      </c>
      <c r="D90" s="31" t="s">
        <v>63</v>
      </c>
      <c r="E90" s="32">
        <v>14167</v>
      </c>
      <c r="F90" s="33" t="s">
        <v>53</v>
      </c>
      <c r="G90" s="34" t="s">
        <v>152</v>
      </c>
      <c r="H90" s="40" t="s">
        <v>154</v>
      </c>
    </row>
    <row r="91" spans="2:10" s="1" customFormat="1" ht="65.25" hidden="1" customHeight="1">
      <c r="B91" s="95" t="s">
        <v>128</v>
      </c>
      <c r="C91" s="96"/>
      <c r="D91" s="96"/>
      <c r="E91" s="16">
        <f>SUM(E92:E96)</f>
        <v>1655642</v>
      </c>
      <c r="F91" s="13"/>
      <c r="G91" s="14"/>
      <c r="H91" s="25"/>
      <c r="I91" s="26"/>
      <c r="J91" s="27"/>
    </row>
    <row r="92" spans="2:10" s="18" customFormat="1" ht="49.5" hidden="1" customHeight="1">
      <c r="B92" s="30" t="s">
        <v>120</v>
      </c>
      <c r="C92" s="31" t="s">
        <v>14</v>
      </c>
      <c r="D92" s="31" t="s">
        <v>15</v>
      </c>
      <c r="E92" s="32">
        <v>25000</v>
      </c>
      <c r="F92" s="33" t="s">
        <v>52</v>
      </c>
      <c r="G92" s="34" t="s">
        <v>114</v>
      </c>
      <c r="H92" s="35"/>
    </row>
    <row r="93" spans="2:10" s="18" customFormat="1" ht="33.75" hidden="1">
      <c r="B93" s="30" t="s">
        <v>120</v>
      </c>
      <c r="C93" s="41">
        <v>33100000</v>
      </c>
      <c r="D93" s="41" t="s">
        <v>28</v>
      </c>
      <c r="E93" s="32">
        <v>410000</v>
      </c>
      <c r="F93" s="42" t="s">
        <v>56</v>
      </c>
      <c r="G93" s="34" t="s">
        <v>114</v>
      </c>
      <c r="H93" s="43"/>
    </row>
    <row r="94" spans="2:10" s="18" customFormat="1" ht="60.75" hidden="1" customHeight="1">
      <c r="B94" s="30" t="s">
        <v>120</v>
      </c>
      <c r="C94" s="31" t="s">
        <v>51</v>
      </c>
      <c r="D94" s="31" t="s">
        <v>36</v>
      </c>
      <c r="E94" s="32">
        <v>15000</v>
      </c>
      <c r="F94" s="33" t="s">
        <v>56</v>
      </c>
      <c r="G94" s="34" t="s">
        <v>114</v>
      </c>
      <c r="H94" s="35"/>
    </row>
    <row r="95" spans="2:10" s="18" customFormat="1" ht="65.25" hidden="1" customHeight="1">
      <c r="B95" s="30" t="s">
        <v>120</v>
      </c>
      <c r="C95" s="31">
        <v>85100000</v>
      </c>
      <c r="D95" s="31" t="s">
        <v>63</v>
      </c>
      <c r="E95" s="32">
        <f>1081996+37800</f>
        <v>1119796</v>
      </c>
      <c r="F95" s="33" t="s">
        <v>53</v>
      </c>
      <c r="G95" s="34" t="s">
        <v>153</v>
      </c>
      <c r="H95" s="36" t="s">
        <v>84</v>
      </c>
    </row>
    <row r="96" spans="2:10" s="18" customFormat="1" ht="65.25" hidden="1" customHeight="1">
      <c r="B96" s="30" t="s">
        <v>120</v>
      </c>
      <c r="C96" s="31">
        <v>85100000</v>
      </c>
      <c r="D96" s="31" t="s">
        <v>63</v>
      </c>
      <c r="E96" s="32">
        <v>85846</v>
      </c>
      <c r="F96" s="33" t="s">
        <v>53</v>
      </c>
      <c r="G96" s="34" t="s">
        <v>152</v>
      </c>
      <c r="H96" s="40" t="s">
        <v>154</v>
      </c>
    </row>
    <row r="97" spans="2:10" s="1" customFormat="1" ht="80.25" hidden="1" customHeight="1">
      <c r="B97" s="84" t="s">
        <v>129</v>
      </c>
      <c r="C97" s="85"/>
      <c r="D97" s="85"/>
      <c r="E97" s="16">
        <f>SUM(E98:E98)</f>
        <v>1890000</v>
      </c>
      <c r="F97" s="13"/>
      <c r="G97" s="14"/>
      <c r="H97" s="10"/>
      <c r="I97" s="26"/>
      <c r="J97" s="27"/>
    </row>
    <row r="98" spans="2:10" s="18" customFormat="1" ht="84.75" hidden="1" customHeight="1">
      <c r="B98" s="30" t="s">
        <v>120</v>
      </c>
      <c r="C98" s="31" t="s">
        <v>30</v>
      </c>
      <c r="D98" s="31" t="s">
        <v>29</v>
      </c>
      <c r="E98" s="32">
        <v>1890000</v>
      </c>
      <c r="F98" s="33" t="s">
        <v>53</v>
      </c>
      <c r="G98" s="34" t="s">
        <v>114</v>
      </c>
      <c r="H98" s="36" t="s">
        <v>84</v>
      </c>
    </row>
    <row r="99" spans="2:10" s="1" customFormat="1" ht="57.75" hidden="1" customHeight="1">
      <c r="B99" s="93" t="s">
        <v>130</v>
      </c>
      <c r="C99" s="94"/>
      <c r="D99" s="94"/>
      <c r="E99" s="22">
        <f>SUM(E100:E103)</f>
        <v>3317000</v>
      </c>
      <c r="F99" s="23"/>
      <c r="G99" s="23"/>
      <c r="H99" s="24"/>
      <c r="I99" s="26"/>
      <c r="J99" s="27"/>
    </row>
    <row r="100" spans="2:10" s="18" customFormat="1" ht="29.25" hidden="1" customHeight="1">
      <c r="B100" s="30" t="s">
        <v>120</v>
      </c>
      <c r="C100" s="45">
        <v>33100000</v>
      </c>
      <c r="D100" s="31" t="s">
        <v>8</v>
      </c>
      <c r="E100" s="32">
        <v>100000</v>
      </c>
      <c r="F100" s="33" t="s">
        <v>56</v>
      </c>
      <c r="G100" s="34" t="s">
        <v>114</v>
      </c>
      <c r="H100" s="34"/>
    </row>
    <row r="101" spans="2:10" s="18" customFormat="1" ht="33.75" hidden="1">
      <c r="B101" s="30" t="s">
        <v>120</v>
      </c>
      <c r="C101" s="45" t="s">
        <v>30</v>
      </c>
      <c r="D101" s="31" t="s">
        <v>9</v>
      </c>
      <c r="E101" s="32">
        <f>2500000-340000-630198.8</f>
        <v>1529801.2</v>
      </c>
      <c r="F101" s="33" t="s">
        <v>56</v>
      </c>
      <c r="G101" s="34" t="s">
        <v>114</v>
      </c>
      <c r="H101" s="34"/>
      <c r="I101" s="21">
        <f>E99-3317000</f>
        <v>0</v>
      </c>
    </row>
    <row r="102" spans="2:10" s="18" customFormat="1" ht="90.75" hidden="1" customHeight="1">
      <c r="B102" s="30" t="s">
        <v>120</v>
      </c>
      <c r="C102" s="31" t="s">
        <v>24</v>
      </c>
      <c r="D102" s="31" t="s">
        <v>63</v>
      </c>
      <c r="E102" s="32">
        <v>111542</v>
      </c>
      <c r="F102" s="33" t="s">
        <v>77</v>
      </c>
      <c r="G102" s="34" t="s">
        <v>153</v>
      </c>
      <c r="H102" s="40" t="s">
        <v>154</v>
      </c>
      <c r="I102" s="21"/>
    </row>
    <row r="103" spans="2:10" s="18" customFormat="1" ht="75.75" hidden="1" customHeight="1">
      <c r="B103" s="30" t="s">
        <v>120</v>
      </c>
      <c r="C103" s="31" t="s">
        <v>24</v>
      </c>
      <c r="D103" s="31" t="s">
        <v>63</v>
      </c>
      <c r="E103" s="32">
        <f>840656.8+735000</f>
        <v>1575656.8</v>
      </c>
      <c r="F103" s="33" t="s">
        <v>77</v>
      </c>
      <c r="G103" s="34" t="s">
        <v>114</v>
      </c>
      <c r="H103" s="36" t="s">
        <v>84</v>
      </c>
      <c r="I103" s="21"/>
    </row>
    <row r="104" spans="2:10" ht="133.5" hidden="1" customHeight="1">
      <c r="B104" s="84" t="s">
        <v>131</v>
      </c>
      <c r="C104" s="85"/>
      <c r="D104" s="85"/>
      <c r="E104" s="16">
        <f>SUM(E105)</f>
        <v>2420000</v>
      </c>
      <c r="F104" s="13"/>
      <c r="G104" s="14"/>
      <c r="H104" s="10"/>
      <c r="I104" s="26"/>
      <c r="J104" s="28"/>
    </row>
    <row r="105" spans="2:10" s="18" customFormat="1" ht="117.75" hidden="1" customHeight="1">
      <c r="B105" s="30" t="s">
        <v>120</v>
      </c>
      <c r="C105" s="31" t="s">
        <v>30</v>
      </c>
      <c r="D105" s="31" t="s">
        <v>29</v>
      </c>
      <c r="E105" s="32">
        <v>2420000</v>
      </c>
      <c r="F105" s="33" t="s">
        <v>77</v>
      </c>
      <c r="G105" s="34" t="s">
        <v>114</v>
      </c>
      <c r="H105" s="36" t="s">
        <v>84</v>
      </c>
    </row>
    <row r="106" spans="2:10" s="1" customFormat="1" ht="57" hidden="1" customHeight="1">
      <c r="B106" s="95" t="s">
        <v>132</v>
      </c>
      <c r="C106" s="96"/>
      <c r="D106" s="96"/>
      <c r="E106" s="16">
        <f>SUM(E107:E111)</f>
        <v>430000</v>
      </c>
      <c r="F106" s="13"/>
      <c r="G106" s="25"/>
      <c r="H106" s="25"/>
      <c r="I106" s="26"/>
      <c r="J106" s="27"/>
    </row>
    <row r="107" spans="2:10" s="18" customFormat="1" ht="59.25" hidden="1" customHeight="1">
      <c r="B107" s="30" t="s">
        <v>133</v>
      </c>
      <c r="C107" s="31">
        <v>33100000</v>
      </c>
      <c r="D107" s="31" t="s">
        <v>28</v>
      </c>
      <c r="E107" s="32">
        <v>10000</v>
      </c>
      <c r="F107" s="33" t="s">
        <v>56</v>
      </c>
      <c r="G107" s="34" t="s">
        <v>114</v>
      </c>
      <c r="H107" s="35"/>
    </row>
    <row r="108" spans="2:10" s="18" customFormat="1" ht="33.75" hidden="1">
      <c r="B108" s="30" t="s">
        <v>133</v>
      </c>
      <c r="C108" s="37">
        <v>33600000</v>
      </c>
      <c r="D108" s="37" t="s">
        <v>29</v>
      </c>
      <c r="E108" s="32">
        <v>320000</v>
      </c>
      <c r="F108" s="38" t="s">
        <v>56</v>
      </c>
      <c r="G108" s="34" t="s">
        <v>114</v>
      </c>
      <c r="H108" s="39"/>
    </row>
    <row r="109" spans="2:10" s="18" customFormat="1" ht="69" hidden="1" customHeight="1">
      <c r="B109" s="30" t="s">
        <v>120</v>
      </c>
      <c r="C109" s="45" t="s">
        <v>24</v>
      </c>
      <c r="D109" s="31" t="s">
        <v>63</v>
      </c>
      <c r="E109" s="32">
        <f>16450</f>
        <v>16450</v>
      </c>
      <c r="F109" s="33" t="s">
        <v>53</v>
      </c>
      <c r="G109" s="34" t="s">
        <v>114</v>
      </c>
      <c r="H109" s="36" t="s">
        <v>84</v>
      </c>
    </row>
    <row r="110" spans="2:10" s="18" customFormat="1" ht="51" hidden="1" customHeight="1">
      <c r="B110" s="30" t="s">
        <v>120</v>
      </c>
      <c r="C110" s="45" t="s">
        <v>24</v>
      </c>
      <c r="D110" s="31" t="s">
        <v>63</v>
      </c>
      <c r="E110" s="32">
        <f>100000-E109-E111</f>
        <v>75325</v>
      </c>
      <c r="F110" s="33" t="s">
        <v>56</v>
      </c>
      <c r="G110" s="34" t="s">
        <v>114</v>
      </c>
      <c r="H110" s="40"/>
    </row>
    <row r="111" spans="2:10" s="18" customFormat="1" ht="103.5" hidden="1" customHeight="1">
      <c r="B111" s="30" t="s">
        <v>120</v>
      </c>
      <c r="C111" s="45" t="s">
        <v>155</v>
      </c>
      <c r="D111" s="31" t="s">
        <v>63</v>
      </c>
      <c r="E111" s="82">
        <v>8225</v>
      </c>
      <c r="F111" s="33" t="s">
        <v>53</v>
      </c>
      <c r="G111" s="34" t="s">
        <v>153</v>
      </c>
      <c r="H111" s="40" t="s">
        <v>146</v>
      </c>
    </row>
    <row r="112" spans="2:10" ht="59.25" hidden="1" customHeight="1">
      <c r="B112" s="84" t="s">
        <v>134</v>
      </c>
      <c r="C112" s="85"/>
      <c r="D112" s="85"/>
      <c r="E112" s="16">
        <f>SUM(E113:E116)</f>
        <v>1240000</v>
      </c>
      <c r="F112" s="13"/>
      <c r="G112" s="14"/>
      <c r="H112" s="10"/>
      <c r="I112" s="26"/>
      <c r="J112" s="28"/>
    </row>
    <row r="113" spans="2:10" s="18" customFormat="1" ht="42.75" hidden="1" customHeight="1">
      <c r="B113" s="46" t="s">
        <v>120</v>
      </c>
      <c r="C113" s="31" t="s">
        <v>25</v>
      </c>
      <c r="D113" s="31" t="s">
        <v>61</v>
      </c>
      <c r="E113" s="32">
        <f>1500000-170000-260000-90000-86410</f>
        <v>893590</v>
      </c>
      <c r="F113" s="33" t="s">
        <v>56</v>
      </c>
      <c r="G113" s="34" t="s">
        <v>114</v>
      </c>
      <c r="H113" s="47"/>
      <c r="I113" s="21"/>
    </row>
    <row r="114" spans="2:10" s="18" customFormat="1" ht="42.75" hidden="1" customHeight="1">
      <c r="B114" s="46" t="s">
        <v>137</v>
      </c>
      <c r="C114" s="31" t="s">
        <v>135</v>
      </c>
      <c r="D114" s="31" t="s">
        <v>136</v>
      </c>
      <c r="E114" s="32">
        <v>170000</v>
      </c>
      <c r="F114" s="33" t="s">
        <v>56</v>
      </c>
      <c r="G114" s="34" t="s">
        <v>114</v>
      </c>
      <c r="H114" s="47"/>
    </row>
    <row r="115" spans="2:10" s="18" customFormat="1" ht="82.5" hidden="1" customHeight="1">
      <c r="B115" s="30" t="s">
        <v>120</v>
      </c>
      <c r="C115" s="31" t="s">
        <v>156</v>
      </c>
      <c r="D115" s="31" t="s">
        <v>157</v>
      </c>
      <c r="E115" s="32">
        <v>90000</v>
      </c>
      <c r="F115" s="33" t="s">
        <v>53</v>
      </c>
      <c r="G115" s="34" t="s">
        <v>153</v>
      </c>
      <c r="H115" s="36" t="s">
        <v>84</v>
      </c>
    </row>
    <row r="116" spans="2:10" s="19" customFormat="1" ht="81.75" hidden="1" customHeight="1">
      <c r="B116" s="78" t="s">
        <v>120</v>
      </c>
      <c r="C116" s="41" t="s">
        <v>25</v>
      </c>
      <c r="D116" s="41" t="s">
        <v>61</v>
      </c>
      <c r="E116" s="79">
        <v>86410</v>
      </c>
      <c r="F116" s="42" t="s">
        <v>53</v>
      </c>
      <c r="G116" s="80" t="s">
        <v>151</v>
      </c>
      <c r="H116" s="81" t="s">
        <v>84</v>
      </c>
    </row>
    <row r="117" spans="2:10" ht="70.5" hidden="1" customHeight="1">
      <c r="B117" s="84" t="s">
        <v>138</v>
      </c>
      <c r="C117" s="85"/>
      <c r="D117" s="85"/>
      <c r="E117" s="16">
        <f>SUM(E118:E121)</f>
        <v>835000</v>
      </c>
      <c r="F117" s="13"/>
      <c r="G117" s="14"/>
      <c r="H117" s="10"/>
      <c r="I117" s="26"/>
      <c r="J117" s="28"/>
    </row>
    <row r="118" spans="2:10" s="18" customFormat="1" ht="33.75" hidden="1">
      <c r="B118" s="46" t="s">
        <v>120</v>
      </c>
      <c r="C118" s="31" t="s">
        <v>30</v>
      </c>
      <c r="D118" s="31" t="s">
        <v>29</v>
      </c>
      <c r="E118" s="32">
        <f>300000+300000</f>
        <v>600000</v>
      </c>
      <c r="F118" s="31" t="s">
        <v>56</v>
      </c>
      <c r="G118" s="34" t="s">
        <v>114</v>
      </c>
      <c r="H118" s="31"/>
    </row>
    <row r="119" spans="2:10" s="18" customFormat="1" ht="33.75" hidden="1">
      <c r="B119" s="46" t="s">
        <v>120</v>
      </c>
      <c r="C119" s="31" t="s">
        <v>7</v>
      </c>
      <c r="D119" s="31" t="s">
        <v>28</v>
      </c>
      <c r="E119" s="32">
        <f>150000</f>
        <v>150000</v>
      </c>
      <c r="F119" s="31" t="s">
        <v>56</v>
      </c>
      <c r="G119" s="34" t="s">
        <v>114</v>
      </c>
      <c r="H119" s="31"/>
    </row>
    <row r="120" spans="2:10" s="18" customFormat="1" ht="25.5" hidden="1">
      <c r="B120" s="46" t="s">
        <v>120</v>
      </c>
      <c r="C120" s="31" t="s">
        <v>7</v>
      </c>
      <c r="D120" s="31" t="s">
        <v>28</v>
      </c>
      <c r="E120" s="32">
        <v>45000</v>
      </c>
      <c r="F120" s="31" t="s">
        <v>144</v>
      </c>
      <c r="G120" s="34" t="s">
        <v>160</v>
      </c>
      <c r="H120" s="31"/>
    </row>
    <row r="121" spans="2:10" ht="33.75" hidden="1">
      <c r="B121" s="46" t="s">
        <v>120</v>
      </c>
      <c r="C121" s="31" t="s">
        <v>14</v>
      </c>
      <c r="D121" s="31" t="s">
        <v>32</v>
      </c>
      <c r="E121" s="32">
        <v>40000</v>
      </c>
      <c r="F121" s="31" t="s">
        <v>52</v>
      </c>
      <c r="G121" s="34" t="s">
        <v>163</v>
      </c>
      <c r="H121" s="31"/>
    </row>
    <row r="123" spans="2:10">
      <c r="E123" s="63"/>
    </row>
  </sheetData>
  <autoFilter ref="A8:H121">
    <filterColumn colId="2">
      <filters>
        <filter val="39500000"/>
      </filters>
    </filterColumn>
  </autoFilter>
  <mergeCells count="20">
    <mergeCell ref="B84:D84"/>
    <mergeCell ref="B2:H2"/>
    <mergeCell ref="B3:H3"/>
    <mergeCell ref="B4:E4"/>
    <mergeCell ref="F4:H4"/>
    <mergeCell ref="B5:E5"/>
    <mergeCell ref="F5:H5"/>
    <mergeCell ref="B6:F6"/>
    <mergeCell ref="B9:D9"/>
    <mergeCell ref="B68:D68"/>
    <mergeCell ref="B72:D72"/>
    <mergeCell ref="B78:D78"/>
    <mergeCell ref="B112:D112"/>
    <mergeCell ref="B117:D117"/>
    <mergeCell ref="B88:D88"/>
    <mergeCell ref="B91:D91"/>
    <mergeCell ref="B97:D97"/>
    <mergeCell ref="B99:D99"/>
    <mergeCell ref="B104:D104"/>
    <mergeCell ref="B106:D10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4"/>
  <sheetViews>
    <sheetView topLeftCell="B46" zoomScaleNormal="100" zoomScaleSheetLayoutView="80" workbookViewId="0">
      <selection activeCell="D17" sqref="D1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E9+E69+E73+E79+E85+E89+E92+E98+E100+E105+E107+E113+E118</f>
        <v>47154618.700000003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SUM(E10:E68)</f>
        <v>5123840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53" t="s">
        <v>120</v>
      </c>
      <c r="C18" s="55" t="s">
        <v>7</v>
      </c>
      <c r="D18" s="55" t="s">
        <v>117</v>
      </c>
      <c r="E18" s="56">
        <f>100000-24000</f>
        <v>76000</v>
      </c>
      <c r="F18" s="57" t="s">
        <v>56</v>
      </c>
      <c r="G18" s="58" t="s">
        <v>114</v>
      </c>
      <c r="H18" s="55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53" t="s">
        <v>120</v>
      </c>
      <c r="C21" s="54">
        <v>33700000</v>
      </c>
      <c r="D21" s="55" t="s">
        <v>165</v>
      </c>
      <c r="E21" s="56">
        <f>500+3674+820</f>
        <v>4994</v>
      </c>
      <c r="F21" s="57" t="s">
        <v>53</v>
      </c>
      <c r="G21" s="58" t="s">
        <v>151</v>
      </c>
      <c r="H21" s="55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10800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41100000</v>
      </c>
      <c r="D23" s="31" t="s">
        <v>142</v>
      </c>
      <c r="E23" s="32">
        <v>9900</v>
      </c>
      <c r="F23" s="33" t="s">
        <v>52</v>
      </c>
      <c r="G23" s="34" t="s">
        <v>151</v>
      </c>
      <c r="H23" s="31"/>
    </row>
    <row r="24" spans="2:14" s="18" customFormat="1" ht="38.25" customHeight="1">
      <c r="B24" s="30" t="s">
        <v>120</v>
      </c>
      <c r="C24" s="31" t="s">
        <v>35</v>
      </c>
      <c r="D24" s="31" t="s">
        <v>34</v>
      </c>
      <c r="E24" s="32">
        <v>20000</v>
      </c>
      <c r="F24" s="33" t="s">
        <v>52</v>
      </c>
      <c r="G24" s="34" t="s">
        <v>114</v>
      </c>
      <c r="H24" s="44"/>
    </row>
    <row r="25" spans="2:14" s="18" customFormat="1" ht="33.75">
      <c r="B25" s="30" t="s">
        <v>120</v>
      </c>
      <c r="C25" s="31" t="s">
        <v>78</v>
      </c>
      <c r="D25" s="31" t="s">
        <v>79</v>
      </c>
      <c r="E25" s="32">
        <v>3000</v>
      </c>
      <c r="F25" s="33" t="s">
        <v>77</v>
      </c>
      <c r="G25" s="34" t="s">
        <v>114</v>
      </c>
      <c r="H25" s="49"/>
    </row>
    <row r="26" spans="2:14" s="18" customFormat="1" ht="33.75">
      <c r="B26" s="30" t="s">
        <v>120</v>
      </c>
      <c r="C26" s="31" t="s">
        <v>80</v>
      </c>
      <c r="D26" s="31" t="s">
        <v>81</v>
      </c>
      <c r="E26" s="32">
        <f>3000</f>
        <v>3000</v>
      </c>
      <c r="F26" s="33" t="s">
        <v>77</v>
      </c>
      <c r="G26" s="34" t="s">
        <v>114</v>
      </c>
      <c r="H26" s="49"/>
      <c r="N26" s="18" t="s">
        <v>143</v>
      </c>
    </row>
    <row r="27" spans="2:14" s="18" customFormat="1" ht="33.75">
      <c r="B27" s="30" t="s">
        <v>120</v>
      </c>
      <c r="C27" s="50">
        <v>39800000</v>
      </c>
      <c r="D27" s="50" t="s">
        <v>71</v>
      </c>
      <c r="E27" s="32">
        <v>2000</v>
      </c>
      <c r="F27" s="33" t="s">
        <v>77</v>
      </c>
      <c r="G27" s="34" t="s">
        <v>114</v>
      </c>
      <c r="H27" s="49"/>
    </row>
    <row r="28" spans="2:14" s="18" customFormat="1" ht="45">
      <c r="B28" s="30" t="s">
        <v>118</v>
      </c>
      <c r="C28" s="50">
        <v>45200000</v>
      </c>
      <c r="D28" s="50" t="s">
        <v>164</v>
      </c>
      <c r="E28" s="32">
        <v>105010</v>
      </c>
      <c r="F28" s="33" t="s">
        <v>56</v>
      </c>
      <c r="G28" s="34" t="s">
        <v>151</v>
      </c>
      <c r="H28" s="49"/>
    </row>
    <row r="29" spans="2:14" s="18" customFormat="1" ht="51.75" customHeight="1">
      <c r="B29" s="30" t="s">
        <v>120</v>
      </c>
      <c r="C29" s="48">
        <v>45400000</v>
      </c>
      <c r="D29" s="50" t="s">
        <v>88</v>
      </c>
      <c r="E29" s="32">
        <f>300000-91000-105010</f>
        <v>103990</v>
      </c>
      <c r="F29" s="33" t="s">
        <v>56</v>
      </c>
      <c r="G29" s="34" t="s">
        <v>114</v>
      </c>
      <c r="H29" s="49"/>
    </row>
    <row r="30" spans="2:14" s="18" customFormat="1" ht="37.5" customHeight="1">
      <c r="B30" s="30" t="s">
        <v>118</v>
      </c>
      <c r="C30" s="48">
        <v>48700000</v>
      </c>
      <c r="D30" s="31" t="s">
        <v>89</v>
      </c>
      <c r="E30" s="32">
        <v>80000</v>
      </c>
      <c r="F30" s="33" t="s">
        <v>56</v>
      </c>
      <c r="G30" s="34" t="s">
        <v>114</v>
      </c>
      <c r="H30" s="49"/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20000+15000+10000</f>
        <v>45000</v>
      </c>
      <c r="F31" s="33" t="s">
        <v>53</v>
      </c>
      <c r="G31" s="34" t="s">
        <v>114</v>
      </c>
      <c r="H31" s="51" t="s">
        <v>58</v>
      </c>
    </row>
    <row r="32" spans="2:14" s="18" customFormat="1" ht="56.25">
      <c r="B32" s="30" t="s">
        <v>120</v>
      </c>
      <c r="C32" s="31">
        <v>50100000</v>
      </c>
      <c r="D32" s="31" t="s">
        <v>36</v>
      </c>
      <c r="E32" s="32">
        <f>2200+420+60</f>
        <v>2680</v>
      </c>
      <c r="F32" s="33" t="s">
        <v>53</v>
      </c>
      <c r="G32" s="34" t="s">
        <v>151</v>
      </c>
      <c r="H32" s="51" t="s">
        <v>72</v>
      </c>
    </row>
    <row r="33" spans="2:8" s="18" customFormat="1" ht="92.25" customHeight="1">
      <c r="B33" s="30" t="s">
        <v>120</v>
      </c>
      <c r="C33" s="31" t="s">
        <v>51</v>
      </c>
      <c r="D33" s="31" t="s">
        <v>54</v>
      </c>
      <c r="E33" s="32">
        <v>140000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92</v>
      </c>
      <c r="D34" s="31" t="s">
        <v>93</v>
      </c>
      <c r="E34" s="32">
        <v>60000</v>
      </c>
      <c r="F34" s="33" t="s">
        <v>56</v>
      </c>
      <c r="G34" s="34" t="s">
        <v>114</v>
      </c>
      <c r="H34" s="49"/>
    </row>
    <row r="35" spans="2:8" s="18" customFormat="1" ht="92.25" customHeight="1">
      <c r="B35" s="30" t="s">
        <v>120</v>
      </c>
      <c r="C35" s="31" t="s">
        <v>90</v>
      </c>
      <c r="D35" s="31" t="s">
        <v>91</v>
      </c>
      <c r="E35" s="32">
        <v>210000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94</v>
      </c>
      <c r="D36" s="31" t="s">
        <v>95</v>
      </c>
      <c r="E36" s="32">
        <v>90000</v>
      </c>
      <c r="F36" s="33" t="s">
        <v>56</v>
      </c>
      <c r="G36" s="34" t="s">
        <v>114</v>
      </c>
      <c r="H36" s="37"/>
    </row>
    <row r="37" spans="2:8" s="18" customFormat="1" ht="102.75" customHeight="1">
      <c r="B37" s="30" t="s">
        <v>120</v>
      </c>
      <c r="C37" s="31" t="s">
        <v>73</v>
      </c>
      <c r="D37" s="31" t="s">
        <v>74</v>
      </c>
      <c r="E37" s="32">
        <v>25000</v>
      </c>
      <c r="F37" s="33" t="s">
        <v>56</v>
      </c>
      <c r="G37" s="34" t="s">
        <v>114</v>
      </c>
      <c r="H37" s="31"/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1700000</v>
      </c>
      <c r="F38" s="31" t="s">
        <v>53</v>
      </c>
      <c r="G38" s="34" t="s">
        <v>114</v>
      </c>
      <c r="H38" s="31" t="s">
        <v>85</v>
      </c>
    </row>
    <row r="39" spans="2:8" s="18" customFormat="1" ht="115.5" customHeight="1">
      <c r="B39" s="30" t="s">
        <v>120</v>
      </c>
      <c r="C39" s="31">
        <v>50700000</v>
      </c>
      <c r="D39" s="31" t="s">
        <v>13</v>
      </c>
      <c r="E39" s="32">
        <v>115000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161</v>
      </c>
      <c r="D40" s="31" t="s">
        <v>162</v>
      </c>
      <c r="E40" s="32">
        <v>91000</v>
      </c>
      <c r="F40" s="33" t="s">
        <v>56</v>
      </c>
      <c r="G40" s="34" t="s">
        <v>151</v>
      </c>
      <c r="H40" s="49"/>
    </row>
    <row r="41" spans="2:8" s="18" customFormat="1" ht="115.5" customHeight="1">
      <c r="B41" s="30" t="s">
        <v>120</v>
      </c>
      <c r="C41" s="31" t="s">
        <v>102</v>
      </c>
      <c r="D41" s="31" t="s">
        <v>103</v>
      </c>
      <c r="E41" s="32">
        <v>200000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96</v>
      </c>
      <c r="D42" s="31" t="s">
        <v>97</v>
      </c>
      <c r="E42" s="32">
        <v>120000</v>
      </c>
      <c r="F42" s="31" t="s">
        <v>56</v>
      </c>
      <c r="G42" s="34" t="s">
        <v>114</v>
      </c>
      <c r="H42" s="31"/>
    </row>
    <row r="43" spans="2:8" s="18" customFormat="1" ht="58.5" customHeight="1">
      <c r="B43" s="30" t="s">
        <v>120</v>
      </c>
      <c r="C43" s="48">
        <v>63700000</v>
      </c>
      <c r="D43" s="31" t="s">
        <v>62</v>
      </c>
      <c r="E43" s="32">
        <v>2000</v>
      </c>
      <c r="F43" s="33" t="s">
        <v>53</v>
      </c>
      <c r="G43" s="34" t="s">
        <v>114</v>
      </c>
      <c r="H43" s="34" t="s">
        <v>72</v>
      </c>
    </row>
    <row r="44" spans="2:8" s="18" customFormat="1" ht="63.75" customHeight="1">
      <c r="B44" s="30" t="s">
        <v>120</v>
      </c>
      <c r="C44" s="31" t="s">
        <v>39</v>
      </c>
      <c r="D44" s="31" t="s">
        <v>40</v>
      </c>
      <c r="E44" s="32">
        <v>4970</v>
      </c>
      <c r="F44" s="33" t="s">
        <v>77</v>
      </c>
      <c r="G44" s="34" t="s">
        <v>114</v>
      </c>
      <c r="H44" s="31"/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53</v>
      </c>
      <c r="G45" s="34" t="s">
        <v>114</v>
      </c>
      <c r="H45" s="34" t="s">
        <v>82</v>
      </c>
    </row>
    <row r="46" spans="2:8" s="18" customFormat="1" ht="56.25">
      <c r="B46" s="30" t="s">
        <v>120</v>
      </c>
      <c r="C46" s="45" t="s">
        <v>18</v>
      </c>
      <c r="D46" s="31" t="s">
        <v>38</v>
      </c>
      <c r="E46" s="32">
        <v>10000</v>
      </c>
      <c r="F46" s="33" t="s">
        <v>53</v>
      </c>
      <c r="G46" s="34" t="s">
        <v>114</v>
      </c>
      <c r="H46" s="34" t="s">
        <v>111</v>
      </c>
    </row>
    <row r="47" spans="2:8" s="18" customFormat="1" ht="33.7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52</v>
      </c>
      <c r="G47" s="34" t="s">
        <v>114</v>
      </c>
      <c r="H47" s="52"/>
    </row>
    <row r="48" spans="2:8" s="18" customFormat="1" ht="50.25" customHeight="1">
      <c r="B48" s="30" t="s">
        <v>119</v>
      </c>
      <c r="C48" s="45" t="s">
        <v>99</v>
      </c>
      <c r="D48" s="31" t="s">
        <v>98</v>
      </c>
      <c r="E48" s="32">
        <v>30000</v>
      </c>
      <c r="F48" s="33" t="s">
        <v>144</v>
      </c>
      <c r="G48" s="34" t="s">
        <v>114</v>
      </c>
      <c r="H48" s="34"/>
    </row>
    <row r="49" spans="2:10" s="18" customFormat="1" ht="50.25" customHeight="1">
      <c r="B49" s="53" t="s">
        <v>120</v>
      </c>
      <c r="C49" s="59" t="s">
        <v>168</v>
      </c>
      <c r="D49" s="55" t="s">
        <v>169</v>
      </c>
      <c r="E49" s="56">
        <v>24000</v>
      </c>
      <c r="F49" s="57" t="s">
        <v>56</v>
      </c>
      <c r="G49" s="58" t="s">
        <v>151</v>
      </c>
      <c r="H49" s="58"/>
    </row>
    <row r="50" spans="2:10" s="18" customFormat="1" ht="33.75">
      <c r="B50" s="30" t="s">
        <v>120</v>
      </c>
      <c r="C50" s="45" t="s">
        <v>47</v>
      </c>
      <c r="D50" s="31" t="s">
        <v>48</v>
      </c>
      <c r="E50" s="32">
        <v>1680</v>
      </c>
      <c r="F50" s="33" t="s">
        <v>77</v>
      </c>
      <c r="G50" s="34" t="s">
        <v>114</v>
      </c>
      <c r="H50" s="52"/>
    </row>
    <row r="51" spans="2:10" s="18" customFormat="1" ht="57" customHeight="1">
      <c r="B51" s="30" t="s">
        <v>120</v>
      </c>
      <c r="C51" s="45" t="s">
        <v>17</v>
      </c>
      <c r="D51" s="31" t="s">
        <v>16</v>
      </c>
      <c r="E51" s="32">
        <f>124000+28800</f>
        <v>152800</v>
      </c>
      <c r="F51" s="33" t="s">
        <v>53</v>
      </c>
      <c r="G51" s="34" t="s">
        <v>114</v>
      </c>
      <c r="H51" s="34" t="s">
        <v>59</v>
      </c>
    </row>
    <row r="52" spans="2:10" s="18" customFormat="1" ht="65.25" customHeight="1">
      <c r="B52" s="30" t="s">
        <v>120</v>
      </c>
      <c r="C52" s="45" t="s">
        <v>17</v>
      </c>
      <c r="D52" s="31" t="s">
        <v>16</v>
      </c>
      <c r="E52" s="32">
        <v>2000</v>
      </c>
      <c r="F52" s="33" t="s">
        <v>53</v>
      </c>
      <c r="G52" s="34" t="s">
        <v>114</v>
      </c>
      <c r="H52" s="34"/>
      <c r="J52" s="20"/>
    </row>
    <row r="53" spans="2:10" s="18" customFormat="1" ht="56.25">
      <c r="B53" s="30" t="s">
        <v>120</v>
      </c>
      <c r="C53" s="45" t="s">
        <v>64</v>
      </c>
      <c r="D53" s="31" t="s">
        <v>65</v>
      </c>
      <c r="E53" s="32">
        <v>1500</v>
      </c>
      <c r="F53" s="33" t="s">
        <v>53</v>
      </c>
      <c r="G53" s="34" t="s">
        <v>114</v>
      </c>
      <c r="H53" s="34" t="s">
        <v>66</v>
      </c>
    </row>
    <row r="54" spans="2:10" s="18" customFormat="1" ht="75" customHeight="1">
      <c r="B54" s="30" t="s">
        <v>120</v>
      </c>
      <c r="C54" s="45" t="s">
        <v>25</v>
      </c>
      <c r="D54" s="31" t="s">
        <v>104</v>
      </c>
      <c r="E54" s="32">
        <v>100000</v>
      </c>
      <c r="F54" s="33" t="s">
        <v>56</v>
      </c>
      <c r="G54" s="34" t="s">
        <v>114</v>
      </c>
      <c r="H54" s="34"/>
    </row>
    <row r="55" spans="2:10" s="18" customFormat="1" ht="75" customHeight="1">
      <c r="B55" s="30" t="s">
        <v>120</v>
      </c>
      <c r="C55" s="45" t="s">
        <v>112</v>
      </c>
      <c r="D55" s="31" t="s">
        <v>113</v>
      </c>
      <c r="E55" s="32">
        <v>3000</v>
      </c>
      <c r="F55" s="33" t="s">
        <v>53</v>
      </c>
      <c r="G55" s="34" t="s">
        <v>114</v>
      </c>
      <c r="H55" s="34" t="s">
        <v>66</v>
      </c>
    </row>
    <row r="56" spans="2:10" s="18" customFormat="1" ht="63.75" customHeight="1">
      <c r="B56" s="30" t="s">
        <v>120</v>
      </c>
      <c r="C56" s="31" t="s">
        <v>37</v>
      </c>
      <c r="D56" s="31" t="s">
        <v>55</v>
      </c>
      <c r="E56" s="32">
        <f>3950+6000</f>
        <v>9950</v>
      </c>
      <c r="F56" s="33" t="s">
        <v>56</v>
      </c>
      <c r="G56" s="34" t="s">
        <v>114</v>
      </c>
      <c r="H56" s="34"/>
    </row>
    <row r="57" spans="2:10" s="18" customFormat="1" ht="63.75" customHeight="1">
      <c r="B57" s="30" t="s">
        <v>120</v>
      </c>
      <c r="C57" s="31" t="s">
        <v>105</v>
      </c>
      <c r="D57" s="31" t="s">
        <v>106</v>
      </c>
      <c r="E57" s="32">
        <v>450</v>
      </c>
      <c r="F57" s="33" t="s">
        <v>53</v>
      </c>
      <c r="G57" s="34" t="s">
        <v>114</v>
      </c>
      <c r="H57" s="34"/>
    </row>
    <row r="58" spans="2:10" s="18" customFormat="1" ht="77.25" customHeight="1">
      <c r="B58" s="30" t="s">
        <v>120</v>
      </c>
      <c r="C58" s="48">
        <v>79700000</v>
      </c>
      <c r="D58" s="31" t="s">
        <v>27</v>
      </c>
      <c r="E58" s="32">
        <v>520000</v>
      </c>
      <c r="F58" s="33" t="s">
        <v>53</v>
      </c>
      <c r="G58" s="34" t="s">
        <v>114</v>
      </c>
      <c r="H58" s="34" t="s">
        <v>67</v>
      </c>
    </row>
    <row r="59" spans="2:10" s="18" customFormat="1" ht="62.25" customHeight="1">
      <c r="B59" s="30" t="s">
        <v>120</v>
      </c>
      <c r="C59" s="48">
        <v>79800000</v>
      </c>
      <c r="D59" s="31" t="s">
        <v>68</v>
      </c>
      <c r="E59" s="32">
        <f>10000+15000</f>
        <v>25000</v>
      </c>
      <c r="F59" s="33" t="s">
        <v>56</v>
      </c>
      <c r="G59" s="34" t="s">
        <v>114</v>
      </c>
      <c r="H59" s="34"/>
    </row>
    <row r="60" spans="2:10" s="18" customFormat="1" ht="62.25" customHeight="1">
      <c r="B60" s="30" t="s">
        <v>120</v>
      </c>
      <c r="C60" s="31" t="s">
        <v>45</v>
      </c>
      <c r="D60" s="31" t="s">
        <v>57</v>
      </c>
      <c r="E60" s="32">
        <v>25000</v>
      </c>
      <c r="F60" s="33" t="s">
        <v>53</v>
      </c>
      <c r="G60" s="34" t="s">
        <v>114</v>
      </c>
      <c r="H60" s="31" t="s">
        <v>60</v>
      </c>
    </row>
    <row r="61" spans="2:10" s="18" customFormat="1" ht="62.25" customHeight="1">
      <c r="B61" s="30" t="s">
        <v>120</v>
      </c>
      <c r="C61" s="45" t="s">
        <v>24</v>
      </c>
      <c r="D61" s="31" t="s">
        <v>63</v>
      </c>
      <c r="E61" s="32">
        <v>12000</v>
      </c>
      <c r="F61" s="33" t="s">
        <v>56</v>
      </c>
      <c r="G61" s="34" t="s">
        <v>114</v>
      </c>
      <c r="H61" s="31"/>
    </row>
    <row r="62" spans="2:10" s="18" customFormat="1" ht="62.25" customHeight="1">
      <c r="B62" s="30" t="s">
        <v>120</v>
      </c>
      <c r="C62" s="45" t="s">
        <v>107</v>
      </c>
      <c r="D62" s="31" t="s">
        <v>108</v>
      </c>
      <c r="E62" s="32">
        <v>1000</v>
      </c>
      <c r="F62" s="33" t="s">
        <v>53</v>
      </c>
      <c r="G62" s="34" t="s">
        <v>114</v>
      </c>
      <c r="H62" s="31"/>
    </row>
    <row r="63" spans="2:10" s="18" customFormat="1" ht="60.75" customHeight="1">
      <c r="B63" s="30" t="s">
        <v>120</v>
      </c>
      <c r="C63" s="31" t="s">
        <v>69</v>
      </c>
      <c r="D63" s="31" t="s">
        <v>70</v>
      </c>
      <c r="E63" s="32">
        <v>20000</v>
      </c>
      <c r="F63" s="33" t="s">
        <v>56</v>
      </c>
      <c r="G63" s="34" t="s">
        <v>114</v>
      </c>
      <c r="H63" s="49"/>
    </row>
    <row r="64" spans="2:10" s="18" customFormat="1" ht="60.75" customHeight="1">
      <c r="B64" s="30" t="s">
        <v>120</v>
      </c>
      <c r="C64" s="31" t="s">
        <v>69</v>
      </c>
      <c r="D64" s="31" t="s">
        <v>70</v>
      </c>
      <c r="E64" s="32">
        <v>10000</v>
      </c>
      <c r="F64" s="33" t="s">
        <v>77</v>
      </c>
      <c r="G64" s="34" t="s">
        <v>114</v>
      </c>
      <c r="H64" s="34" t="s">
        <v>66</v>
      </c>
    </row>
    <row r="65" spans="2:14" s="18" customFormat="1" ht="60.75" customHeight="1">
      <c r="B65" s="30" t="s">
        <v>120</v>
      </c>
      <c r="C65" s="31" t="s">
        <v>166</v>
      </c>
      <c r="D65" s="31" t="s">
        <v>167</v>
      </c>
      <c r="E65" s="32">
        <v>31800</v>
      </c>
      <c r="F65" s="33" t="s">
        <v>56</v>
      </c>
      <c r="G65" s="34" t="s">
        <v>151</v>
      </c>
      <c r="H65" s="34"/>
    </row>
    <row r="66" spans="2:14" s="18" customFormat="1" ht="36.75" customHeight="1">
      <c r="B66" s="30" t="s">
        <v>120</v>
      </c>
      <c r="C66" s="31" t="s">
        <v>12</v>
      </c>
      <c r="D66" s="31" t="s">
        <v>19</v>
      </c>
      <c r="E66" s="32">
        <f>130000+6600</f>
        <v>136600</v>
      </c>
      <c r="F66" s="33" t="s">
        <v>56</v>
      </c>
      <c r="G66" s="34" t="s">
        <v>114</v>
      </c>
      <c r="H66" s="49"/>
    </row>
    <row r="67" spans="2:14" s="18" customFormat="1" ht="36.75" customHeight="1">
      <c r="B67" s="30" t="s">
        <v>120</v>
      </c>
      <c r="C67" s="31" t="s">
        <v>139</v>
      </c>
      <c r="D67" s="31" t="s">
        <v>140</v>
      </c>
      <c r="E67" s="32">
        <v>4900</v>
      </c>
      <c r="F67" s="33" t="s">
        <v>77</v>
      </c>
      <c r="G67" s="34" t="s">
        <v>114</v>
      </c>
      <c r="H67" s="34" t="s">
        <v>66</v>
      </c>
    </row>
    <row r="68" spans="2:14" s="18" customFormat="1" ht="54.75" customHeight="1">
      <c r="B68" s="30" t="s">
        <v>120</v>
      </c>
      <c r="C68" s="31" t="s">
        <v>100</v>
      </c>
      <c r="D68" s="31" t="s">
        <v>101</v>
      </c>
      <c r="E68" s="32">
        <v>15000</v>
      </c>
      <c r="F68" s="33" t="s">
        <v>53</v>
      </c>
      <c r="G68" s="34" t="s">
        <v>114</v>
      </c>
      <c r="H68" s="34" t="s">
        <v>66</v>
      </c>
    </row>
    <row r="69" spans="2:14" s="1" customFormat="1" ht="75" customHeight="1">
      <c r="B69" s="84" t="s">
        <v>122</v>
      </c>
      <c r="C69" s="85"/>
      <c r="D69" s="85"/>
      <c r="E69" s="16">
        <f>SUM(E70:E72)</f>
        <v>2524191.7000000002</v>
      </c>
      <c r="F69" s="13"/>
      <c r="G69" s="14"/>
      <c r="H69" s="10"/>
      <c r="I69" s="26"/>
      <c r="J69" s="27"/>
    </row>
    <row r="70" spans="2:14" s="18" customFormat="1" ht="59.25" customHeight="1">
      <c r="B70" s="30" t="s">
        <v>120</v>
      </c>
      <c r="C70" s="31" t="s">
        <v>24</v>
      </c>
      <c r="D70" s="31" t="s">
        <v>63</v>
      </c>
      <c r="E70" s="32">
        <v>2000000</v>
      </c>
      <c r="F70" s="33" t="s">
        <v>56</v>
      </c>
      <c r="G70" s="34" t="s">
        <v>114</v>
      </c>
      <c r="H70" s="35"/>
    </row>
    <row r="71" spans="2:14" s="18" customFormat="1" ht="90.75" customHeight="1">
      <c r="B71" s="30" t="s">
        <v>120</v>
      </c>
      <c r="C71" s="31" t="s">
        <v>24</v>
      </c>
      <c r="D71" s="31" t="s">
        <v>63</v>
      </c>
      <c r="E71" s="32">
        <v>121390</v>
      </c>
      <c r="F71" s="33" t="s">
        <v>53</v>
      </c>
      <c r="G71" s="34" t="s">
        <v>145</v>
      </c>
      <c r="H71" s="35" t="s">
        <v>146</v>
      </c>
    </row>
    <row r="72" spans="2:14" s="18" customFormat="1" ht="74.25" customHeight="1">
      <c r="B72" s="30" t="s">
        <v>120</v>
      </c>
      <c r="C72" s="31" t="s">
        <v>24</v>
      </c>
      <c r="D72" s="31" t="s">
        <v>63</v>
      </c>
      <c r="E72" s="32">
        <f>153466.1+13224+53288+19471.6+160022+3330</f>
        <v>402801.7</v>
      </c>
      <c r="F72" s="33" t="s">
        <v>53</v>
      </c>
      <c r="G72" s="34" t="s">
        <v>145</v>
      </c>
      <c r="H72" s="35" t="s">
        <v>147</v>
      </c>
    </row>
    <row r="73" spans="2:14" s="1" customFormat="1" ht="31.5" customHeight="1">
      <c r="B73" s="84" t="s">
        <v>123</v>
      </c>
      <c r="C73" s="85"/>
      <c r="D73" s="85"/>
      <c r="E73" s="16">
        <f>SUM(E74:E78)</f>
        <v>22970000</v>
      </c>
      <c r="F73" s="13"/>
      <c r="G73" s="9"/>
      <c r="H73" s="10"/>
      <c r="I73" s="26"/>
      <c r="J73" s="27"/>
    </row>
    <row r="74" spans="2:14" s="18" customFormat="1" ht="75.75" customHeight="1">
      <c r="B74" s="30" t="s">
        <v>120</v>
      </c>
      <c r="C74" s="31" t="s">
        <v>7</v>
      </c>
      <c r="D74" s="31" t="s">
        <v>49</v>
      </c>
      <c r="E74" s="32">
        <v>500000</v>
      </c>
      <c r="F74" s="33" t="s">
        <v>53</v>
      </c>
      <c r="G74" s="34" t="s">
        <v>114</v>
      </c>
      <c r="H74" s="36" t="s">
        <v>83</v>
      </c>
    </row>
    <row r="75" spans="2:14" s="18" customFormat="1" ht="75.75" customHeight="1">
      <c r="B75" s="30" t="s">
        <v>118</v>
      </c>
      <c r="C75" s="31" t="s">
        <v>7</v>
      </c>
      <c r="D75" s="31" t="s">
        <v>49</v>
      </c>
      <c r="E75" s="32">
        <v>100000</v>
      </c>
      <c r="F75" s="33" t="s">
        <v>53</v>
      </c>
      <c r="G75" s="34" t="s">
        <v>124</v>
      </c>
      <c r="H75" s="36" t="s">
        <v>83</v>
      </c>
    </row>
    <row r="76" spans="2:14" s="18" customFormat="1" ht="121.5" customHeight="1">
      <c r="B76" s="30" t="s">
        <v>120</v>
      </c>
      <c r="C76" s="31">
        <v>33600000</v>
      </c>
      <c r="D76" s="31" t="s">
        <v>29</v>
      </c>
      <c r="E76" s="32">
        <f>5721975+602964+2000000+200000</f>
        <v>8524939</v>
      </c>
      <c r="F76" s="33" t="s">
        <v>56</v>
      </c>
      <c r="G76" s="34" t="s">
        <v>114</v>
      </c>
      <c r="H76" s="35"/>
      <c r="I76" s="21"/>
      <c r="J76" s="29"/>
      <c r="K76" s="29"/>
      <c r="L76" s="29"/>
      <c r="M76" s="29"/>
      <c r="N76" s="29"/>
    </row>
    <row r="77" spans="2:14" s="18" customFormat="1" ht="121.5" customHeight="1">
      <c r="B77" s="30" t="s">
        <v>120</v>
      </c>
      <c r="C77" s="31">
        <v>33600000</v>
      </c>
      <c r="D77" s="31" t="s">
        <v>29</v>
      </c>
      <c r="E77" s="32">
        <v>5546250</v>
      </c>
      <c r="F77" s="33" t="s">
        <v>56</v>
      </c>
      <c r="G77" s="34" t="s">
        <v>114</v>
      </c>
      <c r="H77" s="35" t="s">
        <v>148</v>
      </c>
      <c r="I77" s="21"/>
      <c r="J77" s="29"/>
      <c r="K77" s="29"/>
      <c r="L77" s="29"/>
      <c r="M77" s="29"/>
      <c r="N77" s="29"/>
    </row>
    <row r="78" spans="2:14" s="18" customFormat="1" ht="87.75" customHeight="1">
      <c r="B78" s="30" t="s">
        <v>120</v>
      </c>
      <c r="C78" s="31" t="s">
        <v>30</v>
      </c>
      <c r="D78" s="31" t="s">
        <v>29</v>
      </c>
      <c r="E78" s="32">
        <f>6000000+2328811-30000</f>
        <v>8298811</v>
      </c>
      <c r="F78" s="33" t="s">
        <v>53</v>
      </c>
      <c r="G78" s="34" t="s">
        <v>114</v>
      </c>
      <c r="H78" s="36" t="s">
        <v>84</v>
      </c>
      <c r="J78" s="21"/>
      <c r="K78" s="21"/>
      <c r="N78" s="21"/>
    </row>
    <row r="79" spans="2:14" s="1" customFormat="1" ht="60" customHeight="1">
      <c r="B79" s="84" t="s">
        <v>125</v>
      </c>
      <c r="C79" s="85"/>
      <c r="D79" s="85"/>
      <c r="E79" s="16">
        <f>SUM(E80:E84)</f>
        <v>1700000</v>
      </c>
      <c r="F79" s="13"/>
      <c r="G79" s="14"/>
      <c r="H79" s="10"/>
      <c r="I79" s="26"/>
      <c r="J79" s="27"/>
    </row>
    <row r="80" spans="2:14" s="18" customFormat="1" ht="36.75" customHeight="1">
      <c r="B80" s="30" t="s">
        <v>120</v>
      </c>
      <c r="C80" s="31" t="s">
        <v>7</v>
      </c>
      <c r="D80" s="31" t="s">
        <v>28</v>
      </c>
      <c r="E80" s="32">
        <v>50000</v>
      </c>
      <c r="F80" s="33" t="s">
        <v>56</v>
      </c>
      <c r="G80" s="34" t="s">
        <v>114</v>
      </c>
      <c r="H80" s="35"/>
    </row>
    <row r="81" spans="2:10" s="18" customFormat="1" ht="30.75" customHeight="1">
      <c r="B81" s="30" t="s">
        <v>120</v>
      </c>
      <c r="C81" s="31" t="s">
        <v>30</v>
      </c>
      <c r="D81" s="31" t="s">
        <v>29</v>
      </c>
      <c r="E81" s="32">
        <f>200000-92300-30220</f>
        <v>77480</v>
      </c>
      <c r="F81" s="33" t="s">
        <v>56</v>
      </c>
      <c r="G81" s="34" t="s">
        <v>114</v>
      </c>
      <c r="H81" s="35"/>
    </row>
    <row r="82" spans="2:10" s="18" customFormat="1" ht="45" customHeight="1">
      <c r="B82" s="30" t="s">
        <v>120</v>
      </c>
      <c r="C82" s="31" t="s">
        <v>75</v>
      </c>
      <c r="D82" s="31" t="s">
        <v>76</v>
      </c>
      <c r="E82" s="32">
        <f>620000+92300</f>
        <v>712300</v>
      </c>
      <c r="F82" s="33" t="s">
        <v>56</v>
      </c>
      <c r="G82" s="34" t="s">
        <v>114</v>
      </c>
      <c r="H82" s="36"/>
    </row>
    <row r="83" spans="2:10" s="18" customFormat="1" ht="78" customHeight="1">
      <c r="B83" s="30" t="s">
        <v>120</v>
      </c>
      <c r="C83" s="31" t="s">
        <v>24</v>
      </c>
      <c r="D83" s="31" t="s">
        <v>63</v>
      </c>
      <c r="E83" s="32">
        <v>52208</v>
      </c>
      <c r="F83" s="33" t="s">
        <v>53</v>
      </c>
      <c r="G83" s="34" t="s">
        <v>149</v>
      </c>
      <c r="H83" s="36" t="s">
        <v>150</v>
      </c>
      <c r="J83" s="21"/>
    </row>
    <row r="84" spans="2:10" s="18" customFormat="1" ht="87.75" customHeight="1">
      <c r="B84" s="30" t="s">
        <v>120</v>
      </c>
      <c r="C84" s="31" t="s">
        <v>24</v>
      </c>
      <c r="D84" s="31" t="s">
        <v>63</v>
      </c>
      <c r="E84" s="32">
        <f>577500+171079.6+10376.4+3456+45600</f>
        <v>808012</v>
      </c>
      <c r="F84" s="33" t="s">
        <v>53</v>
      </c>
      <c r="G84" s="34" t="s">
        <v>151</v>
      </c>
      <c r="H84" s="36" t="s">
        <v>84</v>
      </c>
      <c r="J84" s="21"/>
    </row>
    <row r="85" spans="2:10" s="1" customFormat="1" ht="65.25" customHeight="1">
      <c r="B85" s="84" t="s">
        <v>126</v>
      </c>
      <c r="C85" s="85"/>
      <c r="D85" s="85"/>
      <c r="E85" s="16">
        <f>SUM(E86:E88)</f>
        <v>2864778</v>
      </c>
      <c r="F85" s="13"/>
      <c r="G85" s="14"/>
      <c r="H85" s="10"/>
      <c r="I85" s="26"/>
      <c r="J85" s="27"/>
    </row>
    <row r="86" spans="2:10" s="18" customFormat="1" ht="33.75">
      <c r="B86" s="30" t="s">
        <v>120</v>
      </c>
      <c r="C86" s="37" t="s">
        <v>25</v>
      </c>
      <c r="D86" s="37" t="s">
        <v>61</v>
      </c>
      <c r="E86" s="32">
        <v>200000</v>
      </c>
      <c r="F86" s="38" t="s">
        <v>56</v>
      </c>
      <c r="G86" s="34" t="s">
        <v>114</v>
      </c>
      <c r="H86" s="39"/>
    </row>
    <row r="87" spans="2:10" s="18" customFormat="1" ht="87.75" customHeight="1">
      <c r="B87" s="30" t="s">
        <v>120</v>
      </c>
      <c r="C87" s="31">
        <v>85100000</v>
      </c>
      <c r="D87" s="31" t="s">
        <v>63</v>
      </c>
      <c r="E87" s="32">
        <v>203458</v>
      </c>
      <c r="F87" s="33" t="s">
        <v>53</v>
      </c>
      <c r="G87" s="34" t="s">
        <v>152</v>
      </c>
      <c r="H87" s="40" t="s">
        <v>154</v>
      </c>
    </row>
    <row r="88" spans="2:10" s="18" customFormat="1" ht="69.75" customHeight="1">
      <c r="B88" s="30" t="s">
        <v>120</v>
      </c>
      <c r="C88" s="31">
        <v>85100000</v>
      </c>
      <c r="D88" s="31" t="s">
        <v>63</v>
      </c>
      <c r="E88" s="32">
        <v>2461320</v>
      </c>
      <c r="F88" s="33" t="s">
        <v>53</v>
      </c>
      <c r="G88" s="34" t="s">
        <v>153</v>
      </c>
      <c r="H88" s="36" t="s">
        <v>84</v>
      </c>
    </row>
    <row r="89" spans="2:10" s="1" customFormat="1" ht="61.5" customHeight="1">
      <c r="B89" s="84" t="s">
        <v>127</v>
      </c>
      <c r="C89" s="85"/>
      <c r="D89" s="85"/>
      <c r="E89" s="16">
        <f>SUM(E90:E91)</f>
        <v>184167</v>
      </c>
      <c r="F89" s="13"/>
      <c r="G89" s="14"/>
      <c r="H89" s="10"/>
      <c r="I89" s="26"/>
      <c r="J89" s="27"/>
    </row>
    <row r="90" spans="2:10" s="18" customFormat="1" ht="75" customHeight="1">
      <c r="B90" s="30" t="s">
        <v>120</v>
      </c>
      <c r="C90" s="31" t="s">
        <v>24</v>
      </c>
      <c r="D90" s="31" t="s">
        <v>63</v>
      </c>
      <c r="E90" s="32">
        <v>170000</v>
      </c>
      <c r="F90" s="33" t="s">
        <v>53</v>
      </c>
      <c r="G90" s="34" t="s">
        <v>153</v>
      </c>
      <c r="H90" s="36" t="s">
        <v>84</v>
      </c>
    </row>
    <row r="91" spans="2:10" s="18" customFormat="1" ht="91.5" customHeight="1">
      <c r="B91" s="30" t="s">
        <v>120</v>
      </c>
      <c r="C91" s="31" t="s">
        <v>24</v>
      </c>
      <c r="D91" s="31" t="s">
        <v>63</v>
      </c>
      <c r="E91" s="32">
        <v>14167</v>
      </c>
      <c r="F91" s="33" t="s">
        <v>53</v>
      </c>
      <c r="G91" s="34" t="s">
        <v>152</v>
      </c>
      <c r="H91" s="40" t="s">
        <v>154</v>
      </c>
    </row>
    <row r="92" spans="2:10" s="1" customFormat="1" ht="65.25" customHeight="1">
      <c r="B92" s="95" t="s">
        <v>128</v>
      </c>
      <c r="C92" s="96"/>
      <c r="D92" s="96"/>
      <c r="E92" s="16">
        <f>SUM(E93:E97)</f>
        <v>1655642</v>
      </c>
      <c r="F92" s="13"/>
      <c r="G92" s="14"/>
      <c r="H92" s="25"/>
      <c r="I92" s="26"/>
      <c r="J92" s="27"/>
    </row>
    <row r="93" spans="2:10" s="18" customFormat="1" ht="49.5" customHeight="1">
      <c r="B93" s="30" t="s">
        <v>120</v>
      </c>
      <c r="C93" s="31" t="s">
        <v>14</v>
      </c>
      <c r="D93" s="31" t="s">
        <v>15</v>
      </c>
      <c r="E93" s="32">
        <v>25000</v>
      </c>
      <c r="F93" s="33" t="s">
        <v>52</v>
      </c>
      <c r="G93" s="34" t="s">
        <v>114</v>
      </c>
      <c r="H93" s="35"/>
    </row>
    <row r="94" spans="2:10" s="18" customFormat="1" ht="33.75">
      <c r="B94" s="30" t="s">
        <v>120</v>
      </c>
      <c r="C94" s="41">
        <v>33100000</v>
      </c>
      <c r="D94" s="41" t="s">
        <v>28</v>
      </c>
      <c r="E94" s="32">
        <v>410000</v>
      </c>
      <c r="F94" s="42" t="s">
        <v>56</v>
      </c>
      <c r="G94" s="34" t="s">
        <v>114</v>
      </c>
      <c r="H94" s="43"/>
    </row>
    <row r="95" spans="2:10" s="18" customFormat="1" ht="60.75" customHeight="1">
      <c r="B95" s="30" t="s">
        <v>120</v>
      </c>
      <c r="C95" s="31" t="s">
        <v>51</v>
      </c>
      <c r="D95" s="31" t="s">
        <v>36</v>
      </c>
      <c r="E95" s="32">
        <v>15000</v>
      </c>
      <c r="F95" s="33" t="s">
        <v>56</v>
      </c>
      <c r="G95" s="34" t="s">
        <v>114</v>
      </c>
      <c r="H95" s="35"/>
    </row>
    <row r="96" spans="2:10" s="18" customFormat="1" ht="65.25" customHeight="1">
      <c r="B96" s="30" t="s">
        <v>120</v>
      </c>
      <c r="C96" s="31">
        <v>85100000</v>
      </c>
      <c r="D96" s="31" t="s">
        <v>63</v>
      </c>
      <c r="E96" s="32">
        <f>1081996+37800</f>
        <v>1119796</v>
      </c>
      <c r="F96" s="33" t="s">
        <v>53</v>
      </c>
      <c r="G96" s="34" t="s">
        <v>153</v>
      </c>
      <c r="H96" s="36" t="s">
        <v>84</v>
      </c>
    </row>
    <row r="97" spans="2:10" s="18" customFormat="1" ht="65.25" customHeight="1">
      <c r="B97" s="30" t="s">
        <v>120</v>
      </c>
      <c r="C97" s="31">
        <v>85100000</v>
      </c>
      <c r="D97" s="31" t="s">
        <v>63</v>
      </c>
      <c r="E97" s="32">
        <v>85846</v>
      </c>
      <c r="F97" s="33" t="s">
        <v>53</v>
      </c>
      <c r="G97" s="34" t="s">
        <v>152</v>
      </c>
      <c r="H97" s="40" t="s">
        <v>154</v>
      </c>
    </row>
    <row r="98" spans="2:10" s="1" customFormat="1" ht="80.25" customHeight="1">
      <c r="B98" s="84" t="s">
        <v>129</v>
      </c>
      <c r="C98" s="85"/>
      <c r="D98" s="85"/>
      <c r="E98" s="16">
        <f>SUM(E99:E99)</f>
        <v>1890000</v>
      </c>
      <c r="F98" s="13"/>
      <c r="G98" s="14"/>
      <c r="H98" s="10"/>
      <c r="I98" s="26"/>
      <c r="J98" s="27"/>
    </row>
    <row r="99" spans="2:10" s="18" customFormat="1" ht="84.75" customHeight="1">
      <c r="B99" s="30" t="s">
        <v>120</v>
      </c>
      <c r="C99" s="31" t="s">
        <v>30</v>
      </c>
      <c r="D99" s="31" t="s">
        <v>29</v>
      </c>
      <c r="E99" s="32">
        <v>1890000</v>
      </c>
      <c r="F99" s="33" t="s">
        <v>53</v>
      </c>
      <c r="G99" s="34" t="s">
        <v>114</v>
      </c>
      <c r="H99" s="36" t="s">
        <v>84</v>
      </c>
    </row>
    <row r="100" spans="2:10" s="1" customFormat="1" ht="57.75" customHeight="1">
      <c r="B100" s="93" t="s">
        <v>130</v>
      </c>
      <c r="C100" s="94"/>
      <c r="D100" s="94"/>
      <c r="E100" s="22">
        <f>SUM(E101:E104)</f>
        <v>3317000</v>
      </c>
      <c r="F100" s="23"/>
      <c r="G100" s="23"/>
      <c r="H100" s="24"/>
      <c r="I100" s="26"/>
      <c r="J100" s="27"/>
    </row>
    <row r="101" spans="2:10" s="18" customFormat="1" ht="29.25" customHeight="1">
      <c r="B101" s="30" t="s">
        <v>120</v>
      </c>
      <c r="C101" s="45">
        <v>33100000</v>
      </c>
      <c r="D101" s="31" t="s">
        <v>8</v>
      </c>
      <c r="E101" s="32">
        <v>100000</v>
      </c>
      <c r="F101" s="33" t="s">
        <v>56</v>
      </c>
      <c r="G101" s="34" t="s">
        <v>114</v>
      </c>
      <c r="H101" s="34"/>
    </row>
    <row r="102" spans="2:10" s="18" customFormat="1" ht="33.75">
      <c r="B102" s="30" t="s">
        <v>120</v>
      </c>
      <c r="C102" s="45" t="s">
        <v>30</v>
      </c>
      <c r="D102" s="31" t="s">
        <v>9</v>
      </c>
      <c r="E102" s="32">
        <f>2500000-340000-630198.8</f>
        <v>1529801.2</v>
      </c>
      <c r="F102" s="33" t="s">
        <v>56</v>
      </c>
      <c r="G102" s="34" t="s">
        <v>114</v>
      </c>
      <c r="H102" s="34"/>
      <c r="I102" s="21">
        <f>E100-3317000</f>
        <v>0</v>
      </c>
    </row>
    <row r="103" spans="2:10" s="18" customFormat="1" ht="90.75" customHeight="1">
      <c r="B103" s="30" t="s">
        <v>120</v>
      </c>
      <c r="C103" s="31" t="s">
        <v>24</v>
      </c>
      <c r="D103" s="31" t="s">
        <v>63</v>
      </c>
      <c r="E103" s="32">
        <v>111542</v>
      </c>
      <c r="F103" s="33" t="s">
        <v>77</v>
      </c>
      <c r="G103" s="34" t="s">
        <v>153</v>
      </c>
      <c r="H103" s="40" t="s">
        <v>154</v>
      </c>
      <c r="I103" s="21"/>
    </row>
    <row r="104" spans="2:10" s="18" customFormat="1" ht="75.75" customHeight="1">
      <c r="B104" s="30" t="s">
        <v>120</v>
      </c>
      <c r="C104" s="31" t="s">
        <v>24</v>
      </c>
      <c r="D104" s="31" t="s">
        <v>63</v>
      </c>
      <c r="E104" s="32">
        <f>840656.8+735000</f>
        <v>1575656.8</v>
      </c>
      <c r="F104" s="33" t="s">
        <v>77</v>
      </c>
      <c r="G104" s="34" t="s">
        <v>114</v>
      </c>
      <c r="H104" s="36" t="s">
        <v>84</v>
      </c>
      <c r="I104" s="21"/>
    </row>
    <row r="105" spans="2:10" ht="133.5" customHeight="1">
      <c r="B105" s="84" t="s">
        <v>131</v>
      </c>
      <c r="C105" s="85"/>
      <c r="D105" s="85"/>
      <c r="E105" s="16">
        <f>SUM(E106)</f>
        <v>2420000</v>
      </c>
      <c r="F105" s="13"/>
      <c r="G105" s="14"/>
      <c r="H105" s="10"/>
      <c r="I105" s="26"/>
      <c r="J105" s="28"/>
    </row>
    <row r="106" spans="2:10" s="18" customFormat="1" ht="117.75" customHeight="1">
      <c r="B106" s="30" t="s">
        <v>120</v>
      </c>
      <c r="C106" s="31" t="s">
        <v>30</v>
      </c>
      <c r="D106" s="31" t="s">
        <v>29</v>
      </c>
      <c r="E106" s="32">
        <v>2420000</v>
      </c>
      <c r="F106" s="33" t="s">
        <v>77</v>
      </c>
      <c r="G106" s="34" t="s">
        <v>114</v>
      </c>
      <c r="H106" s="36" t="s">
        <v>84</v>
      </c>
    </row>
    <row r="107" spans="2:10" s="1" customFormat="1" ht="57" customHeight="1">
      <c r="B107" s="95" t="s">
        <v>132</v>
      </c>
      <c r="C107" s="96"/>
      <c r="D107" s="96"/>
      <c r="E107" s="16">
        <f>SUM(E108:E112)</f>
        <v>430000</v>
      </c>
      <c r="F107" s="13"/>
      <c r="G107" s="25"/>
      <c r="H107" s="25"/>
      <c r="I107" s="26"/>
      <c r="J107" s="27"/>
    </row>
    <row r="108" spans="2:10" s="18" customFormat="1" ht="59.25" customHeight="1">
      <c r="B108" s="30" t="s">
        <v>133</v>
      </c>
      <c r="C108" s="31">
        <v>33100000</v>
      </c>
      <c r="D108" s="31" t="s">
        <v>28</v>
      </c>
      <c r="E108" s="32">
        <v>10000</v>
      </c>
      <c r="F108" s="33" t="s">
        <v>56</v>
      </c>
      <c r="G108" s="34" t="s">
        <v>114</v>
      </c>
      <c r="H108" s="35"/>
    </row>
    <row r="109" spans="2:10" s="18" customFormat="1" ht="33.75">
      <c r="B109" s="30" t="s">
        <v>133</v>
      </c>
      <c r="C109" s="37">
        <v>33600000</v>
      </c>
      <c r="D109" s="37" t="s">
        <v>29</v>
      </c>
      <c r="E109" s="32">
        <v>320000</v>
      </c>
      <c r="F109" s="38" t="s">
        <v>56</v>
      </c>
      <c r="G109" s="34" t="s">
        <v>114</v>
      </c>
      <c r="H109" s="39"/>
    </row>
    <row r="110" spans="2:10" s="18" customFormat="1" ht="69" customHeight="1">
      <c r="B110" s="30" t="s">
        <v>120</v>
      </c>
      <c r="C110" s="45" t="s">
        <v>24</v>
      </c>
      <c r="D110" s="31" t="s">
        <v>63</v>
      </c>
      <c r="E110" s="32">
        <f>16450</f>
        <v>16450</v>
      </c>
      <c r="F110" s="33" t="s">
        <v>53</v>
      </c>
      <c r="G110" s="34" t="s">
        <v>114</v>
      </c>
      <c r="H110" s="36" t="s">
        <v>84</v>
      </c>
    </row>
    <row r="111" spans="2:10" s="18" customFormat="1" ht="51" customHeight="1">
      <c r="B111" s="30" t="s">
        <v>120</v>
      </c>
      <c r="C111" s="45" t="s">
        <v>24</v>
      </c>
      <c r="D111" s="31" t="s">
        <v>63</v>
      </c>
      <c r="E111" s="32">
        <f>100000-E110-E112</f>
        <v>75325</v>
      </c>
      <c r="F111" s="33" t="s">
        <v>56</v>
      </c>
      <c r="G111" s="34" t="s">
        <v>114</v>
      </c>
      <c r="H111" s="40"/>
    </row>
    <row r="112" spans="2:10" s="18" customFormat="1" ht="103.5" customHeight="1">
      <c r="B112" s="30" t="s">
        <v>120</v>
      </c>
      <c r="C112" s="45" t="s">
        <v>155</v>
      </c>
      <c r="D112" s="31" t="s">
        <v>63</v>
      </c>
      <c r="E112" s="82">
        <v>8225</v>
      </c>
      <c r="F112" s="33" t="s">
        <v>53</v>
      </c>
      <c r="G112" s="34" t="s">
        <v>153</v>
      </c>
      <c r="H112" s="40" t="s">
        <v>146</v>
      </c>
    </row>
    <row r="113" spans="2:10" ht="59.25" customHeight="1">
      <c r="B113" s="84" t="s">
        <v>134</v>
      </c>
      <c r="C113" s="85"/>
      <c r="D113" s="85"/>
      <c r="E113" s="16">
        <f>SUM(E114:E117)</f>
        <v>1240000</v>
      </c>
      <c r="F113" s="13"/>
      <c r="G113" s="14"/>
      <c r="H113" s="10"/>
      <c r="I113" s="26"/>
      <c r="J113" s="28"/>
    </row>
    <row r="114" spans="2:10" s="18" customFormat="1" ht="42.75" customHeight="1">
      <c r="B114" s="46" t="s">
        <v>120</v>
      </c>
      <c r="C114" s="31" t="s">
        <v>25</v>
      </c>
      <c r="D114" s="31" t="s">
        <v>61</v>
      </c>
      <c r="E114" s="32">
        <f>1500000-170000-260000-90000-86410</f>
        <v>893590</v>
      </c>
      <c r="F114" s="33" t="s">
        <v>56</v>
      </c>
      <c r="G114" s="34" t="s">
        <v>114</v>
      </c>
      <c r="H114" s="47"/>
      <c r="I114" s="21"/>
    </row>
    <row r="115" spans="2:10" s="18" customFormat="1" ht="42.75" customHeight="1">
      <c r="B115" s="46" t="s">
        <v>137</v>
      </c>
      <c r="C115" s="31" t="s">
        <v>135</v>
      </c>
      <c r="D115" s="31" t="s">
        <v>136</v>
      </c>
      <c r="E115" s="32">
        <v>170000</v>
      </c>
      <c r="F115" s="33" t="s">
        <v>56</v>
      </c>
      <c r="G115" s="34" t="s">
        <v>114</v>
      </c>
      <c r="H115" s="47"/>
    </row>
    <row r="116" spans="2:10" s="18" customFormat="1" ht="82.5" customHeight="1">
      <c r="B116" s="30" t="s">
        <v>120</v>
      </c>
      <c r="C116" s="31" t="s">
        <v>156</v>
      </c>
      <c r="D116" s="31" t="s">
        <v>157</v>
      </c>
      <c r="E116" s="32">
        <v>90000</v>
      </c>
      <c r="F116" s="33" t="s">
        <v>53</v>
      </c>
      <c r="G116" s="34" t="s">
        <v>153</v>
      </c>
      <c r="H116" s="36" t="s">
        <v>84</v>
      </c>
    </row>
    <row r="117" spans="2:10" s="19" customFormat="1" ht="81.75" customHeight="1">
      <c r="B117" s="78" t="s">
        <v>120</v>
      </c>
      <c r="C117" s="41" t="s">
        <v>25</v>
      </c>
      <c r="D117" s="41" t="s">
        <v>61</v>
      </c>
      <c r="E117" s="79">
        <v>86410</v>
      </c>
      <c r="F117" s="42" t="s">
        <v>53</v>
      </c>
      <c r="G117" s="80" t="s">
        <v>151</v>
      </c>
      <c r="H117" s="81" t="s">
        <v>84</v>
      </c>
    </row>
    <row r="118" spans="2:10" ht="70.5" customHeight="1">
      <c r="B118" s="84" t="s">
        <v>138</v>
      </c>
      <c r="C118" s="85"/>
      <c r="D118" s="85"/>
      <c r="E118" s="16">
        <f>SUM(E119:E122)</f>
        <v>835000</v>
      </c>
      <c r="F118" s="13"/>
      <c r="G118" s="14"/>
      <c r="H118" s="10"/>
      <c r="I118" s="26"/>
      <c r="J118" s="28"/>
    </row>
    <row r="119" spans="2:10" s="18" customFormat="1" ht="33.75">
      <c r="B119" s="46" t="s">
        <v>120</v>
      </c>
      <c r="C119" s="31" t="s">
        <v>30</v>
      </c>
      <c r="D119" s="31" t="s">
        <v>29</v>
      </c>
      <c r="E119" s="32">
        <f>300000+300000</f>
        <v>600000</v>
      </c>
      <c r="F119" s="31" t="s">
        <v>56</v>
      </c>
      <c r="G119" s="34" t="s">
        <v>114</v>
      </c>
      <c r="H119" s="31"/>
    </row>
    <row r="120" spans="2:10" s="18" customFormat="1" ht="33.75">
      <c r="B120" s="46" t="s">
        <v>120</v>
      </c>
      <c r="C120" s="31" t="s">
        <v>7</v>
      </c>
      <c r="D120" s="31" t="s">
        <v>28</v>
      </c>
      <c r="E120" s="32">
        <f>150000</f>
        <v>150000</v>
      </c>
      <c r="F120" s="31" t="s">
        <v>56</v>
      </c>
      <c r="G120" s="34" t="s">
        <v>114</v>
      </c>
      <c r="H120" s="31"/>
    </row>
    <row r="121" spans="2:10" s="18" customFormat="1" ht="25.5">
      <c r="B121" s="46" t="s">
        <v>120</v>
      </c>
      <c r="C121" s="31" t="s">
        <v>7</v>
      </c>
      <c r="D121" s="31" t="s">
        <v>28</v>
      </c>
      <c r="E121" s="32">
        <v>45000</v>
      </c>
      <c r="F121" s="31" t="s">
        <v>144</v>
      </c>
      <c r="G121" s="34" t="s">
        <v>160</v>
      </c>
      <c r="H121" s="31"/>
    </row>
    <row r="122" spans="2:10" ht="33.75">
      <c r="B122" s="46" t="s">
        <v>120</v>
      </c>
      <c r="C122" s="31" t="s">
        <v>14</v>
      </c>
      <c r="D122" s="31" t="s">
        <v>32</v>
      </c>
      <c r="E122" s="32">
        <v>40000</v>
      </c>
      <c r="F122" s="31" t="s">
        <v>52</v>
      </c>
      <c r="G122" s="34" t="s">
        <v>163</v>
      </c>
      <c r="H122" s="31"/>
    </row>
    <row r="124" spans="2:10">
      <c r="E124" s="63"/>
    </row>
  </sheetData>
  <autoFilter ref="A8:H122"/>
  <mergeCells count="20">
    <mergeCell ref="B113:D113"/>
    <mergeCell ref="B118:D118"/>
    <mergeCell ref="B89:D89"/>
    <mergeCell ref="B92:D92"/>
    <mergeCell ref="B98:D98"/>
    <mergeCell ref="B100:D100"/>
    <mergeCell ref="B105:D105"/>
    <mergeCell ref="B107:D107"/>
    <mergeCell ref="B85:D85"/>
    <mergeCell ref="B2:H2"/>
    <mergeCell ref="B3:H3"/>
    <mergeCell ref="B4:E4"/>
    <mergeCell ref="F4:H4"/>
    <mergeCell ref="B5:E5"/>
    <mergeCell ref="F5:H5"/>
    <mergeCell ref="B6:F6"/>
    <mergeCell ref="B9:D9"/>
    <mergeCell ref="B69:D69"/>
    <mergeCell ref="B73:D73"/>
    <mergeCell ref="B79:D7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" zoomScaleNormal="100" zoomScaleSheetLayoutView="80" workbookViewId="0">
      <selection activeCell="G134" sqref="G13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E9+E71+E75+E81+E87+E91+E94+E100+E102+E107+E109+E115+E120</f>
        <v>47159918.700000003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5129140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53" t="s">
        <v>120</v>
      </c>
      <c r="C12" s="55" t="s">
        <v>170</v>
      </c>
      <c r="D12" s="55" t="s">
        <v>171</v>
      </c>
      <c r="E12" s="56">
        <v>4000</v>
      </c>
      <c r="F12" s="57" t="s">
        <v>52</v>
      </c>
      <c r="G12" s="58" t="s">
        <v>160</v>
      </c>
      <c r="H12" s="55"/>
    </row>
    <row r="13" spans="2:14" s="18" customFormat="1" ht="33.75">
      <c r="B13" s="53" t="s">
        <v>120</v>
      </c>
      <c r="C13" s="55" t="s">
        <v>172</v>
      </c>
      <c r="D13" s="55" t="s">
        <v>173</v>
      </c>
      <c r="E13" s="56">
        <v>1300</v>
      </c>
      <c r="F13" s="57" t="s">
        <v>52</v>
      </c>
      <c r="G13" s="58" t="s">
        <v>160</v>
      </c>
      <c r="H13" s="55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v>25000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v>120000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120</v>
      </c>
      <c r="C20" s="31" t="s">
        <v>7</v>
      </c>
      <c r="D20" s="31" t="s">
        <v>117</v>
      </c>
      <c r="E20" s="32">
        <f>100000-24000</f>
        <v>76000</v>
      </c>
      <c r="F20" s="33" t="s">
        <v>56</v>
      </c>
      <c r="G20" s="34" t="s">
        <v>114</v>
      </c>
      <c r="H20" s="31"/>
    </row>
    <row r="21" spans="2:14" s="18" customFormat="1" ht="49.5" customHeight="1">
      <c r="B21" s="30" t="s">
        <v>120</v>
      </c>
      <c r="C21" s="31" t="s">
        <v>110</v>
      </c>
      <c r="D21" s="31" t="s">
        <v>116</v>
      </c>
      <c r="E21" s="32">
        <v>250000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31400000</v>
      </c>
      <c r="D22" s="31" t="s">
        <v>11</v>
      </c>
      <c r="E22" s="32">
        <v>3000</v>
      </c>
      <c r="F22" s="33" t="s">
        <v>53</v>
      </c>
      <c r="G22" s="34" t="s">
        <v>114</v>
      </c>
      <c r="H22" s="49"/>
    </row>
    <row r="23" spans="2:14" s="18" customFormat="1" ht="38.25" customHeight="1">
      <c r="B23" s="30" t="s">
        <v>120</v>
      </c>
      <c r="C23" s="48">
        <v>33700000</v>
      </c>
      <c r="D23" s="31" t="s">
        <v>165</v>
      </c>
      <c r="E23" s="32">
        <f>500+3674+820</f>
        <v>4994</v>
      </c>
      <c r="F23" s="33" t="s">
        <v>53</v>
      </c>
      <c r="G23" s="34" t="s">
        <v>151</v>
      </c>
      <c r="H23" s="31"/>
    </row>
    <row r="24" spans="2:14" s="18" customFormat="1" ht="38.25" customHeight="1">
      <c r="B24" s="30" t="s">
        <v>120</v>
      </c>
      <c r="C24" s="48">
        <v>41100000</v>
      </c>
      <c r="D24" s="31" t="s">
        <v>142</v>
      </c>
      <c r="E24" s="32">
        <v>10800</v>
      </c>
      <c r="F24" s="33" t="s">
        <v>56</v>
      </c>
      <c r="G24" s="34" t="s">
        <v>114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</f>
        <v>103990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80000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v>140000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v>60000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v>90000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v>25000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v>1700000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v>115000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v>91000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v>120000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v>30000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</f>
        <v>152800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v>100000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v>520000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SUM(E76:E80)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124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</f>
        <v>8524939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87.75" customHeight="1">
      <c r="B80" s="30" t="s">
        <v>120</v>
      </c>
      <c r="C80" s="31" t="s">
        <v>30</v>
      </c>
      <c r="D80" s="31" t="s">
        <v>29</v>
      </c>
      <c r="E80" s="32">
        <f>6000000+2328811-30000</f>
        <v>8298811</v>
      </c>
      <c r="F80" s="33" t="s">
        <v>53</v>
      </c>
      <c r="G80" s="34" t="s">
        <v>114</v>
      </c>
      <c r="H80" s="36" t="s">
        <v>84</v>
      </c>
      <c r="J80" s="21"/>
      <c r="K80" s="21"/>
      <c r="N80" s="21"/>
    </row>
    <row r="81" spans="2:10" s="1" customFormat="1" ht="60" customHeight="1">
      <c r="B81" s="84" t="s">
        <v>125</v>
      </c>
      <c r="C81" s="85"/>
      <c r="D81" s="85"/>
      <c r="E81" s="16">
        <f>SUM(E82:E86)</f>
        <v>1700000</v>
      </c>
      <c r="F81" s="13"/>
      <c r="G81" s="14"/>
      <c r="H81" s="10"/>
      <c r="I81" s="26"/>
      <c r="J81" s="27"/>
    </row>
    <row r="82" spans="2:10" s="18" customFormat="1" ht="36.75" customHeight="1">
      <c r="B82" s="30" t="s">
        <v>120</v>
      </c>
      <c r="C82" s="31" t="s">
        <v>7</v>
      </c>
      <c r="D82" s="31" t="s">
        <v>28</v>
      </c>
      <c r="E82" s="32">
        <v>50000</v>
      </c>
      <c r="F82" s="33" t="s">
        <v>56</v>
      </c>
      <c r="G82" s="34" t="s">
        <v>114</v>
      </c>
      <c r="H82" s="35"/>
    </row>
    <row r="83" spans="2:10" s="18" customFormat="1" ht="30.75" customHeight="1">
      <c r="B83" s="30" t="s">
        <v>120</v>
      </c>
      <c r="C83" s="31" t="s">
        <v>30</v>
      </c>
      <c r="D83" s="31" t="s">
        <v>29</v>
      </c>
      <c r="E83" s="32">
        <f>200000-92300-30220</f>
        <v>77480</v>
      </c>
      <c r="F83" s="33" t="s">
        <v>56</v>
      </c>
      <c r="G83" s="34" t="s">
        <v>114</v>
      </c>
      <c r="H83" s="35"/>
    </row>
    <row r="84" spans="2:10" s="18" customFormat="1" ht="45" customHeight="1">
      <c r="B84" s="30" t="s">
        <v>120</v>
      </c>
      <c r="C84" s="31" t="s">
        <v>75</v>
      </c>
      <c r="D84" s="31" t="s">
        <v>76</v>
      </c>
      <c r="E84" s="32">
        <f>620000+92300</f>
        <v>712300</v>
      </c>
      <c r="F84" s="33" t="s">
        <v>56</v>
      </c>
      <c r="G84" s="34" t="s">
        <v>114</v>
      </c>
      <c r="H84" s="36"/>
    </row>
    <row r="85" spans="2:10" s="18" customFormat="1" ht="78" customHeight="1">
      <c r="B85" s="30" t="s">
        <v>120</v>
      </c>
      <c r="C85" s="31" t="s">
        <v>24</v>
      </c>
      <c r="D85" s="31" t="s">
        <v>63</v>
      </c>
      <c r="E85" s="32">
        <v>52208</v>
      </c>
      <c r="F85" s="33" t="s">
        <v>53</v>
      </c>
      <c r="G85" s="34" t="s">
        <v>149</v>
      </c>
      <c r="H85" s="36" t="s">
        <v>150</v>
      </c>
      <c r="J85" s="21"/>
    </row>
    <row r="86" spans="2:10" s="18" customFormat="1" ht="87.75" customHeight="1">
      <c r="B86" s="30" t="s">
        <v>120</v>
      </c>
      <c r="C86" s="31" t="s">
        <v>24</v>
      </c>
      <c r="D86" s="31" t="s">
        <v>63</v>
      </c>
      <c r="E86" s="32">
        <f>577500+171079.6+10376.4+3456+45600</f>
        <v>808012</v>
      </c>
      <c r="F86" s="33" t="s">
        <v>53</v>
      </c>
      <c r="G86" s="34" t="s">
        <v>151</v>
      </c>
      <c r="H86" s="36" t="s">
        <v>84</v>
      </c>
      <c r="J86" s="21"/>
    </row>
    <row r="87" spans="2:10" s="1" customFormat="1" ht="65.25" customHeight="1">
      <c r="B87" s="84" t="s">
        <v>126</v>
      </c>
      <c r="C87" s="85"/>
      <c r="D87" s="85"/>
      <c r="E87" s="16">
        <f>SUM(E88:E90)</f>
        <v>2864778</v>
      </c>
      <c r="F87" s="13"/>
      <c r="G87" s="14"/>
      <c r="H87" s="10"/>
      <c r="I87" s="26"/>
      <c r="J87" s="27"/>
    </row>
    <row r="88" spans="2:10" s="18" customFormat="1" ht="33.75">
      <c r="B88" s="30" t="s">
        <v>120</v>
      </c>
      <c r="C88" s="37" t="s">
        <v>25</v>
      </c>
      <c r="D88" s="37" t="s">
        <v>61</v>
      </c>
      <c r="E88" s="32">
        <v>200000</v>
      </c>
      <c r="F88" s="38" t="s">
        <v>56</v>
      </c>
      <c r="G88" s="34" t="s">
        <v>114</v>
      </c>
      <c r="H88" s="39"/>
    </row>
    <row r="89" spans="2:10" s="18" customFormat="1" ht="87.75" customHeight="1">
      <c r="B89" s="30" t="s">
        <v>120</v>
      </c>
      <c r="C89" s="31">
        <v>85100000</v>
      </c>
      <c r="D89" s="31" t="s">
        <v>63</v>
      </c>
      <c r="E89" s="32">
        <v>203458</v>
      </c>
      <c r="F89" s="33" t="s">
        <v>53</v>
      </c>
      <c r="G89" s="34" t="s">
        <v>152</v>
      </c>
      <c r="H89" s="40" t="s">
        <v>154</v>
      </c>
    </row>
    <row r="90" spans="2:10" s="18" customFormat="1" ht="69.75" customHeight="1">
      <c r="B90" s="30" t="s">
        <v>120</v>
      </c>
      <c r="C90" s="31">
        <v>85100000</v>
      </c>
      <c r="D90" s="31" t="s">
        <v>63</v>
      </c>
      <c r="E90" s="32">
        <v>2461320</v>
      </c>
      <c r="F90" s="33" t="s">
        <v>53</v>
      </c>
      <c r="G90" s="34" t="s">
        <v>153</v>
      </c>
      <c r="H90" s="36" t="s">
        <v>84</v>
      </c>
    </row>
    <row r="91" spans="2:10" s="1" customFormat="1" ht="61.5" customHeight="1">
      <c r="B91" s="84" t="s">
        <v>127</v>
      </c>
      <c r="C91" s="85"/>
      <c r="D91" s="85"/>
      <c r="E91" s="16">
        <f>SUM(E92:E93)</f>
        <v>184167</v>
      </c>
      <c r="F91" s="13"/>
      <c r="G91" s="14"/>
      <c r="H91" s="10"/>
      <c r="I91" s="26"/>
      <c r="J91" s="27"/>
    </row>
    <row r="92" spans="2:10" s="18" customFormat="1" ht="75" customHeight="1">
      <c r="B92" s="30" t="s">
        <v>120</v>
      </c>
      <c r="C92" s="31" t="s">
        <v>24</v>
      </c>
      <c r="D92" s="31" t="s">
        <v>63</v>
      </c>
      <c r="E92" s="32">
        <v>170000</v>
      </c>
      <c r="F92" s="33" t="s">
        <v>53</v>
      </c>
      <c r="G92" s="34" t="s">
        <v>153</v>
      </c>
      <c r="H92" s="36" t="s">
        <v>84</v>
      </c>
    </row>
    <row r="93" spans="2:10" s="18" customFormat="1" ht="91.5" customHeight="1">
      <c r="B93" s="30" t="s">
        <v>120</v>
      </c>
      <c r="C93" s="31" t="s">
        <v>24</v>
      </c>
      <c r="D93" s="31" t="s">
        <v>63</v>
      </c>
      <c r="E93" s="32">
        <v>14167</v>
      </c>
      <c r="F93" s="33" t="s">
        <v>53</v>
      </c>
      <c r="G93" s="34" t="s">
        <v>152</v>
      </c>
      <c r="H93" s="40" t="s">
        <v>154</v>
      </c>
    </row>
    <row r="94" spans="2:10" s="1" customFormat="1" ht="65.25" customHeight="1">
      <c r="B94" s="95" t="s">
        <v>128</v>
      </c>
      <c r="C94" s="96"/>
      <c r="D94" s="96"/>
      <c r="E94" s="16">
        <f>SUM(E95:E99)</f>
        <v>1655642</v>
      </c>
      <c r="F94" s="13"/>
      <c r="G94" s="14"/>
      <c r="H94" s="25"/>
      <c r="I94" s="26"/>
      <c r="J94" s="27"/>
    </row>
    <row r="95" spans="2:10" s="18" customFormat="1" ht="49.5" customHeight="1">
      <c r="B95" s="30" t="s">
        <v>120</v>
      </c>
      <c r="C95" s="31" t="s">
        <v>14</v>
      </c>
      <c r="D95" s="31" t="s">
        <v>15</v>
      </c>
      <c r="E95" s="32">
        <v>25000</v>
      </c>
      <c r="F95" s="33" t="s">
        <v>52</v>
      </c>
      <c r="G95" s="34" t="s">
        <v>114</v>
      </c>
      <c r="H95" s="35"/>
    </row>
    <row r="96" spans="2:10" s="18" customFormat="1" ht="33.75">
      <c r="B96" s="30" t="s">
        <v>120</v>
      </c>
      <c r="C96" s="41">
        <v>33100000</v>
      </c>
      <c r="D96" s="41" t="s">
        <v>28</v>
      </c>
      <c r="E96" s="32">
        <v>410000</v>
      </c>
      <c r="F96" s="42" t="s">
        <v>56</v>
      </c>
      <c r="G96" s="34" t="s">
        <v>114</v>
      </c>
      <c r="H96" s="43"/>
    </row>
    <row r="97" spans="2:10" s="18" customFormat="1" ht="60.75" customHeight="1">
      <c r="B97" s="30" t="s">
        <v>120</v>
      </c>
      <c r="C97" s="31" t="s">
        <v>51</v>
      </c>
      <c r="D97" s="31" t="s">
        <v>36</v>
      </c>
      <c r="E97" s="32">
        <v>15000</v>
      </c>
      <c r="F97" s="33" t="s">
        <v>56</v>
      </c>
      <c r="G97" s="34" t="s">
        <v>114</v>
      </c>
      <c r="H97" s="35"/>
    </row>
    <row r="98" spans="2:10" s="18" customFormat="1" ht="65.25" customHeight="1">
      <c r="B98" s="30" t="s">
        <v>120</v>
      </c>
      <c r="C98" s="31">
        <v>85100000</v>
      </c>
      <c r="D98" s="31" t="s">
        <v>63</v>
      </c>
      <c r="E98" s="32">
        <f>1081996+37800</f>
        <v>1119796</v>
      </c>
      <c r="F98" s="33" t="s">
        <v>53</v>
      </c>
      <c r="G98" s="34" t="s">
        <v>153</v>
      </c>
      <c r="H98" s="36" t="s">
        <v>84</v>
      </c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v>85846</v>
      </c>
      <c r="F99" s="33" t="s">
        <v>53</v>
      </c>
      <c r="G99" s="34" t="s">
        <v>152</v>
      </c>
      <c r="H99" s="40" t="s">
        <v>154</v>
      </c>
    </row>
    <row r="100" spans="2:10" s="1" customFormat="1" ht="80.25" customHeight="1">
      <c r="B100" s="84" t="s">
        <v>129</v>
      </c>
      <c r="C100" s="85"/>
      <c r="D100" s="85"/>
      <c r="E100" s="16">
        <f>SUM(E101:E101)</f>
        <v>1890000</v>
      </c>
      <c r="F100" s="13"/>
      <c r="G100" s="14"/>
      <c r="H100" s="10"/>
      <c r="I100" s="26"/>
      <c r="J100" s="27"/>
    </row>
    <row r="101" spans="2:10" s="18" customFormat="1" ht="84.75" customHeight="1">
      <c r="B101" s="30" t="s">
        <v>120</v>
      </c>
      <c r="C101" s="31" t="s">
        <v>30</v>
      </c>
      <c r="D101" s="31" t="s">
        <v>29</v>
      </c>
      <c r="E101" s="32">
        <v>1890000</v>
      </c>
      <c r="F101" s="33" t="s">
        <v>53</v>
      </c>
      <c r="G101" s="34" t="s">
        <v>114</v>
      </c>
      <c r="H101" s="36" t="s">
        <v>84</v>
      </c>
    </row>
    <row r="102" spans="2:10" s="1" customFormat="1" ht="57.75" customHeight="1">
      <c r="B102" s="93" t="s">
        <v>130</v>
      </c>
      <c r="C102" s="94"/>
      <c r="D102" s="94"/>
      <c r="E102" s="22">
        <f>SUM(E103:E106)</f>
        <v>3317000</v>
      </c>
      <c r="F102" s="23"/>
      <c r="G102" s="23"/>
      <c r="H102" s="24"/>
      <c r="I102" s="26"/>
      <c r="J102" s="27"/>
    </row>
    <row r="103" spans="2:10" s="18" customFormat="1" ht="29.25" customHeight="1">
      <c r="B103" s="30" t="s">
        <v>120</v>
      </c>
      <c r="C103" s="45">
        <v>33100000</v>
      </c>
      <c r="D103" s="31" t="s">
        <v>8</v>
      </c>
      <c r="E103" s="32">
        <v>100000</v>
      </c>
      <c r="F103" s="33" t="s">
        <v>56</v>
      </c>
      <c r="G103" s="34" t="s">
        <v>114</v>
      </c>
      <c r="H103" s="34"/>
    </row>
    <row r="104" spans="2:10" s="18" customFormat="1" ht="33.75">
      <c r="B104" s="30" t="s">
        <v>120</v>
      </c>
      <c r="C104" s="45" t="s">
        <v>30</v>
      </c>
      <c r="D104" s="31" t="s">
        <v>9</v>
      </c>
      <c r="E104" s="32">
        <f>2500000-340000-630198.8</f>
        <v>1529801.2</v>
      </c>
      <c r="F104" s="33" t="s">
        <v>56</v>
      </c>
      <c r="G104" s="34" t="s">
        <v>114</v>
      </c>
      <c r="H104" s="34"/>
      <c r="I104" s="21">
        <f>E102-3317000</f>
        <v>0</v>
      </c>
    </row>
    <row r="105" spans="2:10" s="18" customFormat="1" ht="90.75" customHeight="1">
      <c r="B105" s="30" t="s">
        <v>120</v>
      </c>
      <c r="C105" s="31" t="s">
        <v>24</v>
      </c>
      <c r="D105" s="31" t="s">
        <v>63</v>
      </c>
      <c r="E105" s="32">
        <v>111542</v>
      </c>
      <c r="F105" s="33" t="s">
        <v>77</v>
      </c>
      <c r="G105" s="34" t="s">
        <v>153</v>
      </c>
      <c r="H105" s="40" t="s">
        <v>154</v>
      </c>
      <c r="I105" s="21"/>
    </row>
    <row r="106" spans="2:10" s="18" customFormat="1" ht="75.75" customHeight="1">
      <c r="B106" s="30" t="s">
        <v>120</v>
      </c>
      <c r="C106" s="31" t="s">
        <v>24</v>
      </c>
      <c r="D106" s="31" t="s">
        <v>63</v>
      </c>
      <c r="E106" s="32">
        <f>840656.8+735000</f>
        <v>1575656.8</v>
      </c>
      <c r="F106" s="33" t="s">
        <v>77</v>
      </c>
      <c r="G106" s="34" t="s">
        <v>114</v>
      </c>
      <c r="H106" s="36" t="s">
        <v>84</v>
      </c>
      <c r="I106" s="21"/>
    </row>
    <row r="107" spans="2:10" ht="133.5" customHeight="1">
      <c r="B107" s="84" t="s">
        <v>131</v>
      </c>
      <c r="C107" s="85"/>
      <c r="D107" s="85"/>
      <c r="E107" s="16">
        <f>SUM(E108)</f>
        <v>2420000</v>
      </c>
      <c r="F107" s="13"/>
      <c r="G107" s="14"/>
      <c r="H107" s="10"/>
      <c r="I107" s="26"/>
      <c r="J107" s="28"/>
    </row>
    <row r="108" spans="2:10" s="18" customFormat="1" ht="117.75" customHeight="1">
      <c r="B108" s="30" t="s">
        <v>120</v>
      </c>
      <c r="C108" s="31" t="s">
        <v>30</v>
      </c>
      <c r="D108" s="31" t="s">
        <v>29</v>
      </c>
      <c r="E108" s="32">
        <v>2420000</v>
      </c>
      <c r="F108" s="33" t="s">
        <v>77</v>
      </c>
      <c r="G108" s="34" t="s">
        <v>114</v>
      </c>
      <c r="H108" s="36" t="s">
        <v>84</v>
      </c>
    </row>
    <row r="109" spans="2:10" s="1" customFormat="1" ht="57" customHeight="1">
      <c r="B109" s="95" t="s">
        <v>132</v>
      </c>
      <c r="C109" s="96"/>
      <c r="D109" s="96"/>
      <c r="E109" s="16">
        <f>SUM(E110:E114)</f>
        <v>430000</v>
      </c>
      <c r="F109" s="13"/>
      <c r="G109" s="25"/>
      <c r="H109" s="25"/>
      <c r="I109" s="26"/>
      <c r="J109" s="27"/>
    </row>
    <row r="110" spans="2:10" s="18" customFormat="1" ht="59.25" customHeight="1">
      <c r="B110" s="30" t="s">
        <v>133</v>
      </c>
      <c r="C110" s="31">
        <v>33100000</v>
      </c>
      <c r="D110" s="31" t="s">
        <v>28</v>
      </c>
      <c r="E110" s="32">
        <v>10000</v>
      </c>
      <c r="F110" s="33" t="s">
        <v>56</v>
      </c>
      <c r="G110" s="34" t="s">
        <v>114</v>
      </c>
      <c r="H110" s="35"/>
    </row>
    <row r="111" spans="2:10" s="18" customFormat="1" ht="33.75">
      <c r="B111" s="30" t="s">
        <v>133</v>
      </c>
      <c r="C111" s="37">
        <v>33600000</v>
      </c>
      <c r="D111" s="37" t="s">
        <v>29</v>
      </c>
      <c r="E111" s="32">
        <v>320000</v>
      </c>
      <c r="F111" s="38" t="s">
        <v>56</v>
      </c>
      <c r="G111" s="34" t="s">
        <v>114</v>
      </c>
      <c r="H111" s="39"/>
    </row>
    <row r="112" spans="2:10" s="18" customFormat="1" ht="69" customHeight="1">
      <c r="B112" s="30" t="s">
        <v>120</v>
      </c>
      <c r="C112" s="45" t="s">
        <v>24</v>
      </c>
      <c r="D112" s="31" t="s">
        <v>63</v>
      </c>
      <c r="E112" s="32">
        <f>16450</f>
        <v>16450</v>
      </c>
      <c r="F112" s="33" t="s">
        <v>53</v>
      </c>
      <c r="G112" s="34" t="s">
        <v>114</v>
      </c>
      <c r="H112" s="36" t="s">
        <v>84</v>
      </c>
    </row>
    <row r="113" spans="2:10" s="18" customFormat="1" ht="51" customHeight="1">
      <c r="B113" s="30" t="s">
        <v>120</v>
      </c>
      <c r="C113" s="45" t="s">
        <v>24</v>
      </c>
      <c r="D113" s="31" t="s">
        <v>63</v>
      </c>
      <c r="E113" s="32">
        <f>100000-E112-E114</f>
        <v>75325</v>
      </c>
      <c r="F113" s="33" t="s">
        <v>56</v>
      </c>
      <c r="G113" s="34" t="s">
        <v>114</v>
      </c>
      <c r="H113" s="40"/>
    </row>
    <row r="114" spans="2:10" s="18" customFormat="1" ht="103.5" customHeight="1">
      <c r="B114" s="30" t="s">
        <v>120</v>
      </c>
      <c r="C114" s="45" t="s">
        <v>155</v>
      </c>
      <c r="D114" s="31" t="s">
        <v>63</v>
      </c>
      <c r="E114" s="82">
        <v>8225</v>
      </c>
      <c r="F114" s="33" t="s">
        <v>53</v>
      </c>
      <c r="G114" s="34" t="s">
        <v>153</v>
      </c>
      <c r="H114" s="40" t="s">
        <v>146</v>
      </c>
    </row>
    <row r="115" spans="2:10" ht="59.25" customHeight="1">
      <c r="B115" s="84" t="s">
        <v>134</v>
      </c>
      <c r="C115" s="85"/>
      <c r="D115" s="85"/>
      <c r="E115" s="16">
        <f>SUM(E116:E119)</f>
        <v>1240000</v>
      </c>
      <c r="F115" s="13"/>
      <c r="G115" s="14"/>
      <c r="H115" s="10"/>
      <c r="I115" s="26"/>
      <c r="J115" s="28"/>
    </row>
    <row r="116" spans="2:10" s="18" customFormat="1" ht="42.75" customHeight="1">
      <c r="B116" s="46" t="s">
        <v>120</v>
      </c>
      <c r="C116" s="31" t="s">
        <v>25</v>
      </c>
      <c r="D116" s="31" t="s">
        <v>61</v>
      </c>
      <c r="E116" s="32">
        <f>1500000-170000-260000-90000-86410</f>
        <v>893590</v>
      </c>
      <c r="F116" s="33" t="s">
        <v>56</v>
      </c>
      <c r="G116" s="34" t="s">
        <v>114</v>
      </c>
      <c r="H116" s="47"/>
      <c r="I116" s="21"/>
    </row>
    <row r="117" spans="2:10" s="18" customFormat="1" ht="42.75" customHeight="1">
      <c r="B117" s="46" t="s">
        <v>137</v>
      </c>
      <c r="C117" s="31" t="s">
        <v>135</v>
      </c>
      <c r="D117" s="31" t="s">
        <v>136</v>
      </c>
      <c r="E117" s="32">
        <v>170000</v>
      </c>
      <c r="F117" s="33" t="s">
        <v>56</v>
      </c>
      <c r="G117" s="34" t="s">
        <v>114</v>
      </c>
      <c r="H117" s="47"/>
    </row>
    <row r="118" spans="2:10" s="18" customFormat="1" ht="82.5" customHeight="1">
      <c r="B118" s="30" t="s">
        <v>120</v>
      </c>
      <c r="C118" s="31" t="s">
        <v>156</v>
      </c>
      <c r="D118" s="31" t="s">
        <v>157</v>
      </c>
      <c r="E118" s="32">
        <v>90000</v>
      </c>
      <c r="F118" s="33" t="s">
        <v>53</v>
      </c>
      <c r="G118" s="34" t="s">
        <v>153</v>
      </c>
      <c r="H118" s="36" t="s">
        <v>84</v>
      </c>
    </row>
    <row r="119" spans="2:10" s="19" customFormat="1" ht="81.75" customHeight="1">
      <c r="B119" s="78" t="s">
        <v>120</v>
      </c>
      <c r="C119" s="41" t="s">
        <v>25</v>
      </c>
      <c r="D119" s="41" t="s">
        <v>61</v>
      </c>
      <c r="E119" s="79">
        <v>86410</v>
      </c>
      <c r="F119" s="42" t="s">
        <v>53</v>
      </c>
      <c r="G119" s="80" t="s">
        <v>151</v>
      </c>
      <c r="H119" s="81" t="s">
        <v>84</v>
      </c>
    </row>
    <row r="120" spans="2:10" ht="70.5" customHeight="1">
      <c r="B120" s="84" t="s">
        <v>138</v>
      </c>
      <c r="C120" s="85"/>
      <c r="D120" s="85"/>
      <c r="E120" s="16">
        <f>SUM(E121:E124)</f>
        <v>835000</v>
      </c>
      <c r="F120" s="13"/>
      <c r="G120" s="14"/>
      <c r="H120" s="10"/>
      <c r="I120" s="26"/>
      <c r="J120" s="28"/>
    </row>
    <row r="121" spans="2:10" s="18" customFormat="1" ht="33.75">
      <c r="B121" s="46" t="s">
        <v>120</v>
      </c>
      <c r="C121" s="31" t="s">
        <v>30</v>
      </c>
      <c r="D121" s="31" t="s">
        <v>29</v>
      </c>
      <c r="E121" s="32">
        <f>300000+300000</f>
        <v>600000</v>
      </c>
      <c r="F121" s="31" t="s">
        <v>56</v>
      </c>
      <c r="G121" s="34" t="s">
        <v>114</v>
      </c>
      <c r="H121" s="31"/>
    </row>
    <row r="122" spans="2:10" s="18" customFormat="1" ht="33.75">
      <c r="B122" s="46" t="s">
        <v>120</v>
      </c>
      <c r="C122" s="31" t="s">
        <v>7</v>
      </c>
      <c r="D122" s="31" t="s">
        <v>28</v>
      </c>
      <c r="E122" s="32">
        <f>150000</f>
        <v>150000</v>
      </c>
      <c r="F122" s="31" t="s">
        <v>56</v>
      </c>
      <c r="G122" s="34" t="s">
        <v>114</v>
      </c>
      <c r="H122" s="31"/>
    </row>
    <row r="123" spans="2:10" s="18" customFormat="1" ht="25.5">
      <c r="B123" s="46" t="s">
        <v>120</v>
      </c>
      <c r="C123" s="31" t="s">
        <v>7</v>
      </c>
      <c r="D123" s="31" t="s">
        <v>28</v>
      </c>
      <c r="E123" s="32">
        <v>45000</v>
      </c>
      <c r="F123" s="31" t="s">
        <v>144</v>
      </c>
      <c r="G123" s="34" t="s">
        <v>160</v>
      </c>
      <c r="H123" s="31"/>
    </row>
    <row r="124" spans="2:10" ht="33.75">
      <c r="B124" s="46" t="s">
        <v>120</v>
      </c>
      <c r="C124" s="31" t="s">
        <v>14</v>
      </c>
      <c r="D124" s="31" t="s">
        <v>32</v>
      </c>
      <c r="E124" s="32">
        <v>40000</v>
      </c>
      <c r="F124" s="31" t="s">
        <v>52</v>
      </c>
      <c r="G124" s="34" t="s">
        <v>163</v>
      </c>
      <c r="H124" s="31"/>
    </row>
    <row r="126" spans="2:10">
      <c r="E126" s="63"/>
    </row>
  </sheetData>
  <autoFilter ref="A8:H124"/>
  <mergeCells count="20">
    <mergeCell ref="B87:D87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1:D81"/>
    <mergeCell ref="B115:D115"/>
    <mergeCell ref="B120:D120"/>
    <mergeCell ref="B91:D91"/>
    <mergeCell ref="B94:D94"/>
    <mergeCell ref="B100:D100"/>
    <mergeCell ref="B102:D102"/>
    <mergeCell ref="B107:D107"/>
    <mergeCell ref="B109:D109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8"/>
  <sheetViews>
    <sheetView topLeftCell="B76" zoomScaleNormal="100" zoomScaleSheetLayoutView="80" workbookViewId="0">
      <selection activeCell="E12" sqref="E1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E9+E72+E76+E83+E89+E93+E96+E102+E104+E109+E111+E117+E122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53" t="s">
        <v>120</v>
      </c>
      <c r="C17" s="55" t="s">
        <v>31</v>
      </c>
      <c r="D17" s="55" t="s">
        <v>50</v>
      </c>
      <c r="E17" s="56">
        <f>25000+9600</f>
        <v>34600</v>
      </c>
      <c r="F17" s="57" t="s">
        <v>52</v>
      </c>
      <c r="G17" s="58" t="s">
        <v>114</v>
      </c>
      <c r="H17" s="55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</f>
        <v>110400</v>
      </c>
      <c r="F19" s="57" t="s">
        <v>56</v>
      </c>
      <c r="G19" s="58" t="s">
        <v>114</v>
      </c>
      <c r="H19" s="55"/>
    </row>
    <row r="20" spans="2:14" s="18" customFormat="1" ht="49.5" customHeight="1">
      <c r="B20" s="53" t="s">
        <v>118</v>
      </c>
      <c r="C20" s="55" t="s">
        <v>109</v>
      </c>
      <c r="D20" s="55" t="s">
        <v>115</v>
      </c>
      <c r="E20" s="56">
        <f>1954+19350</f>
        <v>21304</v>
      </c>
      <c r="F20" s="57" t="s">
        <v>52</v>
      </c>
      <c r="G20" s="58" t="s">
        <v>151</v>
      </c>
      <c r="H20" s="55"/>
    </row>
    <row r="21" spans="2:14" s="18" customFormat="1" ht="49.5" customHeight="1">
      <c r="B21" s="53" t="s">
        <v>120</v>
      </c>
      <c r="C21" s="55" t="s">
        <v>7</v>
      </c>
      <c r="D21" s="55" t="s">
        <v>117</v>
      </c>
      <c r="E21" s="56">
        <f>100000-24000-70000</f>
        <v>6000</v>
      </c>
      <c r="F21" s="57" t="s">
        <v>56</v>
      </c>
      <c r="G21" s="58" t="s">
        <v>114</v>
      </c>
      <c r="H21" s="55"/>
    </row>
    <row r="22" spans="2:14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</f>
        <v>50000</v>
      </c>
      <c r="F22" s="57" t="s">
        <v>56</v>
      </c>
      <c r="G22" s="58" t="s">
        <v>114</v>
      </c>
      <c r="H22" s="55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53" t="s">
        <v>120</v>
      </c>
      <c r="C25" s="54">
        <v>41100000</v>
      </c>
      <c r="D25" s="55" t="s">
        <v>142</v>
      </c>
      <c r="E25" s="56">
        <f>10800-10800</f>
        <v>0</v>
      </c>
      <c r="F25" s="57" t="s">
        <v>56</v>
      </c>
      <c r="G25" s="58" t="s">
        <v>114</v>
      </c>
      <c r="H25" s="55"/>
    </row>
    <row r="26" spans="2:14" s="18" customFormat="1" ht="38.25" customHeight="1">
      <c r="B26" s="30" t="s">
        <v>120</v>
      </c>
      <c r="C26" s="48">
        <v>41100000</v>
      </c>
      <c r="D26" s="31" t="s">
        <v>142</v>
      </c>
      <c r="E26" s="32">
        <v>9900</v>
      </c>
      <c r="F26" s="33" t="s">
        <v>52</v>
      </c>
      <c r="G26" s="34" t="s">
        <v>151</v>
      </c>
      <c r="H26" s="31"/>
    </row>
    <row r="27" spans="2:14" s="18" customFormat="1" ht="38.25" customHeight="1">
      <c r="B27" s="30" t="s">
        <v>120</v>
      </c>
      <c r="C27" s="31" t="s">
        <v>35</v>
      </c>
      <c r="D27" s="31" t="s">
        <v>34</v>
      </c>
      <c r="E27" s="32">
        <v>20000</v>
      </c>
      <c r="F27" s="33" t="s">
        <v>52</v>
      </c>
      <c r="G27" s="34" t="s">
        <v>114</v>
      </c>
      <c r="H27" s="44"/>
    </row>
    <row r="28" spans="2:14" s="18" customFormat="1" ht="33.75">
      <c r="B28" s="30" t="s">
        <v>120</v>
      </c>
      <c r="C28" s="31" t="s">
        <v>78</v>
      </c>
      <c r="D28" s="31" t="s">
        <v>79</v>
      </c>
      <c r="E28" s="32">
        <v>3000</v>
      </c>
      <c r="F28" s="33" t="s">
        <v>77</v>
      </c>
      <c r="G28" s="34" t="s">
        <v>114</v>
      </c>
      <c r="H28" s="49"/>
    </row>
    <row r="29" spans="2:14" s="18" customFormat="1" ht="33.75">
      <c r="B29" s="30" t="s">
        <v>120</v>
      </c>
      <c r="C29" s="31" t="s">
        <v>80</v>
      </c>
      <c r="D29" s="31" t="s">
        <v>81</v>
      </c>
      <c r="E29" s="32">
        <f>3000</f>
        <v>3000</v>
      </c>
      <c r="F29" s="33" t="s">
        <v>77</v>
      </c>
      <c r="G29" s="34" t="s">
        <v>114</v>
      </c>
      <c r="H29" s="49"/>
      <c r="N29" s="18" t="s">
        <v>143</v>
      </c>
    </row>
    <row r="30" spans="2:14" s="18" customFormat="1" ht="33.75">
      <c r="B30" s="30" t="s">
        <v>120</v>
      </c>
      <c r="C30" s="50">
        <v>39800000</v>
      </c>
      <c r="D30" s="50" t="s">
        <v>71</v>
      </c>
      <c r="E30" s="32">
        <v>2000</v>
      </c>
      <c r="F30" s="33" t="s">
        <v>77</v>
      </c>
      <c r="G30" s="34" t="s">
        <v>114</v>
      </c>
      <c r="H30" s="49"/>
    </row>
    <row r="31" spans="2:14" s="18" customFormat="1" ht="45">
      <c r="B31" s="30" t="s">
        <v>118</v>
      </c>
      <c r="C31" s="50">
        <v>45200000</v>
      </c>
      <c r="D31" s="50" t="s">
        <v>164</v>
      </c>
      <c r="E31" s="32">
        <v>105010</v>
      </c>
      <c r="F31" s="33" t="s">
        <v>56</v>
      </c>
      <c r="G31" s="34" t="s">
        <v>151</v>
      </c>
      <c r="H31" s="49"/>
    </row>
    <row r="32" spans="2:14" s="18" customFormat="1" ht="51.75" customHeight="1">
      <c r="B32" s="53" t="s">
        <v>120</v>
      </c>
      <c r="C32" s="54">
        <v>45400000</v>
      </c>
      <c r="D32" s="83" t="s">
        <v>88</v>
      </c>
      <c r="E32" s="56">
        <f>300000-91000-105010-50000</f>
        <v>53990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118</v>
      </c>
      <c r="C33" s="54">
        <v>48700000</v>
      </c>
      <c r="D33" s="55" t="s">
        <v>89</v>
      </c>
      <c r="E33" s="56">
        <f>80000-21304-50000</f>
        <v>8696</v>
      </c>
      <c r="F33" s="57" t="s">
        <v>56</v>
      </c>
      <c r="G33" s="58" t="s">
        <v>114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53" t="s">
        <v>120</v>
      </c>
      <c r="C36" s="55" t="s">
        <v>51</v>
      </c>
      <c r="D36" s="55" t="s">
        <v>54</v>
      </c>
      <c r="E36" s="56">
        <f>140000-10000</f>
        <v>130000</v>
      </c>
      <c r="F36" s="57" t="s">
        <v>56</v>
      </c>
      <c r="G36" s="58" t="s">
        <v>114</v>
      </c>
      <c r="H36" s="68"/>
    </row>
    <row r="37" spans="2:8" s="18" customFormat="1" ht="92.25" customHeight="1">
      <c r="B37" s="53" t="s">
        <v>120</v>
      </c>
      <c r="C37" s="55" t="s">
        <v>92</v>
      </c>
      <c r="D37" s="55" t="s">
        <v>93</v>
      </c>
      <c r="E37" s="56">
        <f>60000-10000</f>
        <v>50000</v>
      </c>
      <c r="F37" s="57" t="s">
        <v>56</v>
      </c>
      <c r="G37" s="58" t="s">
        <v>114</v>
      </c>
      <c r="H37" s="60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53" t="s">
        <v>120</v>
      </c>
      <c r="C39" s="55" t="s">
        <v>94</v>
      </c>
      <c r="D39" s="55" t="s">
        <v>95</v>
      </c>
      <c r="E39" s="56">
        <f>90000-55000</f>
        <v>35000</v>
      </c>
      <c r="F39" s="57" t="s">
        <v>56</v>
      </c>
      <c r="G39" s="58" t="s">
        <v>114</v>
      </c>
      <c r="H39" s="68"/>
    </row>
    <row r="40" spans="2:8" s="18" customFormat="1" ht="102.75" customHeight="1">
      <c r="B40" s="53" t="s">
        <v>120</v>
      </c>
      <c r="C40" s="55" t="s">
        <v>73</v>
      </c>
      <c r="D40" s="55" t="s">
        <v>74</v>
      </c>
      <c r="E40" s="56">
        <f>25000-15000</f>
        <v>10000</v>
      </c>
      <c r="F40" s="57" t="s">
        <v>56</v>
      </c>
      <c r="G40" s="58" t="s">
        <v>114</v>
      </c>
      <c r="H40" s="55"/>
    </row>
    <row r="41" spans="2:8" s="18" customFormat="1" ht="115.5" customHeight="1">
      <c r="B41" s="53" t="s">
        <v>120</v>
      </c>
      <c r="C41" s="55">
        <v>50700000</v>
      </c>
      <c r="D41" s="55" t="s">
        <v>13</v>
      </c>
      <c r="E41" s="56">
        <f>1700000-40147</f>
        <v>1659853</v>
      </c>
      <c r="F41" s="55" t="s">
        <v>53</v>
      </c>
      <c r="G41" s="58" t="s">
        <v>114</v>
      </c>
      <c r="H41" s="55" t="s">
        <v>85</v>
      </c>
    </row>
    <row r="42" spans="2:8" s="18" customFormat="1" ht="115.5" customHeight="1">
      <c r="B42" s="53" t="s">
        <v>120</v>
      </c>
      <c r="C42" s="55">
        <v>50700000</v>
      </c>
      <c r="D42" s="55" t="s">
        <v>13</v>
      </c>
      <c r="E42" s="56">
        <f>115000-15000</f>
        <v>100000</v>
      </c>
      <c r="F42" s="55" t="s">
        <v>56</v>
      </c>
      <c r="G42" s="58" t="s">
        <v>114</v>
      </c>
      <c r="H42" s="55"/>
    </row>
    <row r="43" spans="2:8" s="18" customFormat="1" ht="115.5" customHeight="1">
      <c r="B43" s="53" t="s">
        <v>120</v>
      </c>
      <c r="C43" s="55" t="s">
        <v>161</v>
      </c>
      <c r="D43" s="55" t="s">
        <v>162</v>
      </c>
      <c r="E43" s="56">
        <f>91000-768</f>
        <v>90232</v>
      </c>
      <c r="F43" s="57" t="s">
        <v>56</v>
      </c>
      <c r="G43" s="58" t="s">
        <v>151</v>
      </c>
      <c r="H43" s="60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53" t="s">
        <v>120</v>
      </c>
      <c r="C45" s="55" t="s">
        <v>96</v>
      </c>
      <c r="D45" s="55" t="s">
        <v>97</v>
      </c>
      <c r="E45" s="56">
        <f>120000-40000</f>
        <v>80000</v>
      </c>
      <c r="F45" s="55" t="s">
        <v>56</v>
      </c>
      <c r="G45" s="58" t="s">
        <v>114</v>
      </c>
      <c r="H45" s="55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</f>
        <v>23312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53" t="s">
        <v>120</v>
      </c>
      <c r="C54" s="59" t="s">
        <v>17</v>
      </c>
      <c r="D54" s="55" t="s">
        <v>16</v>
      </c>
      <c r="E54" s="56">
        <f>124000+28800-10000</f>
        <v>142800</v>
      </c>
      <c r="F54" s="57" t="s">
        <v>53</v>
      </c>
      <c r="G54" s="58" t="s">
        <v>114</v>
      </c>
      <c r="H54" s="58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53" t="s">
        <v>120</v>
      </c>
      <c r="C57" s="59" t="s">
        <v>25</v>
      </c>
      <c r="D57" s="55" t="s">
        <v>104</v>
      </c>
      <c r="E57" s="56">
        <f>100000-80000</f>
        <v>20000</v>
      </c>
      <c r="F57" s="57" t="s">
        <v>56</v>
      </c>
      <c r="G57" s="58" t="s">
        <v>114</v>
      </c>
      <c r="H57" s="58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53" t="s">
        <v>120</v>
      </c>
      <c r="C61" s="54">
        <v>79700000</v>
      </c>
      <c r="D61" s="55" t="s">
        <v>27</v>
      </c>
      <c r="E61" s="56">
        <f>520000-13000</f>
        <v>507000</v>
      </c>
      <c r="F61" s="57" t="s">
        <v>53</v>
      </c>
      <c r="G61" s="58" t="s">
        <v>114</v>
      </c>
      <c r="H61" s="58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53" t="s">
        <v>120</v>
      </c>
      <c r="C79" s="55">
        <v>33600000</v>
      </c>
      <c r="D79" s="55" t="s">
        <v>29</v>
      </c>
      <c r="E79" s="56">
        <f>5721975+602964+2000000+200000-20000</f>
        <v>8504939</v>
      </c>
      <c r="F79" s="57" t="s">
        <v>56</v>
      </c>
      <c r="G79" s="58" t="s">
        <v>114</v>
      </c>
      <c r="H79" s="67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53" t="s">
        <v>120</v>
      </c>
      <c r="C81" s="55" t="s">
        <v>175</v>
      </c>
      <c r="D81" s="55" t="s">
        <v>68</v>
      </c>
      <c r="E81" s="56">
        <v>20000</v>
      </c>
      <c r="F81" s="57" t="s">
        <v>56</v>
      </c>
      <c r="G81" s="58" t="s">
        <v>176</v>
      </c>
      <c r="H81" s="6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  <row r="128" spans="2:10">
      <c r="E128" s="63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" zoomScaleNormal="100" zoomScaleSheetLayoutView="80" workbookViewId="0">
      <selection activeCell="M15" sqref="M15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46483515.700000003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4452737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</f>
        <v>97700</v>
      </c>
      <c r="F19" s="57" t="s">
        <v>56</v>
      </c>
      <c r="G19" s="58" t="s">
        <v>114</v>
      </c>
      <c r="H19" s="55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53" t="s">
        <v>120</v>
      </c>
      <c r="C31" s="54">
        <v>45400000</v>
      </c>
      <c r="D31" s="83" t="s">
        <v>88</v>
      </c>
      <c r="E31" s="56">
        <f>300000-91000-105010-50000+12700</f>
        <v>66690</v>
      </c>
      <c r="F31" s="57" t="s">
        <v>56</v>
      </c>
      <c r="G31" s="58" t="s">
        <v>114</v>
      </c>
      <c r="H31" s="60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</f>
        <v>23312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  <row r="127" spans="2:10">
      <c r="E127" s="63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1" zoomScale="120" zoomScaleNormal="120" zoomScaleSheetLayoutView="80" workbookViewId="0">
      <selection activeCell="A126" sqref="A126:XFD12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>
        <f>E9+E71+E75+E82+E88+E92+E95+E101+E103+E108+E110+E116+E121</f>
        <v>46488515.700000003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53" t="s">
        <v>119</v>
      </c>
      <c r="C50" s="59" t="s">
        <v>99</v>
      </c>
      <c r="D50" s="55" t="s">
        <v>98</v>
      </c>
      <c r="E50" s="56">
        <f>30000-6688+5000</f>
        <v>28312</v>
      </c>
      <c r="F50" s="57" t="s">
        <v>144</v>
      </c>
      <c r="G50" s="58" t="s">
        <v>114</v>
      </c>
      <c r="H50" s="58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  <mergeCell ref="B116:D116"/>
    <mergeCell ref="B121:D121"/>
    <mergeCell ref="B92:D92"/>
    <mergeCell ref="B95:D95"/>
    <mergeCell ref="B101:D101"/>
    <mergeCell ref="B103:D103"/>
    <mergeCell ref="B108:D108"/>
    <mergeCell ref="B110:D11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5"/>
  <sheetViews>
    <sheetView topLeftCell="B127" zoomScale="96" zoomScaleNormal="96" zoomScaleSheetLayoutView="80" workbookViewId="0">
      <selection activeCell="L122" sqref="L1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E9+E71+E75+E82+E88+E92+E95+E101+E103+E108+E110+E116+E121+#REF!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SUM(E10:E70)</f>
        <v>4457737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f>80000-21304-50000</f>
        <v>8696</v>
      </c>
      <c r="F32" s="33" t="s">
        <v>56</v>
      </c>
      <c r="G32" s="34" t="s">
        <v>114</v>
      </c>
      <c r="H32" s="49"/>
    </row>
    <row r="33" spans="2:8" s="18" customFormat="1" ht="56.25">
      <c r="B33" s="30" t="s">
        <v>120</v>
      </c>
      <c r="C33" s="31">
        <v>50100000</v>
      </c>
      <c r="D33" s="31" t="s">
        <v>36</v>
      </c>
      <c r="E33" s="32">
        <f>20000+15000+10000</f>
        <v>45000</v>
      </c>
      <c r="F33" s="33" t="s">
        <v>53</v>
      </c>
      <c r="G33" s="34" t="s">
        <v>114</v>
      </c>
      <c r="H33" s="51" t="s">
        <v>58</v>
      </c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2200+420+60</f>
        <v>2680</v>
      </c>
      <c r="F34" s="33" t="s">
        <v>53</v>
      </c>
      <c r="G34" s="34" t="s">
        <v>151</v>
      </c>
      <c r="H34" s="51" t="s">
        <v>72</v>
      </c>
    </row>
    <row r="35" spans="2:8" s="18" customFormat="1" ht="92.25" customHeight="1">
      <c r="B35" s="30" t="s">
        <v>120</v>
      </c>
      <c r="C35" s="31" t="s">
        <v>51</v>
      </c>
      <c r="D35" s="31" t="s">
        <v>54</v>
      </c>
      <c r="E35" s="32">
        <f>140000-10000</f>
        <v>130000</v>
      </c>
      <c r="F35" s="33" t="s">
        <v>56</v>
      </c>
      <c r="G35" s="34" t="s">
        <v>114</v>
      </c>
      <c r="H35" s="37"/>
    </row>
    <row r="36" spans="2:8" s="18" customFormat="1" ht="92.25" customHeight="1">
      <c r="B36" s="30" t="s">
        <v>120</v>
      </c>
      <c r="C36" s="31" t="s">
        <v>92</v>
      </c>
      <c r="D36" s="31" t="s">
        <v>93</v>
      </c>
      <c r="E36" s="32">
        <f>60000-10000</f>
        <v>50000</v>
      </c>
      <c r="F36" s="33" t="s">
        <v>56</v>
      </c>
      <c r="G36" s="34" t="s">
        <v>114</v>
      </c>
      <c r="H36" s="49"/>
    </row>
    <row r="37" spans="2:8" s="18" customFormat="1" ht="92.25" customHeight="1">
      <c r="B37" s="30" t="s">
        <v>120</v>
      </c>
      <c r="C37" s="31" t="s">
        <v>90</v>
      </c>
      <c r="D37" s="31" t="s">
        <v>91</v>
      </c>
      <c r="E37" s="32">
        <v>210000</v>
      </c>
      <c r="F37" s="33" t="s">
        <v>56</v>
      </c>
      <c r="G37" s="34" t="s">
        <v>114</v>
      </c>
      <c r="H37" s="37"/>
    </row>
    <row r="38" spans="2:8" s="18" customFormat="1" ht="92.25" customHeight="1">
      <c r="B38" s="30" t="s">
        <v>120</v>
      </c>
      <c r="C38" s="31" t="s">
        <v>94</v>
      </c>
      <c r="D38" s="31" t="s">
        <v>95</v>
      </c>
      <c r="E38" s="32">
        <f>90000-55000</f>
        <v>35000</v>
      </c>
      <c r="F38" s="33" t="s">
        <v>56</v>
      </c>
      <c r="G38" s="34" t="s">
        <v>114</v>
      </c>
      <c r="H38" s="37"/>
    </row>
    <row r="39" spans="2:8" s="18" customFormat="1" ht="102.75" customHeight="1">
      <c r="B39" s="30" t="s">
        <v>120</v>
      </c>
      <c r="C39" s="31" t="s">
        <v>73</v>
      </c>
      <c r="D39" s="31" t="s">
        <v>74</v>
      </c>
      <c r="E39" s="32">
        <f>25000-15000</f>
        <v>10000</v>
      </c>
      <c r="F39" s="33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>
        <v>50700000</v>
      </c>
      <c r="D40" s="31" t="s">
        <v>13</v>
      </c>
      <c r="E40" s="32">
        <f>1700000-40147</f>
        <v>1659853</v>
      </c>
      <c r="F40" s="31" t="s">
        <v>53</v>
      </c>
      <c r="G40" s="34" t="s">
        <v>114</v>
      </c>
      <c r="H40" s="31" t="s">
        <v>85</v>
      </c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115000-15000</f>
        <v>100000</v>
      </c>
      <c r="F41" s="31" t="s">
        <v>56</v>
      </c>
      <c r="G41" s="34" t="s">
        <v>114</v>
      </c>
      <c r="H41" s="31"/>
    </row>
    <row r="42" spans="2:8" s="18" customFormat="1" ht="115.5" customHeight="1">
      <c r="B42" s="30" t="s">
        <v>120</v>
      </c>
      <c r="C42" s="31" t="s">
        <v>161</v>
      </c>
      <c r="D42" s="31" t="s">
        <v>162</v>
      </c>
      <c r="E42" s="32">
        <f>91000-768</f>
        <v>90232</v>
      </c>
      <c r="F42" s="33" t="s">
        <v>56</v>
      </c>
      <c r="G42" s="34" t="s">
        <v>151</v>
      </c>
      <c r="H42" s="49"/>
    </row>
    <row r="43" spans="2:8" s="18" customFormat="1" ht="115.5" customHeight="1">
      <c r="B43" s="30" t="s">
        <v>120</v>
      </c>
      <c r="C43" s="31" t="s">
        <v>102</v>
      </c>
      <c r="D43" s="31" t="s">
        <v>103</v>
      </c>
      <c r="E43" s="32">
        <v>200000</v>
      </c>
      <c r="F43" s="31" t="s">
        <v>56</v>
      </c>
      <c r="G43" s="34" t="s">
        <v>114</v>
      </c>
      <c r="H43" s="31"/>
    </row>
    <row r="44" spans="2:8" s="18" customFormat="1" ht="115.5" customHeight="1">
      <c r="B44" s="30" t="s">
        <v>120</v>
      </c>
      <c r="C44" s="31" t="s">
        <v>96</v>
      </c>
      <c r="D44" s="31" t="s">
        <v>97</v>
      </c>
      <c r="E44" s="32">
        <f>120000-40000</f>
        <v>80000</v>
      </c>
      <c r="F44" s="31" t="s">
        <v>56</v>
      </c>
      <c r="G44" s="34" t="s">
        <v>114</v>
      </c>
      <c r="H44" s="31"/>
    </row>
    <row r="45" spans="2:8" s="18" customFormat="1" ht="58.5" customHeight="1">
      <c r="B45" s="30" t="s">
        <v>120</v>
      </c>
      <c r="C45" s="48">
        <v>63700000</v>
      </c>
      <c r="D45" s="31" t="s">
        <v>62</v>
      </c>
      <c r="E45" s="32">
        <v>2000</v>
      </c>
      <c r="F45" s="33" t="s">
        <v>53</v>
      </c>
      <c r="G45" s="34" t="s">
        <v>114</v>
      </c>
      <c r="H45" s="34" t="s">
        <v>72</v>
      </c>
    </row>
    <row r="46" spans="2:8" s="18" customFormat="1" ht="63.75" customHeight="1">
      <c r="B46" s="30" t="s">
        <v>120</v>
      </c>
      <c r="C46" s="31" t="s">
        <v>39</v>
      </c>
      <c r="D46" s="31" t="s">
        <v>40</v>
      </c>
      <c r="E46" s="32">
        <v>4970</v>
      </c>
      <c r="F46" s="33" t="s">
        <v>77</v>
      </c>
      <c r="G46" s="34" t="s">
        <v>114</v>
      </c>
      <c r="H46" s="31"/>
    </row>
    <row r="47" spans="2:8" s="18" customFormat="1" ht="56.25">
      <c r="B47" s="30" t="s">
        <v>120</v>
      </c>
      <c r="C47" s="45" t="s">
        <v>18</v>
      </c>
      <c r="D47" s="31" t="s">
        <v>38</v>
      </c>
      <c r="E47" s="32">
        <v>25000</v>
      </c>
      <c r="F47" s="33" t="s">
        <v>53</v>
      </c>
      <c r="G47" s="34" t="s">
        <v>114</v>
      </c>
      <c r="H47" s="34" t="s">
        <v>82</v>
      </c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10000</v>
      </c>
      <c r="F48" s="33" t="s">
        <v>53</v>
      </c>
      <c r="G48" s="34" t="s">
        <v>114</v>
      </c>
      <c r="H48" s="34" t="s">
        <v>111</v>
      </c>
    </row>
    <row r="49" spans="2:10" s="18" customFormat="1" ht="33.75">
      <c r="B49" s="30" t="s">
        <v>120</v>
      </c>
      <c r="C49" s="45" t="s">
        <v>18</v>
      </c>
      <c r="D49" s="31" t="s">
        <v>38</v>
      </c>
      <c r="E49" s="32">
        <v>25000</v>
      </c>
      <c r="F49" s="33" t="s">
        <v>52</v>
      </c>
      <c r="G49" s="34" t="s">
        <v>114</v>
      </c>
      <c r="H49" s="52"/>
    </row>
    <row r="50" spans="2:10" s="18" customFormat="1" ht="50.25" customHeight="1">
      <c r="B50" s="30" t="s">
        <v>119</v>
      </c>
      <c r="C50" s="45" t="s">
        <v>99</v>
      </c>
      <c r="D50" s="31" t="s">
        <v>98</v>
      </c>
      <c r="E50" s="32">
        <f>30000-6688+5000</f>
        <v>28312</v>
      </c>
      <c r="F50" s="33" t="s">
        <v>144</v>
      </c>
      <c r="G50" s="34" t="s">
        <v>114</v>
      </c>
      <c r="H50" s="34"/>
    </row>
    <row r="51" spans="2:10" s="18" customFormat="1" ht="50.25" customHeight="1">
      <c r="B51" s="30" t="s">
        <v>120</v>
      </c>
      <c r="C51" s="45" t="s">
        <v>168</v>
      </c>
      <c r="D51" s="31" t="s">
        <v>169</v>
      </c>
      <c r="E51" s="32">
        <v>24000</v>
      </c>
      <c r="F51" s="33" t="s">
        <v>56</v>
      </c>
      <c r="G51" s="34" t="s">
        <v>151</v>
      </c>
      <c r="H51" s="34"/>
    </row>
    <row r="52" spans="2:10" s="18" customFormat="1" ht="33.75">
      <c r="B52" s="30" t="s">
        <v>120</v>
      </c>
      <c r="C52" s="45" t="s">
        <v>47</v>
      </c>
      <c r="D52" s="31" t="s">
        <v>48</v>
      </c>
      <c r="E52" s="32">
        <v>1680</v>
      </c>
      <c r="F52" s="33" t="s">
        <v>77</v>
      </c>
      <c r="G52" s="34" t="s">
        <v>114</v>
      </c>
      <c r="H52" s="52"/>
    </row>
    <row r="53" spans="2:10" s="18" customFormat="1" ht="57" customHeight="1">
      <c r="B53" s="30" t="s">
        <v>120</v>
      </c>
      <c r="C53" s="45" t="s">
        <v>17</v>
      </c>
      <c r="D53" s="31" t="s">
        <v>16</v>
      </c>
      <c r="E53" s="32">
        <f>124000+28800-10000</f>
        <v>142800</v>
      </c>
      <c r="F53" s="33" t="s">
        <v>53</v>
      </c>
      <c r="G53" s="34" t="s">
        <v>114</v>
      </c>
      <c r="H53" s="34" t="s">
        <v>59</v>
      </c>
    </row>
    <row r="54" spans="2:10" s="18" customFormat="1" ht="65.25" customHeight="1">
      <c r="B54" s="30" t="s">
        <v>120</v>
      </c>
      <c r="C54" s="45" t="s">
        <v>17</v>
      </c>
      <c r="D54" s="31" t="s">
        <v>16</v>
      </c>
      <c r="E54" s="32">
        <v>2000</v>
      </c>
      <c r="F54" s="33" t="s">
        <v>53</v>
      </c>
      <c r="G54" s="34" t="s">
        <v>114</v>
      </c>
      <c r="H54" s="34"/>
      <c r="J54" s="20"/>
    </row>
    <row r="55" spans="2:10" s="18" customFormat="1" ht="56.25">
      <c r="B55" s="30" t="s">
        <v>120</v>
      </c>
      <c r="C55" s="45" t="s">
        <v>64</v>
      </c>
      <c r="D55" s="31" t="s">
        <v>65</v>
      </c>
      <c r="E55" s="32">
        <v>1500</v>
      </c>
      <c r="F55" s="33" t="s">
        <v>53</v>
      </c>
      <c r="G55" s="34" t="s">
        <v>114</v>
      </c>
      <c r="H55" s="34" t="s">
        <v>66</v>
      </c>
    </row>
    <row r="56" spans="2:10" s="18" customFormat="1" ht="75" customHeight="1">
      <c r="B56" s="30" t="s">
        <v>120</v>
      </c>
      <c r="C56" s="45" t="s">
        <v>25</v>
      </c>
      <c r="D56" s="31" t="s">
        <v>104</v>
      </c>
      <c r="E56" s="32">
        <f>100000-80000</f>
        <v>20000</v>
      </c>
      <c r="F56" s="33" t="s">
        <v>56</v>
      </c>
      <c r="G56" s="34" t="s">
        <v>114</v>
      </c>
      <c r="H56" s="34"/>
    </row>
    <row r="57" spans="2:10" s="18" customFormat="1" ht="75" customHeight="1">
      <c r="B57" s="30" t="s">
        <v>120</v>
      </c>
      <c r="C57" s="45" t="s">
        <v>112</v>
      </c>
      <c r="D57" s="31" t="s">
        <v>113</v>
      </c>
      <c r="E57" s="32">
        <v>3000</v>
      </c>
      <c r="F57" s="33" t="s">
        <v>53</v>
      </c>
      <c r="G57" s="34" t="s">
        <v>114</v>
      </c>
      <c r="H57" s="34" t="s">
        <v>66</v>
      </c>
    </row>
    <row r="58" spans="2:10" s="18" customFormat="1" ht="63.75" customHeight="1">
      <c r="B58" s="30" t="s">
        <v>120</v>
      </c>
      <c r="C58" s="31" t="s">
        <v>37</v>
      </c>
      <c r="D58" s="31" t="s">
        <v>55</v>
      </c>
      <c r="E58" s="32">
        <f>3950+6000</f>
        <v>9950</v>
      </c>
      <c r="F58" s="33" t="s">
        <v>56</v>
      </c>
      <c r="G58" s="34" t="s">
        <v>114</v>
      </c>
      <c r="H58" s="34"/>
    </row>
    <row r="59" spans="2:10" s="18" customFormat="1" ht="63.75" customHeight="1">
      <c r="B59" s="30" t="s">
        <v>120</v>
      </c>
      <c r="C59" s="31" t="s">
        <v>105</v>
      </c>
      <c r="D59" s="31" t="s">
        <v>106</v>
      </c>
      <c r="E59" s="32">
        <v>450</v>
      </c>
      <c r="F59" s="33" t="s">
        <v>53</v>
      </c>
      <c r="G59" s="34" t="s">
        <v>114</v>
      </c>
      <c r="H59" s="34"/>
    </row>
    <row r="60" spans="2:10" s="18" customFormat="1" ht="77.25" customHeight="1">
      <c r="B60" s="30" t="s">
        <v>120</v>
      </c>
      <c r="C60" s="48">
        <v>79700000</v>
      </c>
      <c r="D60" s="31" t="s">
        <v>27</v>
      </c>
      <c r="E60" s="32">
        <f>520000-13000</f>
        <v>507000</v>
      </c>
      <c r="F60" s="33" t="s">
        <v>53</v>
      </c>
      <c r="G60" s="34" t="s">
        <v>114</v>
      </c>
      <c r="H60" s="34" t="s">
        <v>67</v>
      </c>
    </row>
    <row r="61" spans="2:10" s="18" customFormat="1" ht="62.25" customHeight="1">
      <c r="B61" s="30" t="s">
        <v>120</v>
      </c>
      <c r="C61" s="48">
        <v>79800000</v>
      </c>
      <c r="D61" s="31" t="s">
        <v>68</v>
      </c>
      <c r="E61" s="32">
        <f>10000+15000</f>
        <v>25000</v>
      </c>
      <c r="F61" s="33" t="s">
        <v>56</v>
      </c>
      <c r="G61" s="34" t="s">
        <v>114</v>
      </c>
      <c r="H61" s="34"/>
    </row>
    <row r="62" spans="2:10" s="18" customFormat="1" ht="62.25" customHeight="1">
      <c r="B62" s="30" t="s">
        <v>120</v>
      </c>
      <c r="C62" s="31" t="s">
        <v>45</v>
      </c>
      <c r="D62" s="31" t="s">
        <v>57</v>
      </c>
      <c r="E62" s="32">
        <v>25000</v>
      </c>
      <c r="F62" s="33" t="s">
        <v>53</v>
      </c>
      <c r="G62" s="34" t="s">
        <v>114</v>
      </c>
      <c r="H62" s="31" t="s">
        <v>60</v>
      </c>
    </row>
    <row r="63" spans="2:10" s="18" customFormat="1" ht="62.25" customHeight="1">
      <c r="B63" s="30" t="s">
        <v>120</v>
      </c>
      <c r="C63" s="45" t="s">
        <v>24</v>
      </c>
      <c r="D63" s="31" t="s">
        <v>63</v>
      </c>
      <c r="E63" s="32">
        <v>12000</v>
      </c>
      <c r="F63" s="33" t="s">
        <v>56</v>
      </c>
      <c r="G63" s="34" t="s">
        <v>114</v>
      </c>
      <c r="H63" s="31"/>
    </row>
    <row r="64" spans="2:10" s="18" customFormat="1" ht="62.25" customHeight="1">
      <c r="B64" s="30" t="s">
        <v>120</v>
      </c>
      <c r="C64" s="45" t="s">
        <v>107</v>
      </c>
      <c r="D64" s="31" t="s">
        <v>108</v>
      </c>
      <c r="E64" s="32">
        <v>1000</v>
      </c>
      <c r="F64" s="33" t="s">
        <v>53</v>
      </c>
      <c r="G64" s="34" t="s">
        <v>114</v>
      </c>
      <c r="H64" s="31"/>
    </row>
    <row r="65" spans="2:14" s="18" customFormat="1" ht="60.75" customHeight="1">
      <c r="B65" s="30" t="s">
        <v>120</v>
      </c>
      <c r="C65" s="31" t="s">
        <v>69</v>
      </c>
      <c r="D65" s="31" t="s">
        <v>70</v>
      </c>
      <c r="E65" s="32">
        <v>20000</v>
      </c>
      <c r="F65" s="33" t="s">
        <v>56</v>
      </c>
      <c r="G65" s="34" t="s">
        <v>114</v>
      </c>
      <c r="H65" s="49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f>10000</f>
        <v>10000</v>
      </c>
      <c r="F66" s="33" t="s">
        <v>77</v>
      </c>
      <c r="G66" s="34" t="s">
        <v>114</v>
      </c>
      <c r="H66" s="34" t="s">
        <v>66</v>
      </c>
    </row>
    <row r="67" spans="2:14" s="18" customFormat="1" ht="60.75" customHeight="1">
      <c r="B67" s="30" t="s">
        <v>120</v>
      </c>
      <c r="C67" s="31" t="s">
        <v>166</v>
      </c>
      <c r="D67" s="31" t="s">
        <v>167</v>
      </c>
      <c r="E67" s="32">
        <v>31800</v>
      </c>
      <c r="F67" s="33" t="s">
        <v>56</v>
      </c>
      <c r="G67" s="34" t="s">
        <v>151</v>
      </c>
      <c r="H67" s="34"/>
    </row>
    <row r="68" spans="2:14" s="18" customFormat="1" ht="36.75" customHeight="1">
      <c r="B68" s="30" t="s">
        <v>120</v>
      </c>
      <c r="C68" s="31" t="s">
        <v>12</v>
      </c>
      <c r="D68" s="31" t="s">
        <v>19</v>
      </c>
      <c r="E68" s="32">
        <f>130000+6600</f>
        <v>136600</v>
      </c>
      <c r="F68" s="33" t="s">
        <v>56</v>
      </c>
      <c r="G68" s="34" t="s">
        <v>114</v>
      </c>
      <c r="H68" s="49"/>
    </row>
    <row r="69" spans="2:14" s="18" customFormat="1" ht="36.75" customHeight="1">
      <c r="B69" s="30" t="s">
        <v>120</v>
      </c>
      <c r="C69" s="31" t="s">
        <v>139</v>
      </c>
      <c r="D69" s="31" t="s">
        <v>140</v>
      </c>
      <c r="E69" s="32">
        <v>4900</v>
      </c>
      <c r="F69" s="33" t="s">
        <v>77</v>
      </c>
      <c r="G69" s="34" t="s">
        <v>114</v>
      </c>
      <c r="H69" s="34" t="s">
        <v>66</v>
      </c>
    </row>
    <row r="70" spans="2:14" s="18" customFormat="1" ht="54.75" customHeight="1">
      <c r="B70" s="30" t="s">
        <v>120</v>
      </c>
      <c r="C70" s="31" t="s">
        <v>100</v>
      </c>
      <c r="D70" s="31" t="s">
        <v>101</v>
      </c>
      <c r="E70" s="32">
        <v>15000</v>
      </c>
      <c r="F70" s="33" t="s">
        <v>53</v>
      </c>
      <c r="G70" s="34" t="s">
        <v>114</v>
      </c>
      <c r="H70" s="34" t="s">
        <v>66</v>
      </c>
    </row>
    <row r="71" spans="2:14" s="1" customFormat="1" ht="75" customHeight="1">
      <c r="B71" s="84" t="s">
        <v>122</v>
      </c>
      <c r="C71" s="85"/>
      <c r="D71" s="85"/>
      <c r="E71" s="16">
        <f>SUM(E72:E74)</f>
        <v>2524191.7000000002</v>
      </c>
      <c r="F71" s="13"/>
      <c r="G71" s="14"/>
      <c r="H71" s="10"/>
      <c r="I71" s="26"/>
      <c r="J71" s="27"/>
    </row>
    <row r="72" spans="2:14" s="18" customFormat="1" ht="59.25" customHeight="1">
      <c r="B72" s="30" t="s">
        <v>120</v>
      </c>
      <c r="C72" s="31" t="s">
        <v>24</v>
      </c>
      <c r="D72" s="31" t="s">
        <v>63</v>
      </c>
      <c r="E72" s="32">
        <v>2000000</v>
      </c>
      <c r="F72" s="33" t="s">
        <v>56</v>
      </c>
      <c r="G72" s="34" t="s">
        <v>114</v>
      </c>
      <c r="H72" s="35"/>
    </row>
    <row r="73" spans="2:14" s="18" customFormat="1" ht="90.75" customHeight="1">
      <c r="B73" s="30" t="s">
        <v>120</v>
      </c>
      <c r="C73" s="31" t="s">
        <v>24</v>
      </c>
      <c r="D73" s="31" t="s">
        <v>63</v>
      </c>
      <c r="E73" s="32">
        <v>121390</v>
      </c>
      <c r="F73" s="33" t="s">
        <v>53</v>
      </c>
      <c r="G73" s="34" t="s">
        <v>145</v>
      </c>
      <c r="H73" s="35" t="s">
        <v>146</v>
      </c>
    </row>
    <row r="74" spans="2:14" s="18" customFormat="1" ht="74.25" customHeight="1">
      <c r="B74" s="30" t="s">
        <v>120</v>
      </c>
      <c r="C74" s="31" t="s">
        <v>24</v>
      </c>
      <c r="D74" s="31" t="s">
        <v>63</v>
      </c>
      <c r="E74" s="32">
        <f>153466.1+13224+53288+19471.6+160022+3330</f>
        <v>402801.7</v>
      </c>
      <c r="F74" s="33" t="s">
        <v>53</v>
      </c>
      <c r="G74" s="34" t="s">
        <v>145</v>
      </c>
      <c r="H74" s="35" t="s">
        <v>147</v>
      </c>
    </row>
    <row r="75" spans="2:14" s="1" customFormat="1" ht="31.5" customHeight="1">
      <c r="B75" s="84" t="s">
        <v>123</v>
      </c>
      <c r="C75" s="85"/>
      <c r="D75" s="85"/>
      <c r="E75" s="16">
        <f>SUM(E76:E81)</f>
        <v>22970000</v>
      </c>
      <c r="F75" s="13"/>
      <c r="G75" s="9"/>
      <c r="H75" s="10"/>
      <c r="I75" s="26"/>
      <c r="J75" s="27"/>
    </row>
    <row r="76" spans="2:14" s="18" customFormat="1" ht="75.75" customHeight="1">
      <c r="B76" s="30" t="s">
        <v>120</v>
      </c>
      <c r="C76" s="31" t="s">
        <v>7</v>
      </c>
      <c r="D76" s="31" t="s">
        <v>49</v>
      </c>
      <c r="E76" s="32">
        <v>500000</v>
      </c>
      <c r="F76" s="33" t="s">
        <v>53</v>
      </c>
      <c r="G76" s="34" t="s">
        <v>114</v>
      </c>
      <c r="H76" s="36" t="s">
        <v>83</v>
      </c>
    </row>
    <row r="77" spans="2:14" s="18" customFormat="1" ht="75.75" customHeight="1">
      <c r="B77" s="30" t="s">
        <v>118</v>
      </c>
      <c r="C77" s="31" t="s">
        <v>7</v>
      </c>
      <c r="D77" s="31" t="s">
        <v>49</v>
      </c>
      <c r="E77" s="32">
        <v>100000</v>
      </c>
      <c r="F77" s="33" t="s">
        <v>53</v>
      </c>
      <c r="G77" s="34" t="s">
        <v>114</v>
      </c>
      <c r="H77" s="36" t="s">
        <v>83</v>
      </c>
    </row>
    <row r="78" spans="2:14" s="18" customFormat="1" ht="121.5" customHeight="1">
      <c r="B78" s="30" t="s">
        <v>120</v>
      </c>
      <c r="C78" s="31">
        <v>33600000</v>
      </c>
      <c r="D78" s="31" t="s">
        <v>29</v>
      </c>
      <c r="E78" s="32">
        <f>5721975+602964+2000000+200000-20000</f>
        <v>8504939</v>
      </c>
      <c r="F78" s="33" t="s">
        <v>56</v>
      </c>
      <c r="G78" s="34" t="s">
        <v>114</v>
      </c>
      <c r="H78" s="35"/>
      <c r="I78" s="21"/>
      <c r="J78" s="29"/>
      <c r="K78" s="29"/>
      <c r="L78" s="29"/>
      <c r="M78" s="29"/>
      <c r="N78" s="29"/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v>5546250</v>
      </c>
      <c r="F79" s="33" t="s">
        <v>56</v>
      </c>
      <c r="G79" s="34" t="s">
        <v>114</v>
      </c>
      <c r="H79" s="35" t="s">
        <v>148</v>
      </c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 t="s">
        <v>175</v>
      </c>
      <c r="D80" s="31" t="s">
        <v>68</v>
      </c>
      <c r="E80" s="32">
        <v>20000</v>
      </c>
      <c r="F80" s="33" t="s">
        <v>56</v>
      </c>
      <c r="G80" s="34" t="s">
        <v>176</v>
      </c>
      <c r="H80" s="36"/>
      <c r="I80" s="21"/>
      <c r="J80" s="29"/>
      <c r="K80" s="29"/>
      <c r="L80" s="29"/>
      <c r="M80" s="29"/>
      <c r="N80" s="29"/>
    </row>
    <row r="81" spans="2:14" s="18" customFormat="1" ht="87.75" customHeight="1">
      <c r="B81" s="30" t="s">
        <v>120</v>
      </c>
      <c r="C81" s="31" t="s">
        <v>30</v>
      </c>
      <c r="D81" s="31" t="s">
        <v>29</v>
      </c>
      <c r="E81" s="32">
        <f>6000000+2328811-30000</f>
        <v>8298811</v>
      </c>
      <c r="F81" s="33" t="s">
        <v>53</v>
      </c>
      <c r="G81" s="34" t="s">
        <v>114</v>
      </c>
      <c r="H81" s="36" t="s">
        <v>84</v>
      </c>
      <c r="J81" s="21"/>
      <c r="K81" s="21"/>
      <c r="N81" s="21"/>
    </row>
    <row r="82" spans="2:14" s="1" customFormat="1" ht="60" customHeight="1">
      <c r="B82" s="84" t="s">
        <v>125</v>
      </c>
      <c r="C82" s="85"/>
      <c r="D82" s="85"/>
      <c r="E82" s="16">
        <f>SUM(E83:E87)</f>
        <v>1700000</v>
      </c>
      <c r="F82" s="13"/>
      <c r="G82" s="14"/>
      <c r="H82" s="10"/>
      <c r="I82" s="26"/>
      <c r="J82" s="27"/>
    </row>
    <row r="83" spans="2:14" s="18" customFormat="1" ht="36.75" customHeight="1">
      <c r="B83" s="30" t="s">
        <v>120</v>
      </c>
      <c r="C83" s="31" t="s">
        <v>7</v>
      </c>
      <c r="D83" s="31" t="s">
        <v>28</v>
      </c>
      <c r="E83" s="32">
        <v>50000</v>
      </c>
      <c r="F83" s="33" t="s">
        <v>56</v>
      </c>
      <c r="G83" s="34" t="s">
        <v>114</v>
      </c>
      <c r="H83" s="35"/>
    </row>
    <row r="84" spans="2:14" s="18" customFormat="1" ht="30.75" customHeight="1">
      <c r="B84" s="30" t="s">
        <v>120</v>
      </c>
      <c r="C84" s="31" t="s">
        <v>30</v>
      </c>
      <c r="D84" s="31" t="s">
        <v>29</v>
      </c>
      <c r="E84" s="32">
        <f>200000-92300-30220</f>
        <v>77480</v>
      </c>
      <c r="F84" s="33" t="s">
        <v>56</v>
      </c>
      <c r="G84" s="34" t="s">
        <v>114</v>
      </c>
      <c r="H84" s="35"/>
    </row>
    <row r="85" spans="2:14" s="18" customFormat="1" ht="45" customHeight="1">
      <c r="B85" s="30" t="s">
        <v>120</v>
      </c>
      <c r="C85" s="31" t="s">
        <v>75</v>
      </c>
      <c r="D85" s="31" t="s">
        <v>76</v>
      </c>
      <c r="E85" s="32">
        <f>620000+92300</f>
        <v>712300</v>
      </c>
      <c r="F85" s="33" t="s">
        <v>56</v>
      </c>
      <c r="G85" s="34" t="s">
        <v>114</v>
      </c>
      <c r="H85" s="36"/>
    </row>
    <row r="86" spans="2:14" s="18" customFormat="1" ht="78" customHeight="1">
      <c r="B86" s="30" t="s">
        <v>120</v>
      </c>
      <c r="C86" s="31" t="s">
        <v>24</v>
      </c>
      <c r="D86" s="31" t="s">
        <v>63</v>
      </c>
      <c r="E86" s="32">
        <v>52208</v>
      </c>
      <c r="F86" s="33" t="s">
        <v>53</v>
      </c>
      <c r="G86" s="34" t="s">
        <v>149</v>
      </c>
      <c r="H86" s="36" t="s">
        <v>150</v>
      </c>
      <c r="J86" s="21"/>
    </row>
    <row r="87" spans="2:14" s="18" customFormat="1" ht="87.75" customHeight="1">
      <c r="B87" s="30" t="s">
        <v>120</v>
      </c>
      <c r="C87" s="31" t="s">
        <v>24</v>
      </c>
      <c r="D87" s="31" t="s">
        <v>63</v>
      </c>
      <c r="E87" s="32">
        <f>577500+171079.6+10376.4+3456+45600</f>
        <v>808012</v>
      </c>
      <c r="F87" s="33" t="s">
        <v>53</v>
      </c>
      <c r="G87" s="34" t="s">
        <v>151</v>
      </c>
      <c r="H87" s="36" t="s">
        <v>84</v>
      </c>
      <c r="J87" s="21"/>
    </row>
    <row r="88" spans="2:14" s="1" customFormat="1" ht="65.25" customHeight="1">
      <c r="B88" s="84" t="s">
        <v>126</v>
      </c>
      <c r="C88" s="85"/>
      <c r="D88" s="85"/>
      <c r="E88" s="16">
        <f>SUM(E89:E91)</f>
        <v>2864778</v>
      </c>
      <c r="F88" s="13"/>
      <c r="G88" s="14"/>
      <c r="H88" s="10"/>
      <c r="I88" s="26"/>
      <c r="J88" s="27"/>
    </row>
    <row r="89" spans="2:14" s="18" customFormat="1" ht="33.75">
      <c r="B89" s="30" t="s">
        <v>120</v>
      </c>
      <c r="C89" s="37" t="s">
        <v>25</v>
      </c>
      <c r="D89" s="37" t="s">
        <v>61</v>
      </c>
      <c r="E89" s="32">
        <v>200000</v>
      </c>
      <c r="F89" s="38" t="s">
        <v>56</v>
      </c>
      <c r="G89" s="34" t="s">
        <v>114</v>
      </c>
      <c r="H89" s="39"/>
    </row>
    <row r="90" spans="2:14" s="18" customFormat="1" ht="87.75" customHeight="1">
      <c r="B90" s="30" t="s">
        <v>120</v>
      </c>
      <c r="C90" s="31">
        <v>85100000</v>
      </c>
      <c r="D90" s="31" t="s">
        <v>63</v>
      </c>
      <c r="E90" s="32">
        <v>203458</v>
      </c>
      <c r="F90" s="33" t="s">
        <v>53</v>
      </c>
      <c r="G90" s="34" t="s">
        <v>152</v>
      </c>
      <c r="H90" s="40" t="s">
        <v>154</v>
      </c>
    </row>
    <row r="91" spans="2:14" s="18" customFormat="1" ht="69.75" customHeight="1">
      <c r="B91" s="30" t="s">
        <v>120</v>
      </c>
      <c r="C91" s="31">
        <v>85100000</v>
      </c>
      <c r="D91" s="31" t="s">
        <v>63</v>
      </c>
      <c r="E91" s="32">
        <v>2461320</v>
      </c>
      <c r="F91" s="33" t="s">
        <v>53</v>
      </c>
      <c r="G91" s="34" t="s">
        <v>153</v>
      </c>
      <c r="H91" s="36" t="s">
        <v>84</v>
      </c>
    </row>
    <row r="92" spans="2:14" s="1" customFormat="1" ht="61.5" customHeight="1">
      <c r="B92" s="84" t="s">
        <v>127</v>
      </c>
      <c r="C92" s="85"/>
      <c r="D92" s="85"/>
      <c r="E92" s="16">
        <f>SUM(E93:E94)</f>
        <v>184167</v>
      </c>
      <c r="F92" s="13"/>
      <c r="G92" s="14"/>
      <c r="H92" s="10"/>
      <c r="I92" s="26"/>
      <c r="J92" s="27"/>
    </row>
    <row r="93" spans="2:14" s="18" customFormat="1" ht="75" customHeight="1">
      <c r="B93" s="30" t="s">
        <v>120</v>
      </c>
      <c r="C93" s="31" t="s">
        <v>24</v>
      </c>
      <c r="D93" s="31" t="s">
        <v>63</v>
      </c>
      <c r="E93" s="32">
        <v>170000</v>
      </c>
      <c r="F93" s="33" t="s">
        <v>53</v>
      </c>
      <c r="G93" s="34" t="s">
        <v>153</v>
      </c>
      <c r="H93" s="36" t="s">
        <v>84</v>
      </c>
    </row>
    <row r="94" spans="2:14" s="18" customFormat="1" ht="91.5" customHeight="1">
      <c r="B94" s="30" t="s">
        <v>120</v>
      </c>
      <c r="C94" s="31" t="s">
        <v>24</v>
      </c>
      <c r="D94" s="31" t="s">
        <v>63</v>
      </c>
      <c r="E94" s="32">
        <v>14167</v>
      </c>
      <c r="F94" s="33" t="s">
        <v>53</v>
      </c>
      <c r="G94" s="34" t="s">
        <v>152</v>
      </c>
      <c r="H94" s="40" t="s">
        <v>154</v>
      </c>
    </row>
    <row r="95" spans="2:14" s="1" customFormat="1" ht="65.25" customHeight="1">
      <c r="B95" s="95" t="s">
        <v>128</v>
      </c>
      <c r="C95" s="96"/>
      <c r="D95" s="96"/>
      <c r="E95" s="16">
        <f>SUM(E96:E100)</f>
        <v>1655642</v>
      </c>
      <c r="F95" s="13"/>
      <c r="G95" s="14"/>
      <c r="H95" s="25"/>
      <c r="I95" s="26"/>
      <c r="J95" s="27"/>
    </row>
    <row r="96" spans="2:14" s="18" customFormat="1" ht="49.5" customHeight="1">
      <c r="B96" s="30" t="s">
        <v>120</v>
      </c>
      <c r="C96" s="31" t="s">
        <v>14</v>
      </c>
      <c r="D96" s="31" t="s">
        <v>15</v>
      </c>
      <c r="E96" s="32">
        <v>25000</v>
      </c>
      <c r="F96" s="33" t="s">
        <v>52</v>
      </c>
      <c r="G96" s="34" t="s">
        <v>114</v>
      </c>
      <c r="H96" s="35"/>
    </row>
    <row r="97" spans="2:10" s="18" customFormat="1" ht="33.75">
      <c r="B97" s="30" t="s">
        <v>120</v>
      </c>
      <c r="C97" s="41">
        <v>33100000</v>
      </c>
      <c r="D97" s="41" t="s">
        <v>28</v>
      </c>
      <c r="E97" s="32">
        <v>410000</v>
      </c>
      <c r="F97" s="42" t="s">
        <v>56</v>
      </c>
      <c r="G97" s="34" t="s">
        <v>114</v>
      </c>
      <c r="H97" s="43"/>
    </row>
    <row r="98" spans="2:10" s="18" customFormat="1" ht="60.75" customHeight="1">
      <c r="B98" s="30" t="s">
        <v>120</v>
      </c>
      <c r="C98" s="31" t="s">
        <v>51</v>
      </c>
      <c r="D98" s="31" t="s">
        <v>36</v>
      </c>
      <c r="E98" s="32">
        <v>15000</v>
      </c>
      <c r="F98" s="33" t="s">
        <v>56</v>
      </c>
      <c r="G98" s="34" t="s">
        <v>114</v>
      </c>
      <c r="H98" s="35"/>
    </row>
    <row r="99" spans="2:10" s="18" customFormat="1" ht="65.25" customHeight="1">
      <c r="B99" s="30" t="s">
        <v>120</v>
      </c>
      <c r="C99" s="31">
        <v>85100000</v>
      </c>
      <c r="D99" s="31" t="s">
        <v>63</v>
      </c>
      <c r="E99" s="32">
        <f>1081996+37800</f>
        <v>1119796</v>
      </c>
      <c r="F99" s="33" t="s">
        <v>53</v>
      </c>
      <c r="G99" s="34" t="s">
        <v>153</v>
      </c>
      <c r="H99" s="36" t="s">
        <v>84</v>
      </c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v>85846</v>
      </c>
      <c r="F100" s="33" t="s">
        <v>53</v>
      </c>
      <c r="G100" s="34" t="s">
        <v>152</v>
      </c>
      <c r="H100" s="40" t="s">
        <v>154</v>
      </c>
    </row>
    <row r="101" spans="2:10" s="1" customFormat="1" ht="80.25" customHeight="1">
      <c r="B101" s="84" t="s">
        <v>129</v>
      </c>
      <c r="C101" s="85"/>
      <c r="D101" s="85"/>
      <c r="E101" s="16">
        <f>SUM(E102:E102)</f>
        <v>1890000</v>
      </c>
      <c r="F101" s="13"/>
      <c r="G101" s="14"/>
      <c r="H101" s="10"/>
      <c r="I101" s="26"/>
      <c r="J101" s="27"/>
    </row>
    <row r="102" spans="2:10" s="18" customFormat="1" ht="84.75" customHeight="1">
      <c r="B102" s="30" t="s">
        <v>120</v>
      </c>
      <c r="C102" s="31" t="s">
        <v>30</v>
      </c>
      <c r="D102" s="31" t="s">
        <v>29</v>
      </c>
      <c r="E102" s="32">
        <v>1890000</v>
      </c>
      <c r="F102" s="33" t="s">
        <v>53</v>
      </c>
      <c r="G102" s="34" t="s">
        <v>114</v>
      </c>
      <c r="H102" s="36" t="s">
        <v>84</v>
      </c>
    </row>
    <row r="103" spans="2:10" s="1" customFormat="1" ht="57.75" customHeight="1">
      <c r="B103" s="93" t="s">
        <v>130</v>
      </c>
      <c r="C103" s="94"/>
      <c r="D103" s="94"/>
      <c r="E103" s="22">
        <f>SUM(E104:E107)</f>
        <v>3317000</v>
      </c>
      <c r="F103" s="23"/>
      <c r="G103" s="23"/>
      <c r="H103" s="24"/>
      <c r="I103" s="26"/>
      <c r="J103" s="27"/>
    </row>
    <row r="104" spans="2:10" s="18" customFormat="1" ht="29.25" customHeight="1">
      <c r="B104" s="30" t="s">
        <v>120</v>
      </c>
      <c r="C104" s="45">
        <v>33100000</v>
      </c>
      <c r="D104" s="31" t="s">
        <v>8</v>
      </c>
      <c r="E104" s="32">
        <v>100000</v>
      </c>
      <c r="F104" s="33" t="s">
        <v>56</v>
      </c>
      <c r="G104" s="34" t="s">
        <v>114</v>
      </c>
      <c r="H104" s="34"/>
    </row>
    <row r="105" spans="2:10" s="18" customFormat="1" ht="33.75">
      <c r="B105" s="30" t="s">
        <v>120</v>
      </c>
      <c r="C105" s="45" t="s">
        <v>30</v>
      </c>
      <c r="D105" s="31" t="s">
        <v>9</v>
      </c>
      <c r="E105" s="32">
        <f>2500000-340000-630198.8</f>
        <v>1529801.2</v>
      </c>
      <c r="F105" s="33" t="s">
        <v>56</v>
      </c>
      <c r="G105" s="34" t="s">
        <v>114</v>
      </c>
      <c r="H105" s="34"/>
      <c r="I105" s="21">
        <f>E103-3317000</f>
        <v>0</v>
      </c>
    </row>
    <row r="106" spans="2:10" s="18" customFormat="1" ht="90.75" customHeight="1">
      <c r="B106" s="30" t="s">
        <v>120</v>
      </c>
      <c r="C106" s="31" t="s">
        <v>24</v>
      </c>
      <c r="D106" s="31" t="s">
        <v>63</v>
      </c>
      <c r="E106" s="32">
        <v>111542</v>
      </c>
      <c r="F106" s="33" t="s">
        <v>77</v>
      </c>
      <c r="G106" s="34" t="s">
        <v>153</v>
      </c>
      <c r="H106" s="40" t="s">
        <v>154</v>
      </c>
      <c r="I106" s="21"/>
    </row>
    <row r="107" spans="2:10" s="18" customFormat="1" ht="75.75" customHeight="1">
      <c r="B107" s="30" t="s">
        <v>120</v>
      </c>
      <c r="C107" s="31" t="s">
        <v>24</v>
      </c>
      <c r="D107" s="31" t="s">
        <v>63</v>
      </c>
      <c r="E107" s="32">
        <f>840656.8+735000</f>
        <v>1575656.8</v>
      </c>
      <c r="F107" s="33" t="s">
        <v>77</v>
      </c>
      <c r="G107" s="34" t="s">
        <v>114</v>
      </c>
      <c r="H107" s="36" t="s">
        <v>84</v>
      </c>
      <c r="I107" s="21"/>
    </row>
    <row r="108" spans="2:10" ht="133.5" customHeight="1">
      <c r="B108" s="84" t="s">
        <v>131</v>
      </c>
      <c r="C108" s="85"/>
      <c r="D108" s="85"/>
      <c r="E108" s="16">
        <f>SUM(E109)</f>
        <v>2420000</v>
      </c>
      <c r="F108" s="13"/>
      <c r="G108" s="14"/>
      <c r="H108" s="10"/>
      <c r="I108" s="26"/>
      <c r="J108" s="28"/>
    </row>
    <row r="109" spans="2:10" s="18" customFormat="1" ht="117.75" customHeight="1">
      <c r="B109" s="30" t="s">
        <v>120</v>
      </c>
      <c r="C109" s="31" t="s">
        <v>30</v>
      </c>
      <c r="D109" s="31" t="s">
        <v>29</v>
      </c>
      <c r="E109" s="32">
        <v>2420000</v>
      </c>
      <c r="F109" s="33" t="s">
        <v>77</v>
      </c>
      <c r="G109" s="34" t="s">
        <v>114</v>
      </c>
      <c r="H109" s="36" t="s">
        <v>84</v>
      </c>
    </row>
    <row r="110" spans="2:10" s="1" customFormat="1" ht="57" customHeight="1">
      <c r="B110" s="95" t="s">
        <v>132</v>
      </c>
      <c r="C110" s="96"/>
      <c r="D110" s="96"/>
      <c r="E110" s="16">
        <f>SUM(E111:E115)</f>
        <v>430000</v>
      </c>
      <c r="F110" s="13"/>
      <c r="G110" s="25"/>
      <c r="H110" s="25"/>
      <c r="I110" s="26"/>
      <c r="J110" s="27"/>
    </row>
    <row r="111" spans="2:10" s="18" customFormat="1" ht="59.25" customHeight="1">
      <c r="B111" s="30" t="s">
        <v>133</v>
      </c>
      <c r="C111" s="31">
        <v>33100000</v>
      </c>
      <c r="D111" s="31" t="s">
        <v>28</v>
      </c>
      <c r="E111" s="32">
        <v>10000</v>
      </c>
      <c r="F111" s="33" t="s">
        <v>56</v>
      </c>
      <c r="G111" s="34" t="s">
        <v>114</v>
      </c>
      <c r="H111" s="35"/>
    </row>
    <row r="112" spans="2:10" s="18" customFormat="1" ht="33.75">
      <c r="B112" s="30" t="s">
        <v>133</v>
      </c>
      <c r="C112" s="37">
        <v>33600000</v>
      </c>
      <c r="D112" s="37" t="s">
        <v>29</v>
      </c>
      <c r="E112" s="32">
        <v>320000</v>
      </c>
      <c r="F112" s="38" t="s">
        <v>56</v>
      </c>
      <c r="G112" s="34" t="s">
        <v>114</v>
      </c>
      <c r="H112" s="39"/>
    </row>
    <row r="113" spans="2:10" s="18" customFormat="1" ht="69" customHeight="1">
      <c r="B113" s="30" t="s">
        <v>120</v>
      </c>
      <c r="C113" s="45" t="s">
        <v>24</v>
      </c>
      <c r="D113" s="31" t="s">
        <v>63</v>
      </c>
      <c r="E113" s="32">
        <f>16450</f>
        <v>16450</v>
      </c>
      <c r="F113" s="33" t="s">
        <v>53</v>
      </c>
      <c r="G113" s="34" t="s">
        <v>114</v>
      </c>
      <c r="H113" s="36" t="s">
        <v>84</v>
      </c>
    </row>
    <row r="114" spans="2:10" s="18" customFormat="1" ht="51" customHeight="1">
      <c r="B114" s="30" t="s">
        <v>120</v>
      </c>
      <c r="C114" s="45" t="s">
        <v>24</v>
      </c>
      <c r="D114" s="31" t="s">
        <v>63</v>
      </c>
      <c r="E114" s="32">
        <f>100000-E113-E115</f>
        <v>75325</v>
      </c>
      <c r="F114" s="33" t="s">
        <v>56</v>
      </c>
      <c r="G114" s="34" t="s">
        <v>114</v>
      </c>
      <c r="H114" s="40"/>
    </row>
    <row r="115" spans="2:10" s="18" customFormat="1" ht="103.5" customHeight="1">
      <c r="B115" s="30" t="s">
        <v>120</v>
      </c>
      <c r="C115" s="45" t="s">
        <v>155</v>
      </c>
      <c r="D115" s="31" t="s">
        <v>63</v>
      </c>
      <c r="E115" s="82">
        <v>8225</v>
      </c>
      <c r="F115" s="33" t="s">
        <v>53</v>
      </c>
      <c r="G115" s="34" t="s">
        <v>153</v>
      </c>
      <c r="H115" s="40" t="s">
        <v>146</v>
      </c>
    </row>
    <row r="116" spans="2:10" ht="59.25" customHeight="1">
      <c r="B116" s="84" t="s">
        <v>134</v>
      </c>
      <c r="C116" s="85"/>
      <c r="D116" s="85"/>
      <c r="E116" s="16">
        <f>SUM(E117:E120)</f>
        <v>1240000</v>
      </c>
      <c r="F116" s="13"/>
      <c r="G116" s="14"/>
      <c r="H116" s="10"/>
      <c r="I116" s="26"/>
      <c r="J116" s="28"/>
    </row>
    <row r="117" spans="2:10" s="18" customFormat="1" ht="42.75" customHeight="1">
      <c r="B117" s="46" t="s">
        <v>120</v>
      </c>
      <c r="C117" s="31" t="s">
        <v>25</v>
      </c>
      <c r="D117" s="31" t="s">
        <v>61</v>
      </c>
      <c r="E117" s="32">
        <f>1500000-170000-260000-90000-86410</f>
        <v>893590</v>
      </c>
      <c r="F117" s="33" t="s">
        <v>56</v>
      </c>
      <c r="G117" s="34" t="s">
        <v>114</v>
      </c>
      <c r="H117" s="47"/>
      <c r="I117" s="21"/>
    </row>
    <row r="118" spans="2:10" s="18" customFormat="1" ht="42.75" customHeight="1">
      <c r="B118" s="46" t="s">
        <v>137</v>
      </c>
      <c r="C118" s="31" t="s">
        <v>135</v>
      </c>
      <c r="D118" s="31" t="s">
        <v>136</v>
      </c>
      <c r="E118" s="32">
        <v>170000</v>
      </c>
      <c r="F118" s="33" t="s">
        <v>56</v>
      </c>
      <c r="G118" s="34" t="s">
        <v>114</v>
      </c>
      <c r="H118" s="47"/>
    </row>
    <row r="119" spans="2:10" s="18" customFormat="1" ht="82.5" customHeight="1">
      <c r="B119" s="30" t="s">
        <v>120</v>
      </c>
      <c r="C119" s="31" t="s">
        <v>156</v>
      </c>
      <c r="D119" s="31" t="s">
        <v>157</v>
      </c>
      <c r="E119" s="32">
        <v>90000</v>
      </c>
      <c r="F119" s="33" t="s">
        <v>53</v>
      </c>
      <c r="G119" s="34" t="s">
        <v>153</v>
      </c>
      <c r="H119" s="36" t="s">
        <v>84</v>
      </c>
    </row>
    <row r="120" spans="2:10" s="19" customFormat="1" ht="81.75" customHeight="1">
      <c r="B120" s="78" t="s">
        <v>120</v>
      </c>
      <c r="C120" s="41" t="s">
        <v>25</v>
      </c>
      <c r="D120" s="41" t="s">
        <v>61</v>
      </c>
      <c r="E120" s="79">
        <v>86410</v>
      </c>
      <c r="F120" s="42" t="s">
        <v>53</v>
      </c>
      <c r="G120" s="80" t="s">
        <v>151</v>
      </c>
      <c r="H120" s="81" t="s">
        <v>84</v>
      </c>
    </row>
    <row r="121" spans="2:10" ht="70.5" customHeight="1">
      <c r="B121" s="84" t="s">
        <v>138</v>
      </c>
      <c r="C121" s="85"/>
      <c r="D121" s="85"/>
      <c r="E121" s="16">
        <f>SUM(E122:E125)</f>
        <v>835000</v>
      </c>
      <c r="F121" s="13"/>
      <c r="G121" s="14"/>
      <c r="H121" s="10"/>
      <c r="I121" s="26"/>
      <c r="J121" s="28"/>
    </row>
    <row r="122" spans="2:10" s="18" customFormat="1" ht="33.75">
      <c r="B122" s="46" t="s">
        <v>120</v>
      </c>
      <c r="C122" s="31" t="s">
        <v>30</v>
      </c>
      <c r="D122" s="31" t="s">
        <v>29</v>
      </c>
      <c r="E122" s="32">
        <f>300000+300000</f>
        <v>600000</v>
      </c>
      <c r="F122" s="31" t="s">
        <v>56</v>
      </c>
      <c r="G122" s="34" t="s">
        <v>114</v>
      </c>
      <c r="H122" s="31"/>
    </row>
    <row r="123" spans="2:10" s="18" customFormat="1" ht="33.75">
      <c r="B123" s="46" t="s">
        <v>120</v>
      </c>
      <c r="C123" s="31" t="s">
        <v>7</v>
      </c>
      <c r="D123" s="31" t="s">
        <v>28</v>
      </c>
      <c r="E123" s="32">
        <f>150000</f>
        <v>150000</v>
      </c>
      <c r="F123" s="31" t="s">
        <v>56</v>
      </c>
      <c r="G123" s="34" t="s">
        <v>114</v>
      </c>
      <c r="H123" s="31"/>
    </row>
    <row r="124" spans="2:10" s="18" customFormat="1" ht="25.5">
      <c r="B124" s="46" t="s">
        <v>120</v>
      </c>
      <c r="C124" s="31" t="s">
        <v>7</v>
      </c>
      <c r="D124" s="31" t="s">
        <v>28</v>
      </c>
      <c r="E124" s="32">
        <v>45000</v>
      </c>
      <c r="F124" s="31" t="s">
        <v>144</v>
      </c>
      <c r="G124" s="34" t="s">
        <v>160</v>
      </c>
      <c r="H124" s="31"/>
    </row>
    <row r="125" spans="2:10" ht="33.75">
      <c r="B125" s="46" t="s">
        <v>120</v>
      </c>
      <c r="C125" s="31" t="s">
        <v>14</v>
      </c>
      <c r="D125" s="31" t="s">
        <v>32</v>
      </c>
      <c r="E125" s="32">
        <v>40000</v>
      </c>
      <c r="F125" s="31" t="s">
        <v>52</v>
      </c>
      <c r="G125" s="34" t="s">
        <v>163</v>
      </c>
      <c r="H125" s="31"/>
    </row>
  </sheetData>
  <autoFilter ref="A8:H125"/>
  <mergeCells count="20">
    <mergeCell ref="B116:D116"/>
    <mergeCell ref="B121:D121"/>
    <mergeCell ref="B92:D92"/>
    <mergeCell ref="B95:D95"/>
    <mergeCell ref="B101:D101"/>
    <mergeCell ref="B103:D103"/>
    <mergeCell ref="B108:D108"/>
    <mergeCell ref="B110:D110"/>
    <mergeCell ref="B88:D88"/>
    <mergeCell ref="B2:H2"/>
    <mergeCell ref="B3:H3"/>
    <mergeCell ref="B4:E4"/>
    <mergeCell ref="F4:H4"/>
    <mergeCell ref="B5:E5"/>
    <mergeCell ref="F5:H5"/>
    <mergeCell ref="B6:F6"/>
    <mergeCell ref="B9:D9"/>
    <mergeCell ref="B71:D71"/>
    <mergeCell ref="B75:D75"/>
    <mergeCell ref="B82:D8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0"/>
  <sheetViews>
    <sheetView topLeftCell="B10" zoomScaleNormal="100" zoomScaleSheetLayoutView="80" workbookViewId="0">
      <selection activeCell="K47" sqref="K4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42503230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5048230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53" t="s">
        <v>120</v>
      </c>
      <c r="C20" s="54">
        <v>41100000</v>
      </c>
      <c r="D20" s="55" t="s">
        <v>142</v>
      </c>
      <c r="E20" s="56">
        <v>10800</v>
      </c>
      <c r="F20" s="57" t="s">
        <v>56</v>
      </c>
      <c r="G20" s="58" t="s">
        <v>114</v>
      </c>
      <c r="H20" s="55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v>20000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53" t="s">
        <v>120</v>
      </c>
      <c r="C44" s="59" t="s">
        <v>17</v>
      </c>
      <c r="D44" s="55" t="s">
        <v>16</v>
      </c>
      <c r="E44" s="56">
        <f>124000+28800</f>
        <v>152800</v>
      </c>
      <c r="F44" s="57" t="s">
        <v>53</v>
      </c>
      <c r="G44" s="58" t="s">
        <v>114</v>
      </c>
      <c r="H44" s="58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v>6000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53" t="s">
        <v>120</v>
      </c>
      <c r="C58" s="55" t="s">
        <v>12</v>
      </c>
      <c r="D58" s="55" t="s">
        <v>19</v>
      </c>
      <c r="E58" s="56">
        <f>130000+6600</f>
        <v>136600</v>
      </c>
      <c r="F58" s="57" t="s">
        <v>56</v>
      </c>
      <c r="G58" s="58" t="s">
        <v>114</v>
      </c>
      <c r="H58" s="60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435000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v>105000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1500000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</f>
        <v>1330000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SUM(E99:E100)</f>
        <v>150000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1" t="s">
        <v>141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1">
        <v>150000</v>
      </c>
      <c r="F100" s="31" t="s">
        <v>56</v>
      </c>
      <c r="G100" s="34" t="s">
        <v>114</v>
      </c>
      <c r="H100" s="31"/>
    </row>
  </sheetData>
  <autoFilter ref="A8:H100"/>
  <mergeCells count="20"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  <mergeCell ref="B95:D95"/>
    <mergeCell ref="B98:D98"/>
    <mergeCell ref="B76:D76"/>
    <mergeCell ref="B78:D78"/>
    <mergeCell ref="B83:D83"/>
    <mergeCell ref="B85:D85"/>
    <mergeCell ref="B89:D89"/>
    <mergeCell ref="B91:D9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6"/>
  <sheetViews>
    <sheetView topLeftCell="B40" zoomScale="96" zoomScaleNormal="96" zoomScaleSheetLayoutView="80" workbookViewId="0">
      <selection activeCell="L36" sqref="L3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E9+E72+E76+E83+E89+E93+E96+E102+E104+E109+E111+E117+E122+#REF!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SUM(E10:E71)</f>
        <v>4498571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</f>
        <v>6000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53" t="s">
        <v>118</v>
      </c>
      <c r="C32" s="54">
        <v>48700000</v>
      </c>
      <c r="D32" s="55" t="s">
        <v>89</v>
      </c>
      <c r="E32" s="56">
        <v>36020</v>
      </c>
      <c r="F32" s="57" t="s">
        <v>56</v>
      </c>
      <c r="G32" s="58" t="s">
        <v>114</v>
      </c>
      <c r="H32" s="60"/>
    </row>
    <row r="33" spans="2:8" s="18" customFormat="1" ht="37.5" customHeight="1">
      <c r="B33" s="53" t="s">
        <v>120</v>
      </c>
      <c r="C33" s="54">
        <v>48700000</v>
      </c>
      <c r="D33" s="55" t="s">
        <v>89</v>
      </c>
      <c r="E33" s="56">
        <v>13510</v>
      </c>
      <c r="F33" s="57" t="s">
        <v>56</v>
      </c>
      <c r="G33" s="58" t="s">
        <v>177</v>
      </c>
      <c r="H33" s="60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</f>
        <v>28312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54.75" customHeight="1">
      <c r="B71" s="30" t="s">
        <v>120</v>
      </c>
      <c r="C71" s="31" t="s">
        <v>100</v>
      </c>
      <c r="D71" s="31" t="s">
        <v>101</v>
      </c>
      <c r="E71" s="32">
        <v>15000</v>
      </c>
      <c r="F71" s="33" t="s">
        <v>53</v>
      </c>
      <c r="G71" s="34" t="s">
        <v>114</v>
      </c>
      <c r="H71" s="34" t="s">
        <v>66</v>
      </c>
    </row>
    <row r="72" spans="2:14" s="1" customFormat="1" ht="75" customHeight="1">
      <c r="B72" s="84" t="s">
        <v>122</v>
      </c>
      <c r="C72" s="85"/>
      <c r="D72" s="85"/>
      <c r="E72" s="16">
        <f>SUM(E73:E75)</f>
        <v>2524191.7000000002</v>
      </c>
      <c r="F72" s="13"/>
      <c r="G72" s="14"/>
      <c r="H72" s="10"/>
      <c r="I72" s="26"/>
      <c r="J72" s="27"/>
    </row>
    <row r="73" spans="2:14" s="18" customFormat="1" ht="59.25" customHeight="1">
      <c r="B73" s="30" t="s">
        <v>120</v>
      </c>
      <c r="C73" s="31" t="s">
        <v>24</v>
      </c>
      <c r="D73" s="31" t="s">
        <v>63</v>
      </c>
      <c r="E73" s="32">
        <v>2000000</v>
      </c>
      <c r="F73" s="33" t="s">
        <v>56</v>
      </c>
      <c r="G73" s="34" t="s">
        <v>114</v>
      </c>
      <c r="H73" s="35"/>
    </row>
    <row r="74" spans="2:14" s="18" customFormat="1" ht="90.75" customHeight="1">
      <c r="B74" s="30" t="s">
        <v>120</v>
      </c>
      <c r="C74" s="31" t="s">
        <v>24</v>
      </c>
      <c r="D74" s="31" t="s">
        <v>63</v>
      </c>
      <c r="E74" s="32">
        <v>121390</v>
      </c>
      <c r="F74" s="33" t="s">
        <v>53</v>
      </c>
      <c r="G74" s="34" t="s">
        <v>145</v>
      </c>
      <c r="H74" s="35" t="s">
        <v>146</v>
      </c>
    </row>
    <row r="75" spans="2:14" s="18" customFormat="1" ht="74.25" customHeight="1">
      <c r="B75" s="30" t="s">
        <v>120</v>
      </c>
      <c r="C75" s="31" t="s">
        <v>24</v>
      </c>
      <c r="D75" s="31" t="s">
        <v>63</v>
      </c>
      <c r="E75" s="32">
        <f>153466.1+13224+53288+19471.6+160022+3330</f>
        <v>402801.7</v>
      </c>
      <c r="F75" s="33" t="s">
        <v>53</v>
      </c>
      <c r="G75" s="34" t="s">
        <v>145</v>
      </c>
      <c r="H75" s="35" t="s">
        <v>147</v>
      </c>
    </row>
    <row r="76" spans="2:14" s="1" customFormat="1" ht="31.5" customHeight="1">
      <c r="B76" s="84" t="s">
        <v>123</v>
      </c>
      <c r="C76" s="85"/>
      <c r="D76" s="85"/>
      <c r="E76" s="16">
        <f>SUM(E77:E82)</f>
        <v>22970000</v>
      </c>
      <c r="F76" s="13"/>
      <c r="G76" s="9"/>
      <c r="H76" s="10"/>
      <c r="I76" s="26"/>
      <c r="J76" s="27"/>
    </row>
    <row r="77" spans="2:14" s="18" customFormat="1" ht="75.75" customHeight="1">
      <c r="B77" s="30" t="s">
        <v>120</v>
      </c>
      <c r="C77" s="31" t="s">
        <v>7</v>
      </c>
      <c r="D77" s="31" t="s">
        <v>49</v>
      </c>
      <c r="E77" s="32">
        <v>500000</v>
      </c>
      <c r="F77" s="33" t="s">
        <v>53</v>
      </c>
      <c r="G77" s="34" t="s">
        <v>114</v>
      </c>
      <c r="H77" s="36" t="s">
        <v>83</v>
      </c>
    </row>
    <row r="78" spans="2:14" s="18" customFormat="1" ht="75.75" customHeight="1">
      <c r="B78" s="30" t="s">
        <v>118</v>
      </c>
      <c r="C78" s="31" t="s">
        <v>7</v>
      </c>
      <c r="D78" s="31" t="s">
        <v>49</v>
      </c>
      <c r="E78" s="32">
        <v>100000</v>
      </c>
      <c r="F78" s="33" t="s">
        <v>53</v>
      </c>
      <c r="G78" s="34" t="s">
        <v>114</v>
      </c>
      <c r="H78" s="36" t="s">
        <v>83</v>
      </c>
    </row>
    <row r="79" spans="2:14" s="18" customFormat="1" ht="121.5" customHeight="1">
      <c r="B79" s="30" t="s">
        <v>120</v>
      </c>
      <c r="C79" s="31">
        <v>33600000</v>
      </c>
      <c r="D79" s="31" t="s">
        <v>29</v>
      </c>
      <c r="E79" s="32">
        <f>5721975+602964+2000000+200000-20000</f>
        <v>8504939</v>
      </c>
      <c r="F79" s="33" t="s">
        <v>56</v>
      </c>
      <c r="G79" s="34" t="s">
        <v>114</v>
      </c>
      <c r="H79" s="35"/>
      <c r="I79" s="21"/>
      <c r="J79" s="29"/>
      <c r="K79" s="29"/>
      <c r="L79" s="29"/>
      <c r="M79" s="29"/>
      <c r="N79" s="29"/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v>5546250</v>
      </c>
      <c r="F80" s="33" t="s">
        <v>56</v>
      </c>
      <c r="G80" s="34" t="s">
        <v>114</v>
      </c>
      <c r="H80" s="35" t="s">
        <v>148</v>
      </c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 t="s">
        <v>175</v>
      </c>
      <c r="D81" s="31" t="s">
        <v>68</v>
      </c>
      <c r="E81" s="32">
        <v>20000</v>
      </c>
      <c r="F81" s="33" t="s">
        <v>56</v>
      </c>
      <c r="G81" s="34" t="s">
        <v>176</v>
      </c>
      <c r="H81" s="36"/>
      <c r="I81" s="21"/>
      <c r="J81" s="29"/>
      <c r="K81" s="29"/>
      <c r="L81" s="29"/>
      <c r="M81" s="29"/>
      <c r="N81" s="29"/>
    </row>
    <row r="82" spans="2:14" s="18" customFormat="1" ht="87.75" customHeight="1">
      <c r="B82" s="30" t="s">
        <v>120</v>
      </c>
      <c r="C82" s="31" t="s">
        <v>30</v>
      </c>
      <c r="D82" s="31" t="s">
        <v>29</v>
      </c>
      <c r="E82" s="32">
        <f>6000000+2328811-30000</f>
        <v>8298811</v>
      </c>
      <c r="F82" s="33" t="s">
        <v>53</v>
      </c>
      <c r="G82" s="34" t="s">
        <v>114</v>
      </c>
      <c r="H82" s="36" t="s">
        <v>84</v>
      </c>
      <c r="J82" s="21"/>
      <c r="K82" s="21"/>
      <c r="N82" s="21"/>
    </row>
    <row r="83" spans="2:14" s="1" customFormat="1" ht="60" customHeight="1">
      <c r="B83" s="84" t="s">
        <v>125</v>
      </c>
      <c r="C83" s="85"/>
      <c r="D83" s="85"/>
      <c r="E83" s="16">
        <f>SUM(E84:E88)</f>
        <v>1700000</v>
      </c>
      <c r="F83" s="13"/>
      <c r="G83" s="14"/>
      <c r="H83" s="10"/>
      <c r="I83" s="26"/>
      <c r="J83" s="27"/>
    </row>
    <row r="84" spans="2:14" s="18" customFormat="1" ht="36.75" customHeight="1">
      <c r="B84" s="30" t="s">
        <v>120</v>
      </c>
      <c r="C84" s="31" t="s">
        <v>7</v>
      </c>
      <c r="D84" s="31" t="s">
        <v>28</v>
      </c>
      <c r="E84" s="32">
        <v>50000</v>
      </c>
      <c r="F84" s="33" t="s">
        <v>56</v>
      </c>
      <c r="G84" s="34" t="s">
        <v>114</v>
      </c>
      <c r="H84" s="35"/>
    </row>
    <row r="85" spans="2:14" s="18" customFormat="1" ht="30.75" customHeight="1">
      <c r="B85" s="30" t="s">
        <v>120</v>
      </c>
      <c r="C85" s="31" t="s">
        <v>30</v>
      </c>
      <c r="D85" s="31" t="s">
        <v>29</v>
      </c>
      <c r="E85" s="32">
        <f>200000-92300-30220</f>
        <v>77480</v>
      </c>
      <c r="F85" s="33" t="s">
        <v>56</v>
      </c>
      <c r="G85" s="34" t="s">
        <v>114</v>
      </c>
      <c r="H85" s="35"/>
    </row>
    <row r="86" spans="2:14" s="18" customFormat="1" ht="45" customHeight="1">
      <c r="B86" s="30" t="s">
        <v>120</v>
      </c>
      <c r="C86" s="31" t="s">
        <v>75</v>
      </c>
      <c r="D86" s="31" t="s">
        <v>76</v>
      </c>
      <c r="E86" s="32">
        <f>620000+92300</f>
        <v>712300</v>
      </c>
      <c r="F86" s="33" t="s">
        <v>56</v>
      </c>
      <c r="G86" s="34" t="s">
        <v>114</v>
      </c>
      <c r="H86" s="36"/>
    </row>
    <row r="87" spans="2:14" s="18" customFormat="1" ht="78" customHeight="1">
      <c r="B87" s="30" t="s">
        <v>120</v>
      </c>
      <c r="C87" s="31" t="s">
        <v>24</v>
      </c>
      <c r="D87" s="31" t="s">
        <v>63</v>
      </c>
      <c r="E87" s="32">
        <v>52208</v>
      </c>
      <c r="F87" s="33" t="s">
        <v>53</v>
      </c>
      <c r="G87" s="34" t="s">
        <v>149</v>
      </c>
      <c r="H87" s="36" t="s">
        <v>150</v>
      </c>
      <c r="J87" s="21"/>
    </row>
    <row r="88" spans="2:14" s="18" customFormat="1" ht="87.75" customHeight="1">
      <c r="B88" s="30" t="s">
        <v>120</v>
      </c>
      <c r="C88" s="31" t="s">
        <v>24</v>
      </c>
      <c r="D88" s="31" t="s">
        <v>63</v>
      </c>
      <c r="E88" s="32">
        <f>577500+171079.6+10376.4+3456+45600</f>
        <v>808012</v>
      </c>
      <c r="F88" s="33" t="s">
        <v>53</v>
      </c>
      <c r="G88" s="34" t="s">
        <v>151</v>
      </c>
      <c r="H88" s="36" t="s">
        <v>84</v>
      </c>
      <c r="J88" s="21"/>
    </row>
    <row r="89" spans="2:14" s="1" customFormat="1" ht="65.25" customHeight="1">
      <c r="B89" s="84" t="s">
        <v>126</v>
      </c>
      <c r="C89" s="85"/>
      <c r="D89" s="85"/>
      <c r="E89" s="16">
        <f>SUM(E90:E92)</f>
        <v>2864778</v>
      </c>
      <c r="F89" s="13"/>
      <c r="G89" s="14"/>
      <c r="H89" s="10"/>
      <c r="I89" s="26"/>
      <c r="J89" s="27"/>
    </row>
    <row r="90" spans="2:14" s="18" customFormat="1" ht="33.75">
      <c r="B90" s="30" t="s">
        <v>120</v>
      </c>
      <c r="C90" s="37" t="s">
        <v>25</v>
      </c>
      <c r="D90" s="37" t="s">
        <v>61</v>
      </c>
      <c r="E90" s="32">
        <v>200000</v>
      </c>
      <c r="F90" s="38" t="s">
        <v>56</v>
      </c>
      <c r="G90" s="34" t="s">
        <v>114</v>
      </c>
      <c r="H90" s="39"/>
    </row>
    <row r="91" spans="2:14" s="18" customFormat="1" ht="87.75" customHeight="1">
      <c r="B91" s="30" t="s">
        <v>120</v>
      </c>
      <c r="C91" s="31">
        <v>85100000</v>
      </c>
      <c r="D91" s="31" t="s">
        <v>63</v>
      </c>
      <c r="E91" s="32">
        <v>203458</v>
      </c>
      <c r="F91" s="33" t="s">
        <v>53</v>
      </c>
      <c r="G91" s="34" t="s">
        <v>152</v>
      </c>
      <c r="H91" s="40" t="s">
        <v>154</v>
      </c>
    </row>
    <row r="92" spans="2:14" s="18" customFormat="1" ht="69.75" customHeight="1">
      <c r="B92" s="30" t="s">
        <v>120</v>
      </c>
      <c r="C92" s="31">
        <v>85100000</v>
      </c>
      <c r="D92" s="31" t="s">
        <v>63</v>
      </c>
      <c r="E92" s="32">
        <v>2461320</v>
      </c>
      <c r="F92" s="33" t="s">
        <v>53</v>
      </c>
      <c r="G92" s="34" t="s">
        <v>153</v>
      </c>
      <c r="H92" s="36" t="s">
        <v>84</v>
      </c>
    </row>
    <row r="93" spans="2:14" s="1" customFormat="1" ht="61.5" customHeight="1">
      <c r="B93" s="84" t="s">
        <v>127</v>
      </c>
      <c r="C93" s="85"/>
      <c r="D93" s="85"/>
      <c r="E93" s="16">
        <f>SUM(E94:E95)</f>
        <v>184167</v>
      </c>
      <c r="F93" s="13"/>
      <c r="G93" s="14"/>
      <c r="H93" s="10"/>
      <c r="I93" s="26"/>
      <c r="J93" s="27"/>
    </row>
    <row r="94" spans="2:14" s="18" customFormat="1" ht="75" customHeight="1">
      <c r="B94" s="30" t="s">
        <v>120</v>
      </c>
      <c r="C94" s="31" t="s">
        <v>24</v>
      </c>
      <c r="D94" s="31" t="s">
        <v>63</v>
      </c>
      <c r="E94" s="32">
        <v>170000</v>
      </c>
      <c r="F94" s="33" t="s">
        <v>53</v>
      </c>
      <c r="G94" s="34" t="s">
        <v>153</v>
      </c>
      <c r="H94" s="36" t="s">
        <v>84</v>
      </c>
    </row>
    <row r="95" spans="2:14" s="18" customFormat="1" ht="91.5" customHeight="1">
      <c r="B95" s="30" t="s">
        <v>120</v>
      </c>
      <c r="C95" s="31" t="s">
        <v>24</v>
      </c>
      <c r="D95" s="31" t="s">
        <v>63</v>
      </c>
      <c r="E95" s="32">
        <v>14167</v>
      </c>
      <c r="F95" s="33" t="s">
        <v>53</v>
      </c>
      <c r="G95" s="34" t="s">
        <v>152</v>
      </c>
      <c r="H95" s="40" t="s">
        <v>154</v>
      </c>
    </row>
    <row r="96" spans="2:14" s="1" customFormat="1" ht="65.25" customHeight="1">
      <c r="B96" s="95" t="s">
        <v>128</v>
      </c>
      <c r="C96" s="96"/>
      <c r="D96" s="96"/>
      <c r="E96" s="16">
        <f>SUM(E97:E101)</f>
        <v>1655642</v>
      </c>
      <c r="F96" s="13"/>
      <c r="G96" s="14"/>
      <c r="H96" s="25"/>
      <c r="I96" s="26"/>
      <c r="J96" s="27"/>
    </row>
    <row r="97" spans="2:10" s="18" customFormat="1" ht="49.5" customHeight="1">
      <c r="B97" s="30" t="s">
        <v>120</v>
      </c>
      <c r="C97" s="31" t="s">
        <v>14</v>
      </c>
      <c r="D97" s="31" t="s">
        <v>15</v>
      </c>
      <c r="E97" s="32">
        <v>25000</v>
      </c>
      <c r="F97" s="33" t="s">
        <v>52</v>
      </c>
      <c r="G97" s="34" t="s">
        <v>114</v>
      </c>
      <c r="H97" s="35"/>
    </row>
    <row r="98" spans="2:10" s="18" customFormat="1" ht="33.75">
      <c r="B98" s="30" t="s">
        <v>120</v>
      </c>
      <c r="C98" s="41">
        <v>33100000</v>
      </c>
      <c r="D98" s="41" t="s">
        <v>28</v>
      </c>
      <c r="E98" s="32">
        <v>410000</v>
      </c>
      <c r="F98" s="42" t="s">
        <v>56</v>
      </c>
      <c r="G98" s="34" t="s">
        <v>114</v>
      </c>
      <c r="H98" s="43"/>
    </row>
    <row r="99" spans="2:10" s="18" customFormat="1" ht="60.75" customHeight="1">
      <c r="B99" s="30" t="s">
        <v>120</v>
      </c>
      <c r="C99" s="31" t="s">
        <v>51</v>
      </c>
      <c r="D99" s="31" t="s">
        <v>36</v>
      </c>
      <c r="E99" s="32">
        <v>15000</v>
      </c>
      <c r="F99" s="33" t="s">
        <v>56</v>
      </c>
      <c r="G99" s="34" t="s">
        <v>114</v>
      </c>
      <c r="H99" s="35"/>
    </row>
    <row r="100" spans="2:10" s="18" customFormat="1" ht="65.25" customHeight="1">
      <c r="B100" s="30" t="s">
        <v>120</v>
      </c>
      <c r="C100" s="31">
        <v>85100000</v>
      </c>
      <c r="D100" s="31" t="s">
        <v>63</v>
      </c>
      <c r="E100" s="32">
        <f>1081996+37800</f>
        <v>1119796</v>
      </c>
      <c r="F100" s="33" t="s">
        <v>53</v>
      </c>
      <c r="G100" s="34" t="s">
        <v>153</v>
      </c>
      <c r="H100" s="36" t="s">
        <v>84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v>85846</v>
      </c>
      <c r="F101" s="33" t="s">
        <v>53</v>
      </c>
      <c r="G101" s="34" t="s">
        <v>152</v>
      </c>
      <c r="H101" s="40" t="s">
        <v>154</v>
      </c>
    </row>
    <row r="102" spans="2:10" s="1" customFormat="1" ht="80.25" customHeight="1">
      <c r="B102" s="84" t="s">
        <v>129</v>
      </c>
      <c r="C102" s="85"/>
      <c r="D102" s="85"/>
      <c r="E102" s="16">
        <f>SUM(E103:E103)</f>
        <v>1890000</v>
      </c>
      <c r="F102" s="13"/>
      <c r="G102" s="14"/>
      <c r="H102" s="10"/>
      <c r="I102" s="26"/>
      <c r="J102" s="27"/>
    </row>
    <row r="103" spans="2:10" s="18" customFormat="1" ht="84.75" customHeight="1">
      <c r="B103" s="30" t="s">
        <v>120</v>
      </c>
      <c r="C103" s="31" t="s">
        <v>30</v>
      </c>
      <c r="D103" s="31" t="s">
        <v>29</v>
      </c>
      <c r="E103" s="32">
        <v>1890000</v>
      </c>
      <c r="F103" s="33" t="s">
        <v>53</v>
      </c>
      <c r="G103" s="34" t="s">
        <v>114</v>
      </c>
      <c r="H103" s="36" t="s">
        <v>84</v>
      </c>
    </row>
    <row r="104" spans="2:10" s="1" customFormat="1" ht="57.75" customHeight="1">
      <c r="B104" s="93" t="s">
        <v>130</v>
      </c>
      <c r="C104" s="94"/>
      <c r="D104" s="94"/>
      <c r="E104" s="22">
        <f>SUM(E105:E108)</f>
        <v>3317000</v>
      </c>
      <c r="F104" s="23"/>
      <c r="G104" s="23"/>
      <c r="H104" s="24"/>
      <c r="I104" s="26"/>
      <c r="J104" s="27"/>
    </row>
    <row r="105" spans="2:10" s="18" customFormat="1" ht="29.25" customHeight="1">
      <c r="B105" s="30" t="s">
        <v>120</v>
      </c>
      <c r="C105" s="45">
        <v>33100000</v>
      </c>
      <c r="D105" s="31" t="s">
        <v>8</v>
      </c>
      <c r="E105" s="32">
        <v>100000</v>
      </c>
      <c r="F105" s="33" t="s">
        <v>56</v>
      </c>
      <c r="G105" s="34" t="s">
        <v>114</v>
      </c>
      <c r="H105" s="34"/>
    </row>
    <row r="106" spans="2:10" s="18" customFormat="1" ht="33.75">
      <c r="B106" s="30" t="s">
        <v>120</v>
      </c>
      <c r="C106" s="45" t="s">
        <v>30</v>
      </c>
      <c r="D106" s="31" t="s">
        <v>9</v>
      </c>
      <c r="E106" s="32">
        <f>2500000-340000-630198.8</f>
        <v>1529801.2</v>
      </c>
      <c r="F106" s="33" t="s">
        <v>56</v>
      </c>
      <c r="G106" s="34" t="s">
        <v>114</v>
      </c>
      <c r="H106" s="34"/>
      <c r="I106" s="21">
        <f>E104-3317000</f>
        <v>0</v>
      </c>
    </row>
    <row r="107" spans="2:10" s="18" customFormat="1" ht="90.75" customHeight="1">
      <c r="B107" s="30" t="s">
        <v>120</v>
      </c>
      <c r="C107" s="31" t="s">
        <v>24</v>
      </c>
      <c r="D107" s="31" t="s">
        <v>63</v>
      </c>
      <c r="E107" s="32">
        <v>111542</v>
      </c>
      <c r="F107" s="33" t="s">
        <v>77</v>
      </c>
      <c r="G107" s="34" t="s">
        <v>153</v>
      </c>
      <c r="H107" s="40" t="s">
        <v>154</v>
      </c>
      <c r="I107" s="21"/>
    </row>
    <row r="108" spans="2:10" s="18" customFormat="1" ht="75.75" customHeight="1">
      <c r="B108" s="30" t="s">
        <v>120</v>
      </c>
      <c r="C108" s="31" t="s">
        <v>24</v>
      </c>
      <c r="D108" s="31" t="s">
        <v>63</v>
      </c>
      <c r="E108" s="32">
        <f>840656.8+735000</f>
        <v>1575656.8</v>
      </c>
      <c r="F108" s="33" t="s">
        <v>77</v>
      </c>
      <c r="G108" s="34" t="s">
        <v>114</v>
      </c>
      <c r="H108" s="36" t="s">
        <v>84</v>
      </c>
      <c r="I108" s="21"/>
    </row>
    <row r="109" spans="2:10" ht="133.5" customHeight="1">
      <c r="B109" s="84" t="s">
        <v>131</v>
      </c>
      <c r="C109" s="85"/>
      <c r="D109" s="85"/>
      <c r="E109" s="16">
        <f>SUM(E110)</f>
        <v>2420000</v>
      </c>
      <c r="F109" s="13"/>
      <c r="G109" s="14"/>
      <c r="H109" s="10"/>
      <c r="I109" s="26"/>
      <c r="J109" s="28"/>
    </row>
    <row r="110" spans="2:10" s="18" customFormat="1" ht="117.75" customHeight="1">
      <c r="B110" s="30" t="s">
        <v>120</v>
      </c>
      <c r="C110" s="31" t="s">
        <v>30</v>
      </c>
      <c r="D110" s="31" t="s">
        <v>29</v>
      </c>
      <c r="E110" s="32">
        <v>2420000</v>
      </c>
      <c r="F110" s="33" t="s">
        <v>77</v>
      </c>
      <c r="G110" s="34" t="s">
        <v>114</v>
      </c>
      <c r="H110" s="36" t="s">
        <v>84</v>
      </c>
    </row>
    <row r="111" spans="2:10" s="1" customFormat="1" ht="57" customHeight="1">
      <c r="B111" s="95" t="s">
        <v>132</v>
      </c>
      <c r="C111" s="96"/>
      <c r="D111" s="96"/>
      <c r="E111" s="16">
        <f>SUM(E112:E116)</f>
        <v>430000</v>
      </c>
      <c r="F111" s="13"/>
      <c r="G111" s="25"/>
      <c r="H111" s="25"/>
      <c r="I111" s="26"/>
      <c r="J111" s="27"/>
    </row>
    <row r="112" spans="2:10" s="18" customFormat="1" ht="59.25" customHeight="1">
      <c r="B112" s="30" t="s">
        <v>133</v>
      </c>
      <c r="C112" s="31">
        <v>33100000</v>
      </c>
      <c r="D112" s="31" t="s">
        <v>28</v>
      </c>
      <c r="E112" s="32">
        <v>10000</v>
      </c>
      <c r="F112" s="33" t="s">
        <v>56</v>
      </c>
      <c r="G112" s="34" t="s">
        <v>114</v>
      </c>
      <c r="H112" s="35"/>
    </row>
    <row r="113" spans="2:10" s="18" customFormat="1" ht="33.75">
      <c r="B113" s="30" t="s">
        <v>133</v>
      </c>
      <c r="C113" s="37">
        <v>33600000</v>
      </c>
      <c r="D113" s="37" t="s">
        <v>29</v>
      </c>
      <c r="E113" s="32">
        <v>320000</v>
      </c>
      <c r="F113" s="38" t="s">
        <v>56</v>
      </c>
      <c r="G113" s="34" t="s">
        <v>114</v>
      </c>
      <c r="H113" s="39"/>
    </row>
    <row r="114" spans="2:10" s="18" customFormat="1" ht="69" customHeight="1">
      <c r="B114" s="30" t="s">
        <v>120</v>
      </c>
      <c r="C114" s="45" t="s">
        <v>24</v>
      </c>
      <c r="D114" s="31" t="s">
        <v>63</v>
      </c>
      <c r="E114" s="32">
        <f>16450</f>
        <v>16450</v>
      </c>
      <c r="F114" s="33" t="s">
        <v>53</v>
      </c>
      <c r="G114" s="34" t="s">
        <v>114</v>
      </c>
      <c r="H114" s="36" t="s">
        <v>84</v>
      </c>
    </row>
    <row r="115" spans="2:10" s="18" customFormat="1" ht="51" customHeight="1">
      <c r="B115" s="30" t="s">
        <v>120</v>
      </c>
      <c r="C115" s="45" t="s">
        <v>24</v>
      </c>
      <c r="D115" s="31" t="s">
        <v>63</v>
      </c>
      <c r="E115" s="32">
        <f>100000-E114-E116</f>
        <v>75325</v>
      </c>
      <c r="F115" s="33" t="s">
        <v>56</v>
      </c>
      <c r="G115" s="34" t="s">
        <v>114</v>
      </c>
      <c r="H115" s="40"/>
    </row>
    <row r="116" spans="2:10" s="18" customFormat="1" ht="103.5" customHeight="1">
      <c r="B116" s="30" t="s">
        <v>120</v>
      </c>
      <c r="C116" s="45" t="s">
        <v>155</v>
      </c>
      <c r="D116" s="31" t="s">
        <v>63</v>
      </c>
      <c r="E116" s="82">
        <v>8225</v>
      </c>
      <c r="F116" s="33" t="s">
        <v>53</v>
      </c>
      <c r="G116" s="34" t="s">
        <v>153</v>
      </c>
      <c r="H116" s="40" t="s">
        <v>146</v>
      </c>
    </row>
    <row r="117" spans="2:10" ht="59.25" customHeight="1">
      <c r="B117" s="84" t="s">
        <v>134</v>
      </c>
      <c r="C117" s="85"/>
      <c r="D117" s="85"/>
      <c r="E117" s="16">
        <f>SUM(E118:E121)</f>
        <v>1240000</v>
      </c>
      <c r="F117" s="13"/>
      <c r="G117" s="14"/>
      <c r="H117" s="10"/>
      <c r="I117" s="26"/>
      <c r="J117" s="28"/>
    </row>
    <row r="118" spans="2:10" s="18" customFormat="1" ht="42.75" customHeight="1">
      <c r="B118" s="46" t="s">
        <v>120</v>
      </c>
      <c r="C118" s="31" t="s">
        <v>25</v>
      </c>
      <c r="D118" s="31" t="s">
        <v>61</v>
      </c>
      <c r="E118" s="32">
        <f>1500000-170000-260000-90000-86410</f>
        <v>893590</v>
      </c>
      <c r="F118" s="33" t="s">
        <v>56</v>
      </c>
      <c r="G118" s="34" t="s">
        <v>114</v>
      </c>
      <c r="H118" s="47"/>
      <c r="I118" s="21"/>
    </row>
    <row r="119" spans="2:10" s="18" customFormat="1" ht="42.75" customHeight="1">
      <c r="B119" s="46" t="s">
        <v>137</v>
      </c>
      <c r="C119" s="31" t="s">
        <v>135</v>
      </c>
      <c r="D119" s="31" t="s">
        <v>136</v>
      </c>
      <c r="E119" s="32">
        <v>170000</v>
      </c>
      <c r="F119" s="33" t="s">
        <v>56</v>
      </c>
      <c r="G119" s="34" t="s">
        <v>114</v>
      </c>
      <c r="H119" s="47"/>
    </row>
    <row r="120" spans="2:10" s="18" customFormat="1" ht="82.5" customHeight="1">
      <c r="B120" s="30" t="s">
        <v>120</v>
      </c>
      <c r="C120" s="31" t="s">
        <v>156</v>
      </c>
      <c r="D120" s="31" t="s">
        <v>157</v>
      </c>
      <c r="E120" s="32">
        <v>90000</v>
      </c>
      <c r="F120" s="33" t="s">
        <v>53</v>
      </c>
      <c r="G120" s="34" t="s">
        <v>153</v>
      </c>
      <c r="H120" s="36" t="s">
        <v>84</v>
      </c>
    </row>
    <row r="121" spans="2:10" s="19" customFormat="1" ht="81.75" customHeight="1">
      <c r="B121" s="78" t="s">
        <v>120</v>
      </c>
      <c r="C121" s="41" t="s">
        <v>25</v>
      </c>
      <c r="D121" s="41" t="s">
        <v>61</v>
      </c>
      <c r="E121" s="79">
        <v>86410</v>
      </c>
      <c r="F121" s="42" t="s">
        <v>53</v>
      </c>
      <c r="G121" s="80" t="s">
        <v>151</v>
      </c>
      <c r="H121" s="81" t="s">
        <v>84</v>
      </c>
    </row>
    <row r="122" spans="2:10" ht="70.5" customHeight="1">
      <c r="B122" s="84" t="s">
        <v>138</v>
      </c>
      <c r="C122" s="85"/>
      <c r="D122" s="85"/>
      <c r="E122" s="16">
        <f>SUM(E123:E126)</f>
        <v>835000</v>
      </c>
      <c r="F122" s="13"/>
      <c r="G122" s="14"/>
      <c r="H122" s="10"/>
      <c r="I122" s="26"/>
      <c r="J122" s="28"/>
    </row>
    <row r="123" spans="2:10" s="18" customFormat="1" ht="33.75">
      <c r="B123" s="46" t="s">
        <v>120</v>
      </c>
      <c r="C123" s="31" t="s">
        <v>30</v>
      </c>
      <c r="D123" s="31" t="s">
        <v>29</v>
      </c>
      <c r="E123" s="32">
        <f>300000+300000</f>
        <v>600000</v>
      </c>
      <c r="F123" s="31" t="s">
        <v>56</v>
      </c>
      <c r="G123" s="34" t="s">
        <v>114</v>
      </c>
      <c r="H123" s="31"/>
    </row>
    <row r="124" spans="2:10" s="18" customFormat="1" ht="33.75">
      <c r="B124" s="46" t="s">
        <v>120</v>
      </c>
      <c r="C124" s="31" t="s">
        <v>7</v>
      </c>
      <c r="D124" s="31" t="s">
        <v>28</v>
      </c>
      <c r="E124" s="32">
        <f>150000</f>
        <v>150000</v>
      </c>
      <c r="F124" s="31" t="s">
        <v>56</v>
      </c>
      <c r="G124" s="34" t="s">
        <v>114</v>
      </c>
      <c r="H124" s="31"/>
    </row>
    <row r="125" spans="2:10" s="18" customFormat="1" ht="25.5">
      <c r="B125" s="46" t="s">
        <v>120</v>
      </c>
      <c r="C125" s="31" t="s">
        <v>7</v>
      </c>
      <c r="D125" s="31" t="s">
        <v>28</v>
      </c>
      <c r="E125" s="32">
        <v>45000</v>
      </c>
      <c r="F125" s="31" t="s">
        <v>144</v>
      </c>
      <c r="G125" s="34" t="s">
        <v>160</v>
      </c>
      <c r="H125" s="31"/>
    </row>
    <row r="126" spans="2:10" ht="33.75">
      <c r="B126" s="46" t="s">
        <v>120</v>
      </c>
      <c r="C126" s="31" t="s">
        <v>14</v>
      </c>
      <c r="D126" s="31" t="s">
        <v>32</v>
      </c>
      <c r="E126" s="32">
        <v>40000</v>
      </c>
      <c r="F126" s="31" t="s">
        <v>52</v>
      </c>
      <c r="G126" s="34" t="s">
        <v>163</v>
      </c>
      <c r="H126" s="31"/>
    </row>
  </sheetData>
  <autoFilter ref="A8:H126"/>
  <mergeCells count="20">
    <mergeCell ref="B89:D89"/>
    <mergeCell ref="B2:H2"/>
    <mergeCell ref="B3:H3"/>
    <mergeCell ref="B4:E4"/>
    <mergeCell ref="F4:H4"/>
    <mergeCell ref="B5:E5"/>
    <mergeCell ref="F5:H5"/>
    <mergeCell ref="B6:F6"/>
    <mergeCell ref="B9:D9"/>
    <mergeCell ref="B72:D72"/>
    <mergeCell ref="B76:D76"/>
    <mergeCell ref="B83:D83"/>
    <mergeCell ref="B117:D117"/>
    <mergeCell ref="B122:D122"/>
    <mergeCell ref="B93:D93"/>
    <mergeCell ref="B96:D96"/>
    <mergeCell ref="B102:D102"/>
    <mergeCell ref="B104:D104"/>
    <mergeCell ref="B109:D109"/>
    <mergeCell ref="B111:D11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46" zoomScale="96" zoomScaleNormal="96" zoomScaleSheetLayoutView="80" workbookViewId="0">
      <selection activeCell="F71" sqref="F71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14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14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14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14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</f>
        <v>50000</v>
      </c>
      <c r="F22" s="33" t="s">
        <v>56</v>
      </c>
      <c r="G22" s="34" t="s">
        <v>114</v>
      </c>
      <c r="H22" s="31"/>
    </row>
    <row r="23" spans="2:14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14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14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14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14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14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N28" s="18" t="s">
        <v>143</v>
      </c>
    </row>
    <row r="29" spans="2:14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14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14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14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30" t="s">
        <v>120</v>
      </c>
      <c r="C38" s="31" t="s">
        <v>90</v>
      </c>
      <c r="D38" s="31" t="s">
        <v>91</v>
      </c>
      <c r="E38" s="32">
        <v>210000</v>
      </c>
      <c r="F38" s="33" t="s">
        <v>56</v>
      </c>
      <c r="G38" s="34" t="s">
        <v>114</v>
      </c>
      <c r="H38" s="37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53" t="s">
        <v>119</v>
      </c>
      <c r="C51" s="59" t="s">
        <v>99</v>
      </c>
      <c r="D51" s="55" t="s">
        <v>98</v>
      </c>
      <c r="E51" s="56">
        <f>30000-6688+5000+5000</f>
        <v>33312</v>
      </c>
      <c r="F51" s="57" t="s">
        <v>144</v>
      </c>
      <c r="G51" s="58" t="s">
        <v>114</v>
      </c>
      <c r="H51" s="58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v>15000</v>
      </c>
      <c r="F72" s="33" t="s">
        <v>53</v>
      </c>
      <c r="G72" s="34" t="s">
        <v>114</v>
      </c>
      <c r="H72" s="34" t="s">
        <v>66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opLeftCell="B64" zoomScale="96" zoomScaleNormal="96" zoomScaleSheetLayoutView="80" workbookViewId="0">
      <selection activeCell="L67" sqref="L6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</row>
    <row r="17" spans="2:8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</row>
    <row r="18" spans="2:8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</row>
    <row r="19" spans="2:8" s="18" customFormat="1" ht="49.5" customHeight="1">
      <c r="B19" s="30" t="s">
        <v>120</v>
      </c>
      <c r="C19" s="31" t="s">
        <v>109</v>
      </c>
      <c r="D19" s="31" t="s">
        <v>115</v>
      </c>
      <c r="E19" s="32">
        <f>120000-9600-12700</f>
        <v>97700</v>
      </c>
      <c r="F19" s="33" t="s">
        <v>56</v>
      </c>
      <c r="G19" s="34" t="s">
        <v>114</v>
      </c>
      <c r="H19" s="31"/>
    </row>
    <row r="20" spans="2:8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</row>
    <row r="21" spans="2:8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</row>
    <row r="22" spans="2:8" s="18" customFormat="1" ht="49.5" customHeight="1">
      <c r="B22" s="53" t="s">
        <v>120</v>
      </c>
      <c r="C22" s="55" t="s">
        <v>110</v>
      </c>
      <c r="D22" s="55" t="s">
        <v>116</v>
      </c>
      <c r="E22" s="56">
        <f>250000-150000-50000-12500</f>
        <v>37500</v>
      </c>
      <c r="F22" s="57" t="s">
        <v>56</v>
      </c>
      <c r="G22" s="58" t="s">
        <v>114</v>
      </c>
      <c r="H22" s="55"/>
    </row>
    <row r="23" spans="2:8" s="18" customFormat="1" ht="38.25" customHeight="1">
      <c r="B23" s="30" t="s">
        <v>120</v>
      </c>
      <c r="C23" s="48">
        <v>31400000</v>
      </c>
      <c r="D23" s="31" t="s">
        <v>11</v>
      </c>
      <c r="E23" s="32">
        <v>3000</v>
      </c>
      <c r="F23" s="33" t="s">
        <v>53</v>
      </c>
      <c r="G23" s="34" t="s">
        <v>114</v>
      </c>
      <c r="H23" s="49"/>
    </row>
    <row r="24" spans="2:8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</row>
    <row r="25" spans="2:8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</row>
    <row r="26" spans="2:8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</row>
    <row r="27" spans="2:8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</row>
    <row r="28" spans="2:8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</row>
    <row r="29" spans="2:8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</row>
    <row r="30" spans="2:8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</row>
    <row r="31" spans="2:8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</row>
    <row r="32" spans="2:8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</row>
    <row r="33" spans="2:8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</row>
    <row r="34" spans="2:8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</row>
    <row r="35" spans="2:8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</row>
    <row r="36" spans="2:8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</row>
    <row r="37" spans="2:8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</row>
    <row r="38" spans="2:8" s="18" customFormat="1" ht="92.25" customHeight="1">
      <c r="B38" s="53" t="s">
        <v>120</v>
      </c>
      <c r="C38" s="55" t="s">
        <v>90</v>
      </c>
      <c r="D38" s="55" t="s">
        <v>91</v>
      </c>
      <c r="E38" s="56">
        <f>22500+210000</f>
        <v>232500</v>
      </c>
      <c r="F38" s="57" t="s">
        <v>56</v>
      </c>
      <c r="G38" s="58" t="s">
        <v>114</v>
      </c>
      <c r="H38" s="68"/>
    </row>
    <row r="39" spans="2:8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</row>
    <row r="40" spans="2:8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</row>
    <row r="42" spans="2:8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</row>
    <row r="43" spans="2:8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</row>
    <row r="44" spans="2:8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</row>
    <row r="45" spans="2:8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</row>
    <row r="46" spans="2:8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</row>
    <row r="47" spans="2:8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</row>
    <row r="48" spans="2:8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J55" s="20"/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</row>
    <row r="72" spans="2:14" s="18" customFormat="1" ht="54.75" customHeight="1">
      <c r="B72" s="53" t="s">
        <v>120</v>
      </c>
      <c r="C72" s="55" t="s">
        <v>100</v>
      </c>
      <c r="D72" s="55" t="s">
        <v>101</v>
      </c>
      <c r="E72" s="56">
        <f>15000-10000</f>
        <v>5000</v>
      </c>
      <c r="F72" s="57" t="s">
        <v>53</v>
      </c>
      <c r="G72" s="58" t="s">
        <v>114</v>
      </c>
      <c r="H72" s="58" t="s">
        <v>66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26"/>
      <c r="J73" s="27"/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26"/>
      <c r="J77" s="27"/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/>
      <c r="J80" s="29"/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/>
      <c r="J81" s="29"/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/>
      <c r="J82" s="29"/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J83" s="21"/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26"/>
      <c r="J84" s="27"/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J88" s="21"/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J89" s="21"/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26"/>
      <c r="J90" s="27"/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26"/>
      <c r="J94" s="27"/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26"/>
      <c r="J97" s="27"/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26"/>
      <c r="J103" s="27"/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26"/>
      <c r="J105" s="27"/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f>E105-3317000</f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/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/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6"/>
      <c r="J110" s="28"/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26"/>
      <c r="J112" s="27"/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26"/>
      <c r="J118" s="28"/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/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26"/>
      <c r="J123" s="28"/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</row>
  </sheetData>
  <autoFilter ref="A8:H127"/>
  <mergeCells count="20"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  <mergeCell ref="B118:D118"/>
    <mergeCell ref="B123:D123"/>
    <mergeCell ref="B94:D94"/>
    <mergeCell ref="B97:D97"/>
    <mergeCell ref="B103:D103"/>
    <mergeCell ref="B105:D105"/>
    <mergeCell ref="B110:D110"/>
    <mergeCell ref="B112:D112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7"/>
  <sheetViews>
    <sheetView tabSelected="1" topLeftCell="B1" zoomScale="96" zoomScaleNormal="96" zoomScaleSheetLayoutView="80" workbookViewId="0">
      <selection activeCell="J22" sqref="J22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14" ht="18.75">
      <c r="B2" s="86" t="s">
        <v>33</v>
      </c>
      <c r="C2" s="86"/>
      <c r="D2" s="86"/>
      <c r="E2" s="86"/>
      <c r="F2" s="86"/>
      <c r="G2" s="86"/>
      <c r="H2" s="86"/>
    </row>
    <row r="3" spans="2:14" ht="18.75">
      <c r="B3" s="87" t="s">
        <v>4</v>
      </c>
      <c r="C3" s="87"/>
      <c r="D3" s="87"/>
      <c r="E3" s="87"/>
      <c r="F3" s="87"/>
      <c r="G3" s="87"/>
      <c r="H3" s="87"/>
    </row>
    <row r="4" spans="2:14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14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14" ht="24.75" customHeight="1">
      <c r="B6" s="89" t="s">
        <v>22</v>
      </c>
      <c r="C6" s="90"/>
      <c r="D6" s="90"/>
      <c r="E6" s="90"/>
      <c r="F6" s="90"/>
      <c r="G6" s="2" t="e">
        <f>E9+E73+E77+E84+E90+E94+E97+E103+E105+E110+E112+E118+E123+#REF!</f>
        <v>#REF!</v>
      </c>
      <c r="H6" s="3" t="s">
        <v>23</v>
      </c>
    </row>
    <row r="7" spans="2:14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14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14" ht="60.75" customHeight="1">
      <c r="B9" s="91" t="s">
        <v>121</v>
      </c>
      <c r="C9" s="92"/>
      <c r="D9" s="92"/>
      <c r="E9" s="15">
        <f>SUM(E10:E72)</f>
        <v>4503571</v>
      </c>
      <c r="F9" s="11"/>
      <c r="G9" s="9"/>
      <c r="H9" s="10"/>
      <c r="I9">
        <v>4503571</v>
      </c>
      <c r="J9" s="28">
        <f>E9-I9</f>
        <v>0</v>
      </c>
    </row>
    <row r="10" spans="2:14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  <c r="I10" s="18">
        <v>500</v>
      </c>
      <c r="J10" s="28">
        <f t="shared" ref="J10:J73" si="1">E10-I10</f>
        <v>0</v>
      </c>
    </row>
    <row r="11" spans="2:14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  <c r="I11" s="18">
        <v>230000</v>
      </c>
      <c r="J11" s="28">
        <f t="shared" si="1"/>
        <v>0</v>
      </c>
    </row>
    <row r="12" spans="2:14" s="18" customFormat="1" ht="25.5">
      <c r="B12" s="30" t="s">
        <v>120</v>
      </c>
      <c r="C12" s="31" t="s">
        <v>170</v>
      </c>
      <c r="D12" s="31" t="s">
        <v>171</v>
      </c>
      <c r="E12" s="32">
        <v>4000</v>
      </c>
      <c r="F12" s="33" t="s">
        <v>52</v>
      </c>
      <c r="G12" s="34" t="s">
        <v>160</v>
      </c>
      <c r="H12" s="31"/>
      <c r="I12" s="18">
        <v>4000</v>
      </c>
      <c r="J12" s="28">
        <f t="shared" si="1"/>
        <v>0</v>
      </c>
    </row>
    <row r="13" spans="2:14" s="18" customFormat="1" ht="33.75">
      <c r="B13" s="30" t="s">
        <v>120</v>
      </c>
      <c r="C13" s="31" t="s">
        <v>172</v>
      </c>
      <c r="D13" s="31" t="s">
        <v>173</v>
      </c>
      <c r="E13" s="32">
        <v>1300</v>
      </c>
      <c r="F13" s="33" t="s">
        <v>52</v>
      </c>
      <c r="G13" s="34" t="s">
        <v>160</v>
      </c>
      <c r="H13" s="31"/>
      <c r="I13" s="18">
        <v>1300</v>
      </c>
      <c r="J13" s="28">
        <f t="shared" si="1"/>
        <v>0</v>
      </c>
      <c r="N13" s="18" t="s">
        <v>174</v>
      </c>
    </row>
    <row r="14" spans="2:14" s="18" customFormat="1" ht="33.75">
      <c r="B14" s="30" t="s">
        <v>120</v>
      </c>
      <c r="C14" s="31" t="s">
        <v>86</v>
      </c>
      <c r="D14" s="31" t="s">
        <v>87</v>
      </c>
      <c r="E14" s="32">
        <v>500</v>
      </c>
      <c r="F14" s="33" t="s">
        <v>53</v>
      </c>
      <c r="G14" s="34" t="s">
        <v>114</v>
      </c>
      <c r="H14" s="31"/>
      <c r="I14" s="18">
        <v>500</v>
      </c>
      <c r="J14" s="28">
        <f t="shared" si="1"/>
        <v>0</v>
      </c>
    </row>
    <row r="15" spans="2:14" s="19" customFormat="1" ht="33.75">
      <c r="B15" s="30" t="s">
        <v>120</v>
      </c>
      <c r="C15" s="41" t="s">
        <v>42</v>
      </c>
      <c r="D15" s="41" t="s">
        <v>44</v>
      </c>
      <c r="E15" s="32">
        <v>1500</v>
      </c>
      <c r="F15" s="42" t="s">
        <v>53</v>
      </c>
      <c r="G15" s="34" t="s">
        <v>114</v>
      </c>
      <c r="H15" s="41"/>
      <c r="I15" s="19">
        <v>1500</v>
      </c>
      <c r="J15" s="28">
        <f t="shared" si="1"/>
        <v>0</v>
      </c>
    </row>
    <row r="16" spans="2:14" s="19" customFormat="1" ht="25.5">
      <c r="B16" s="30" t="s">
        <v>120</v>
      </c>
      <c r="C16" s="41" t="s">
        <v>158</v>
      </c>
      <c r="D16" s="41" t="s">
        <v>159</v>
      </c>
      <c r="E16" s="32">
        <v>2316</v>
      </c>
      <c r="F16" s="42" t="s">
        <v>53</v>
      </c>
      <c r="G16" s="34" t="s">
        <v>160</v>
      </c>
      <c r="H16" s="41"/>
      <c r="I16" s="19">
        <v>2316</v>
      </c>
      <c r="J16" s="28">
        <f t="shared" si="1"/>
        <v>0</v>
      </c>
    </row>
    <row r="17" spans="2:10" s="18" customFormat="1" ht="49.5" customHeight="1">
      <c r="B17" s="30" t="s">
        <v>120</v>
      </c>
      <c r="C17" s="31" t="s">
        <v>31</v>
      </c>
      <c r="D17" s="31" t="s">
        <v>50</v>
      </c>
      <c r="E17" s="32">
        <f>25000+9600</f>
        <v>34600</v>
      </c>
      <c r="F17" s="33" t="s">
        <v>52</v>
      </c>
      <c r="G17" s="34" t="s">
        <v>114</v>
      </c>
      <c r="H17" s="31"/>
      <c r="I17" s="18">
        <v>34600</v>
      </c>
      <c r="J17" s="28">
        <f t="shared" si="1"/>
        <v>0</v>
      </c>
    </row>
    <row r="18" spans="2:10" s="18" customFormat="1" ht="49.5" customHeight="1">
      <c r="B18" s="30" t="s">
        <v>120</v>
      </c>
      <c r="C18" s="31" t="s">
        <v>31</v>
      </c>
      <c r="D18" s="31" t="s">
        <v>50</v>
      </c>
      <c r="E18" s="32">
        <v>80000</v>
      </c>
      <c r="F18" s="33" t="s">
        <v>56</v>
      </c>
      <c r="G18" s="34" t="s">
        <v>114</v>
      </c>
      <c r="H18" s="31"/>
      <c r="I18" s="18">
        <v>80000</v>
      </c>
      <c r="J18" s="28">
        <f t="shared" si="1"/>
        <v>0</v>
      </c>
    </row>
    <row r="19" spans="2:10" s="18" customFormat="1" ht="49.5" customHeight="1">
      <c r="B19" s="53" t="s">
        <v>120</v>
      </c>
      <c r="C19" s="55" t="s">
        <v>109</v>
      </c>
      <c r="D19" s="55" t="s">
        <v>115</v>
      </c>
      <c r="E19" s="56">
        <f>120000-9600-12700-1000</f>
        <v>96700</v>
      </c>
      <c r="F19" s="57" t="s">
        <v>56</v>
      </c>
      <c r="G19" s="58" t="s">
        <v>114</v>
      </c>
      <c r="H19" s="55"/>
      <c r="I19" s="18">
        <v>97700</v>
      </c>
      <c r="J19" s="28">
        <f t="shared" si="1"/>
        <v>-1000</v>
      </c>
    </row>
    <row r="20" spans="2:10" s="18" customFormat="1" ht="49.5" customHeight="1">
      <c r="B20" s="30" t="s">
        <v>118</v>
      </c>
      <c r="C20" s="31" t="s">
        <v>109</v>
      </c>
      <c r="D20" s="31" t="s">
        <v>115</v>
      </c>
      <c r="E20" s="32">
        <f>1954+19350</f>
        <v>21304</v>
      </c>
      <c r="F20" s="33" t="s">
        <v>52</v>
      </c>
      <c r="G20" s="34" t="s">
        <v>151</v>
      </c>
      <c r="H20" s="31"/>
      <c r="I20" s="18">
        <v>21304</v>
      </c>
      <c r="J20" s="28">
        <f t="shared" si="1"/>
        <v>0</v>
      </c>
    </row>
    <row r="21" spans="2:10" s="18" customFormat="1" ht="49.5" customHeight="1">
      <c r="B21" s="30" t="s">
        <v>120</v>
      </c>
      <c r="C21" s="31" t="s">
        <v>7</v>
      </c>
      <c r="D21" s="31" t="s">
        <v>117</v>
      </c>
      <c r="E21" s="32">
        <f>100000-24000-70000-1800</f>
        <v>4200</v>
      </c>
      <c r="F21" s="33" t="s">
        <v>56</v>
      </c>
      <c r="G21" s="34" t="s">
        <v>114</v>
      </c>
      <c r="H21" s="31"/>
      <c r="I21" s="18">
        <v>4200</v>
      </c>
      <c r="J21" s="28">
        <f t="shared" si="1"/>
        <v>0</v>
      </c>
    </row>
    <row r="22" spans="2:10" s="18" customFormat="1" ht="49.5" customHeight="1">
      <c r="B22" s="30" t="s">
        <v>120</v>
      </c>
      <c r="C22" s="31" t="s">
        <v>110</v>
      </c>
      <c r="D22" s="31" t="s">
        <v>116</v>
      </c>
      <c r="E22" s="32">
        <f>250000-150000-50000-12500</f>
        <v>37500</v>
      </c>
      <c r="F22" s="33" t="s">
        <v>56</v>
      </c>
      <c r="G22" s="34" t="s">
        <v>114</v>
      </c>
      <c r="H22" s="31"/>
      <c r="I22" s="18">
        <v>37500</v>
      </c>
      <c r="J22" s="28">
        <f t="shared" si="1"/>
        <v>0</v>
      </c>
    </row>
    <row r="23" spans="2:10" s="18" customFormat="1" ht="38.25" customHeight="1">
      <c r="B23" s="53" t="s">
        <v>120</v>
      </c>
      <c r="C23" s="54">
        <v>31400000</v>
      </c>
      <c r="D23" s="55" t="s">
        <v>11</v>
      </c>
      <c r="E23" s="56">
        <f>3000+1000</f>
        <v>4000</v>
      </c>
      <c r="F23" s="57" t="s">
        <v>52</v>
      </c>
      <c r="G23" s="58" t="s">
        <v>114</v>
      </c>
      <c r="H23" s="60"/>
      <c r="I23" s="18">
        <v>3000</v>
      </c>
      <c r="J23" s="28">
        <f t="shared" si="1"/>
        <v>1000</v>
      </c>
    </row>
    <row r="24" spans="2:10" s="18" customFormat="1" ht="38.25" customHeight="1">
      <c r="B24" s="30" t="s">
        <v>120</v>
      </c>
      <c r="C24" s="48">
        <v>33700000</v>
      </c>
      <c r="D24" s="31" t="s">
        <v>165</v>
      </c>
      <c r="E24" s="32">
        <f>500+3674+820</f>
        <v>4994</v>
      </c>
      <c r="F24" s="33" t="s">
        <v>53</v>
      </c>
      <c r="G24" s="34" t="s">
        <v>151</v>
      </c>
      <c r="H24" s="31"/>
      <c r="I24" s="18">
        <v>4994</v>
      </c>
      <c r="J24" s="28">
        <f t="shared" si="1"/>
        <v>0</v>
      </c>
    </row>
    <row r="25" spans="2:10" s="18" customFormat="1" ht="38.25" customHeight="1">
      <c r="B25" s="30" t="s">
        <v>120</v>
      </c>
      <c r="C25" s="48">
        <v>41100000</v>
      </c>
      <c r="D25" s="31" t="s">
        <v>142</v>
      </c>
      <c r="E25" s="32">
        <v>9900</v>
      </c>
      <c r="F25" s="33" t="s">
        <v>52</v>
      </c>
      <c r="G25" s="34" t="s">
        <v>151</v>
      </c>
      <c r="H25" s="31"/>
      <c r="I25" s="18">
        <v>9900</v>
      </c>
      <c r="J25" s="28">
        <f t="shared" si="1"/>
        <v>0</v>
      </c>
    </row>
    <row r="26" spans="2:10" s="18" customFormat="1" ht="38.25" customHeight="1">
      <c r="B26" s="30" t="s">
        <v>120</v>
      </c>
      <c r="C26" s="31" t="s">
        <v>35</v>
      </c>
      <c r="D26" s="31" t="s">
        <v>34</v>
      </c>
      <c r="E26" s="32">
        <v>20000</v>
      </c>
      <c r="F26" s="33" t="s">
        <v>52</v>
      </c>
      <c r="G26" s="34" t="s">
        <v>114</v>
      </c>
      <c r="H26" s="44"/>
      <c r="I26" s="18">
        <v>20000</v>
      </c>
      <c r="J26" s="28">
        <f t="shared" si="1"/>
        <v>0</v>
      </c>
    </row>
    <row r="27" spans="2:10" s="18" customFormat="1" ht="33.75">
      <c r="B27" s="30" t="s">
        <v>120</v>
      </c>
      <c r="C27" s="31" t="s">
        <v>78</v>
      </c>
      <c r="D27" s="31" t="s">
        <v>79</v>
      </c>
      <c r="E27" s="32">
        <v>3000</v>
      </c>
      <c r="F27" s="33" t="s">
        <v>77</v>
      </c>
      <c r="G27" s="34" t="s">
        <v>114</v>
      </c>
      <c r="H27" s="49"/>
      <c r="I27" s="18">
        <v>3000</v>
      </c>
      <c r="J27" s="28">
        <f t="shared" si="1"/>
        <v>0</v>
      </c>
    </row>
    <row r="28" spans="2:10" s="18" customFormat="1" ht="33.75">
      <c r="B28" s="30" t="s">
        <v>120</v>
      </c>
      <c r="C28" s="31" t="s">
        <v>80</v>
      </c>
      <c r="D28" s="31" t="s">
        <v>81</v>
      </c>
      <c r="E28" s="32">
        <f>3000</f>
        <v>3000</v>
      </c>
      <c r="F28" s="33" t="s">
        <v>77</v>
      </c>
      <c r="G28" s="34" t="s">
        <v>114</v>
      </c>
      <c r="H28" s="49"/>
      <c r="I28" s="18">
        <v>3000</v>
      </c>
      <c r="J28" s="28">
        <f t="shared" si="1"/>
        <v>0</v>
      </c>
    </row>
    <row r="29" spans="2:10" s="18" customFormat="1" ht="33.75">
      <c r="B29" s="30" t="s">
        <v>120</v>
      </c>
      <c r="C29" s="50">
        <v>39800000</v>
      </c>
      <c r="D29" s="50" t="s">
        <v>71</v>
      </c>
      <c r="E29" s="32">
        <v>2000</v>
      </c>
      <c r="F29" s="33" t="s">
        <v>77</v>
      </c>
      <c r="G29" s="34" t="s">
        <v>114</v>
      </c>
      <c r="H29" s="49"/>
      <c r="I29" s="18">
        <v>2000</v>
      </c>
      <c r="J29" s="28">
        <f t="shared" si="1"/>
        <v>0</v>
      </c>
    </row>
    <row r="30" spans="2:10" s="18" customFormat="1" ht="45">
      <c r="B30" s="30" t="s">
        <v>118</v>
      </c>
      <c r="C30" s="50">
        <v>45200000</v>
      </c>
      <c r="D30" s="50" t="s">
        <v>164</v>
      </c>
      <c r="E30" s="32">
        <v>105010</v>
      </c>
      <c r="F30" s="33" t="s">
        <v>56</v>
      </c>
      <c r="G30" s="34" t="s">
        <v>151</v>
      </c>
      <c r="H30" s="49"/>
      <c r="I30" s="18">
        <v>105010</v>
      </c>
      <c r="J30" s="28">
        <f t="shared" si="1"/>
        <v>0</v>
      </c>
    </row>
    <row r="31" spans="2:10" s="18" customFormat="1" ht="51.75" customHeight="1">
      <c r="B31" s="30" t="s">
        <v>120</v>
      </c>
      <c r="C31" s="48">
        <v>45400000</v>
      </c>
      <c r="D31" s="50" t="s">
        <v>88</v>
      </c>
      <c r="E31" s="32">
        <f>300000-91000-105010-50000+12700</f>
        <v>66690</v>
      </c>
      <c r="F31" s="33" t="s">
        <v>56</v>
      </c>
      <c r="G31" s="34" t="s">
        <v>114</v>
      </c>
      <c r="H31" s="49"/>
      <c r="I31" s="18">
        <v>66690</v>
      </c>
      <c r="J31" s="28">
        <f t="shared" si="1"/>
        <v>0</v>
      </c>
    </row>
    <row r="32" spans="2:10" s="18" customFormat="1" ht="37.5" customHeight="1">
      <c r="B32" s="30" t="s">
        <v>118</v>
      </c>
      <c r="C32" s="48">
        <v>48700000</v>
      </c>
      <c r="D32" s="31" t="s">
        <v>89</v>
      </c>
      <c r="E32" s="32">
        <v>36020</v>
      </c>
      <c r="F32" s="33" t="s">
        <v>56</v>
      </c>
      <c r="G32" s="34" t="s">
        <v>114</v>
      </c>
      <c r="H32" s="49"/>
      <c r="I32" s="18">
        <v>36020</v>
      </c>
      <c r="J32" s="28">
        <f t="shared" si="1"/>
        <v>0</v>
      </c>
    </row>
    <row r="33" spans="2:10" s="18" customFormat="1" ht="37.5" customHeight="1">
      <c r="B33" s="30" t="s">
        <v>120</v>
      </c>
      <c r="C33" s="48">
        <v>48700000</v>
      </c>
      <c r="D33" s="31" t="s">
        <v>89</v>
      </c>
      <c r="E33" s="32">
        <v>13510</v>
      </c>
      <c r="F33" s="33" t="s">
        <v>56</v>
      </c>
      <c r="G33" s="34" t="s">
        <v>177</v>
      </c>
      <c r="H33" s="49"/>
      <c r="I33" s="18">
        <v>13510</v>
      </c>
      <c r="J33" s="28">
        <f t="shared" si="1"/>
        <v>0</v>
      </c>
    </row>
    <row r="34" spans="2:10" s="18" customFormat="1" ht="56.25">
      <c r="B34" s="30" t="s">
        <v>120</v>
      </c>
      <c r="C34" s="31">
        <v>50100000</v>
      </c>
      <c r="D34" s="31" t="s">
        <v>36</v>
      </c>
      <c r="E34" s="32">
        <f>20000+15000+10000</f>
        <v>45000</v>
      </c>
      <c r="F34" s="33" t="s">
        <v>53</v>
      </c>
      <c r="G34" s="34" t="s">
        <v>114</v>
      </c>
      <c r="H34" s="51" t="s">
        <v>58</v>
      </c>
      <c r="I34" s="18">
        <v>45000</v>
      </c>
      <c r="J34" s="28">
        <f t="shared" si="1"/>
        <v>0</v>
      </c>
    </row>
    <row r="35" spans="2:10" s="18" customFormat="1" ht="56.25">
      <c r="B35" s="30" t="s">
        <v>120</v>
      </c>
      <c r="C35" s="31">
        <v>50100000</v>
      </c>
      <c r="D35" s="31" t="s">
        <v>36</v>
      </c>
      <c r="E35" s="32">
        <f>2200+420+60</f>
        <v>2680</v>
      </c>
      <c r="F35" s="33" t="s">
        <v>53</v>
      </c>
      <c r="G35" s="34" t="s">
        <v>151</v>
      </c>
      <c r="H35" s="51" t="s">
        <v>72</v>
      </c>
      <c r="I35" s="18">
        <v>2680</v>
      </c>
      <c r="J35" s="28">
        <f t="shared" si="1"/>
        <v>0</v>
      </c>
    </row>
    <row r="36" spans="2:10" s="18" customFormat="1" ht="92.25" customHeight="1">
      <c r="B36" s="30" t="s">
        <v>120</v>
      </c>
      <c r="C36" s="31" t="s">
        <v>51</v>
      </c>
      <c r="D36" s="31" t="s">
        <v>54</v>
      </c>
      <c r="E36" s="32">
        <f>140000-10000</f>
        <v>130000</v>
      </c>
      <c r="F36" s="33" t="s">
        <v>56</v>
      </c>
      <c r="G36" s="34" t="s">
        <v>114</v>
      </c>
      <c r="H36" s="37"/>
      <c r="I36" s="18">
        <v>130000</v>
      </c>
      <c r="J36" s="28">
        <f t="shared" si="1"/>
        <v>0</v>
      </c>
    </row>
    <row r="37" spans="2:10" s="18" customFormat="1" ht="92.25" customHeight="1">
      <c r="B37" s="30" t="s">
        <v>120</v>
      </c>
      <c r="C37" s="31" t="s">
        <v>92</v>
      </c>
      <c r="D37" s="31" t="s">
        <v>93</v>
      </c>
      <c r="E37" s="32">
        <f>60000-10000</f>
        <v>50000</v>
      </c>
      <c r="F37" s="33" t="s">
        <v>56</v>
      </c>
      <c r="G37" s="34" t="s">
        <v>114</v>
      </c>
      <c r="H37" s="49"/>
      <c r="I37" s="18">
        <v>50000</v>
      </c>
      <c r="J37" s="28">
        <f t="shared" si="1"/>
        <v>0</v>
      </c>
    </row>
    <row r="38" spans="2:10" s="18" customFormat="1" ht="92.25" customHeight="1">
      <c r="B38" s="30" t="s">
        <v>120</v>
      </c>
      <c r="C38" s="31" t="s">
        <v>90</v>
      </c>
      <c r="D38" s="31" t="s">
        <v>91</v>
      </c>
      <c r="E38" s="32">
        <f>22500+210000</f>
        <v>232500</v>
      </c>
      <c r="F38" s="33" t="s">
        <v>56</v>
      </c>
      <c r="G38" s="34" t="s">
        <v>114</v>
      </c>
      <c r="H38" s="37"/>
      <c r="I38" s="18">
        <v>232500</v>
      </c>
      <c r="J38" s="28">
        <f t="shared" si="1"/>
        <v>0</v>
      </c>
    </row>
    <row r="39" spans="2:10" s="18" customFormat="1" ht="92.25" customHeight="1">
      <c r="B39" s="30" t="s">
        <v>120</v>
      </c>
      <c r="C39" s="31" t="s">
        <v>94</v>
      </c>
      <c r="D39" s="31" t="s">
        <v>95</v>
      </c>
      <c r="E39" s="32">
        <f>90000-55000</f>
        <v>35000</v>
      </c>
      <c r="F39" s="33" t="s">
        <v>56</v>
      </c>
      <c r="G39" s="34" t="s">
        <v>114</v>
      </c>
      <c r="H39" s="37"/>
      <c r="I39" s="18">
        <v>35000</v>
      </c>
      <c r="J39" s="28">
        <f t="shared" si="1"/>
        <v>0</v>
      </c>
    </row>
    <row r="40" spans="2:10" s="18" customFormat="1" ht="102.75" customHeight="1">
      <c r="B40" s="30" t="s">
        <v>120</v>
      </c>
      <c r="C40" s="31" t="s">
        <v>73</v>
      </c>
      <c r="D40" s="31" t="s">
        <v>74</v>
      </c>
      <c r="E40" s="32">
        <f>25000-15000</f>
        <v>10000</v>
      </c>
      <c r="F40" s="33" t="s">
        <v>56</v>
      </c>
      <c r="G40" s="34" t="s">
        <v>114</v>
      </c>
      <c r="H40" s="31"/>
      <c r="I40" s="18">
        <v>10000</v>
      </c>
      <c r="J40" s="28">
        <f t="shared" si="1"/>
        <v>0</v>
      </c>
    </row>
    <row r="41" spans="2:10" s="18" customFormat="1" ht="115.5" customHeight="1">
      <c r="B41" s="30" t="s">
        <v>120</v>
      </c>
      <c r="C41" s="31">
        <v>50700000</v>
      </c>
      <c r="D41" s="31" t="s">
        <v>13</v>
      </c>
      <c r="E41" s="32">
        <f>1700000-40147</f>
        <v>1659853</v>
      </c>
      <c r="F41" s="31" t="s">
        <v>53</v>
      </c>
      <c r="G41" s="34" t="s">
        <v>114</v>
      </c>
      <c r="H41" s="31" t="s">
        <v>85</v>
      </c>
      <c r="I41" s="18">
        <v>1659853</v>
      </c>
      <c r="J41" s="28">
        <f t="shared" si="1"/>
        <v>0</v>
      </c>
    </row>
    <row r="42" spans="2:10" s="18" customFormat="1" ht="115.5" customHeight="1">
      <c r="B42" s="30" t="s">
        <v>120</v>
      </c>
      <c r="C42" s="31">
        <v>50700000</v>
      </c>
      <c r="D42" s="31" t="s">
        <v>13</v>
      </c>
      <c r="E42" s="32">
        <f>115000-15000</f>
        <v>100000</v>
      </c>
      <c r="F42" s="31" t="s">
        <v>56</v>
      </c>
      <c r="G42" s="34" t="s">
        <v>114</v>
      </c>
      <c r="H42" s="31"/>
      <c r="I42" s="18">
        <v>100000</v>
      </c>
      <c r="J42" s="28">
        <f t="shared" si="1"/>
        <v>0</v>
      </c>
    </row>
    <row r="43" spans="2:10" s="18" customFormat="1" ht="115.5" customHeight="1">
      <c r="B43" s="30" t="s">
        <v>120</v>
      </c>
      <c r="C43" s="31" t="s">
        <v>161</v>
      </c>
      <c r="D43" s="31" t="s">
        <v>162</v>
      </c>
      <c r="E43" s="32">
        <f>91000-768</f>
        <v>90232</v>
      </c>
      <c r="F43" s="33" t="s">
        <v>56</v>
      </c>
      <c r="G43" s="34" t="s">
        <v>151</v>
      </c>
      <c r="H43" s="49"/>
      <c r="I43" s="18">
        <v>90232</v>
      </c>
      <c r="J43" s="28">
        <f t="shared" si="1"/>
        <v>0</v>
      </c>
    </row>
    <row r="44" spans="2:10" s="18" customFormat="1" ht="115.5" customHeight="1">
      <c r="B44" s="30" t="s">
        <v>120</v>
      </c>
      <c r="C44" s="31" t="s">
        <v>102</v>
      </c>
      <c r="D44" s="31" t="s">
        <v>103</v>
      </c>
      <c r="E44" s="32">
        <v>200000</v>
      </c>
      <c r="F44" s="31" t="s">
        <v>56</v>
      </c>
      <c r="G44" s="34" t="s">
        <v>114</v>
      </c>
      <c r="H44" s="31"/>
      <c r="I44" s="18">
        <v>200000</v>
      </c>
      <c r="J44" s="28">
        <f t="shared" si="1"/>
        <v>0</v>
      </c>
    </row>
    <row r="45" spans="2:10" s="18" customFormat="1" ht="115.5" customHeight="1">
      <c r="B45" s="30" t="s">
        <v>120</v>
      </c>
      <c r="C45" s="31" t="s">
        <v>96</v>
      </c>
      <c r="D45" s="31" t="s">
        <v>97</v>
      </c>
      <c r="E45" s="32">
        <f>120000-40000</f>
        <v>80000</v>
      </c>
      <c r="F45" s="31" t="s">
        <v>56</v>
      </c>
      <c r="G45" s="34" t="s">
        <v>114</v>
      </c>
      <c r="H45" s="31"/>
      <c r="I45" s="18">
        <v>80000</v>
      </c>
      <c r="J45" s="28">
        <f t="shared" si="1"/>
        <v>0</v>
      </c>
    </row>
    <row r="46" spans="2:10" s="18" customFormat="1" ht="58.5" customHeight="1">
      <c r="B46" s="30" t="s">
        <v>120</v>
      </c>
      <c r="C46" s="48">
        <v>63700000</v>
      </c>
      <c r="D46" s="31" t="s">
        <v>62</v>
      </c>
      <c r="E46" s="32">
        <v>2000</v>
      </c>
      <c r="F46" s="33" t="s">
        <v>53</v>
      </c>
      <c r="G46" s="34" t="s">
        <v>114</v>
      </c>
      <c r="H46" s="34" t="s">
        <v>72</v>
      </c>
      <c r="I46" s="18">
        <v>2000</v>
      </c>
      <c r="J46" s="28">
        <f t="shared" si="1"/>
        <v>0</v>
      </c>
    </row>
    <row r="47" spans="2:10" s="18" customFormat="1" ht="63.75" customHeight="1">
      <c r="B47" s="30" t="s">
        <v>120</v>
      </c>
      <c r="C47" s="31" t="s">
        <v>39</v>
      </c>
      <c r="D47" s="31" t="s">
        <v>40</v>
      </c>
      <c r="E47" s="32">
        <v>4970</v>
      </c>
      <c r="F47" s="33" t="s">
        <v>77</v>
      </c>
      <c r="G47" s="34" t="s">
        <v>114</v>
      </c>
      <c r="H47" s="31"/>
      <c r="I47" s="18">
        <v>4970</v>
      </c>
      <c r="J47" s="28">
        <f t="shared" si="1"/>
        <v>0</v>
      </c>
    </row>
    <row r="48" spans="2:10" s="18" customFormat="1" ht="56.25">
      <c r="B48" s="30" t="s">
        <v>120</v>
      </c>
      <c r="C48" s="45" t="s">
        <v>18</v>
      </c>
      <c r="D48" s="31" t="s">
        <v>38</v>
      </c>
      <c r="E48" s="32">
        <v>25000</v>
      </c>
      <c r="F48" s="33" t="s">
        <v>53</v>
      </c>
      <c r="G48" s="34" t="s">
        <v>114</v>
      </c>
      <c r="H48" s="34" t="s">
        <v>82</v>
      </c>
      <c r="I48" s="18">
        <v>25000</v>
      </c>
      <c r="J48" s="28">
        <f t="shared" si="1"/>
        <v>0</v>
      </c>
    </row>
    <row r="49" spans="2:10" s="18" customFormat="1" ht="56.25">
      <c r="B49" s="30" t="s">
        <v>120</v>
      </c>
      <c r="C49" s="45" t="s">
        <v>18</v>
      </c>
      <c r="D49" s="31" t="s">
        <v>38</v>
      </c>
      <c r="E49" s="32">
        <v>10000</v>
      </c>
      <c r="F49" s="33" t="s">
        <v>53</v>
      </c>
      <c r="G49" s="34" t="s">
        <v>114</v>
      </c>
      <c r="H49" s="34" t="s">
        <v>111</v>
      </c>
      <c r="I49" s="18">
        <v>10000</v>
      </c>
      <c r="J49" s="28">
        <f t="shared" si="1"/>
        <v>0</v>
      </c>
    </row>
    <row r="50" spans="2:10" s="18" customFormat="1" ht="33.75">
      <c r="B50" s="30" t="s">
        <v>120</v>
      </c>
      <c r="C50" s="45" t="s">
        <v>18</v>
      </c>
      <c r="D50" s="31" t="s">
        <v>38</v>
      </c>
      <c r="E50" s="32">
        <v>25000</v>
      </c>
      <c r="F50" s="33" t="s">
        <v>52</v>
      </c>
      <c r="G50" s="34" t="s">
        <v>114</v>
      </c>
      <c r="H50" s="52"/>
      <c r="I50" s="18">
        <v>25000</v>
      </c>
      <c r="J50" s="28">
        <f t="shared" si="1"/>
        <v>0</v>
      </c>
    </row>
    <row r="51" spans="2:10" s="18" customFormat="1" ht="50.25" customHeight="1">
      <c r="B51" s="30" t="s">
        <v>119</v>
      </c>
      <c r="C51" s="45" t="s">
        <v>99</v>
      </c>
      <c r="D51" s="31" t="s">
        <v>98</v>
      </c>
      <c r="E51" s="32">
        <f>30000-6688+5000+5000</f>
        <v>33312</v>
      </c>
      <c r="F51" s="33" t="s">
        <v>144</v>
      </c>
      <c r="G51" s="34" t="s">
        <v>114</v>
      </c>
      <c r="H51" s="34"/>
      <c r="I51" s="18">
        <v>33312</v>
      </c>
      <c r="J51" s="28">
        <f t="shared" si="1"/>
        <v>0</v>
      </c>
    </row>
    <row r="52" spans="2:10" s="18" customFormat="1" ht="50.25" customHeight="1">
      <c r="B52" s="30" t="s">
        <v>120</v>
      </c>
      <c r="C52" s="45" t="s">
        <v>168</v>
      </c>
      <c r="D52" s="31" t="s">
        <v>169</v>
      </c>
      <c r="E52" s="32">
        <v>24000</v>
      </c>
      <c r="F52" s="33" t="s">
        <v>56</v>
      </c>
      <c r="G52" s="34" t="s">
        <v>151</v>
      </c>
      <c r="H52" s="34"/>
      <c r="I52" s="18">
        <v>24000</v>
      </c>
      <c r="J52" s="28">
        <f t="shared" si="1"/>
        <v>0</v>
      </c>
    </row>
    <row r="53" spans="2:10" s="18" customFormat="1" ht="33.75">
      <c r="B53" s="30" t="s">
        <v>120</v>
      </c>
      <c r="C53" s="45" t="s">
        <v>47</v>
      </c>
      <c r="D53" s="31" t="s">
        <v>48</v>
      </c>
      <c r="E53" s="32">
        <v>1680</v>
      </c>
      <c r="F53" s="33" t="s">
        <v>77</v>
      </c>
      <c r="G53" s="34" t="s">
        <v>114</v>
      </c>
      <c r="H53" s="52"/>
      <c r="I53" s="18">
        <v>1680</v>
      </c>
      <c r="J53" s="28">
        <f t="shared" si="1"/>
        <v>0</v>
      </c>
    </row>
    <row r="54" spans="2:10" s="18" customFormat="1" ht="57" customHeight="1">
      <c r="B54" s="30" t="s">
        <v>120</v>
      </c>
      <c r="C54" s="45" t="s">
        <v>17</v>
      </c>
      <c r="D54" s="31" t="s">
        <v>16</v>
      </c>
      <c r="E54" s="32">
        <f>124000+28800-10000</f>
        <v>142800</v>
      </c>
      <c r="F54" s="33" t="s">
        <v>53</v>
      </c>
      <c r="G54" s="34" t="s">
        <v>114</v>
      </c>
      <c r="H54" s="34" t="s">
        <v>59</v>
      </c>
      <c r="I54" s="18">
        <v>142800</v>
      </c>
      <c r="J54" s="28">
        <f t="shared" si="1"/>
        <v>0</v>
      </c>
    </row>
    <row r="55" spans="2:10" s="18" customFormat="1" ht="65.25" customHeight="1">
      <c r="B55" s="30" t="s">
        <v>120</v>
      </c>
      <c r="C55" s="45" t="s">
        <v>17</v>
      </c>
      <c r="D55" s="31" t="s">
        <v>16</v>
      </c>
      <c r="E55" s="32">
        <v>2000</v>
      </c>
      <c r="F55" s="33" t="s">
        <v>53</v>
      </c>
      <c r="G55" s="34" t="s">
        <v>114</v>
      </c>
      <c r="H55" s="34"/>
      <c r="I55" s="18">
        <v>2000</v>
      </c>
      <c r="J55" s="28">
        <f t="shared" si="1"/>
        <v>0</v>
      </c>
    </row>
    <row r="56" spans="2:10" s="18" customFormat="1" ht="56.25">
      <c r="B56" s="30" t="s">
        <v>120</v>
      </c>
      <c r="C56" s="45" t="s">
        <v>64</v>
      </c>
      <c r="D56" s="31" t="s">
        <v>65</v>
      </c>
      <c r="E56" s="32">
        <v>1500</v>
      </c>
      <c r="F56" s="33" t="s">
        <v>53</v>
      </c>
      <c r="G56" s="34" t="s">
        <v>114</v>
      </c>
      <c r="H56" s="34" t="s">
        <v>66</v>
      </c>
      <c r="I56" s="18">
        <v>1500</v>
      </c>
      <c r="J56" s="28">
        <f t="shared" si="1"/>
        <v>0</v>
      </c>
    </row>
    <row r="57" spans="2:10" s="18" customFormat="1" ht="75" customHeight="1">
      <c r="B57" s="30" t="s">
        <v>120</v>
      </c>
      <c r="C57" s="45" t="s">
        <v>25</v>
      </c>
      <c r="D57" s="31" t="s">
        <v>104</v>
      </c>
      <c r="E57" s="32">
        <f>100000-80000</f>
        <v>20000</v>
      </c>
      <c r="F57" s="33" t="s">
        <v>56</v>
      </c>
      <c r="G57" s="34" t="s">
        <v>114</v>
      </c>
      <c r="H57" s="34"/>
      <c r="I57" s="18">
        <v>20000</v>
      </c>
      <c r="J57" s="28">
        <f t="shared" si="1"/>
        <v>0</v>
      </c>
    </row>
    <row r="58" spans="2:10" s="18" customFormat="1" ht="75" customHeight="1">
      <c r="B58" s="30" t="s">
        <v>120</v>
      </c>
      <c r="C58" s="45" t="s">
        <v>112</v>
      </c>
      <c r="D58" s="31" t="s">
        <v>113</v>
      </c>
      <c r="E58" s="32">
        <v>3000</v>
      </c>
      <c r="F58" s="33" t="s">
        <v>53</v>
      </c>
      <c r="G58" s="34" t="s">
        <v>114</v>
      </c>
      <c r="H58" s="34" t="s">
        <v>66</v>
      </c>
      <c r="I58" s="18">
        <v>3000</v>
      </c>
      <c r="J58" s="28">
        <f t="shared" si="1"/>
        <v>0</v>
      </c>
    </row>
    <row r="59" spans="2:10" s="18" customFormat="1" ht="63.75" customHeight="1">
      <c r="B59" s="30" t="s">
        <v>120</v>
      </c>
      <c r="C59" s="31" t="s">
        <v>37</v>
      </c>
      <c r="D59" s="31" t="s">
        <v>55</v>
      </c>
      <c r="E59" s="32">
        <f>3950+6000</f>
        <v>9950</v>
      </c>
      <c r="F59" s="33" t="s">
        <v>56</v>
      </c>
      <c r="G59" s="34" t="s">
        <v>114</v>
      </c>
      <c r="H59" s="34"/>
      <c r="I59" s="18">
        <v>9950</v>
      </c>
      <c r="J59" s="28">
        <f t="shared" si="1"/>
        <v>0</v>
      </c>
    </row>
    <row r="60" spans="2:10" s="18" customFormat="1" ht="63.75" customHeight="1">
      <c r="B60" s="30" t="s">
        <v>120</v>
      </c>
      <c r="C60" s="31" t="s">
        <v>105</v>
      </c>
      <c r="D60" s="31" t="s">
        <v>106</v>
      </c>
      <c r="E60" s="32">
        <v>450</v>
      </c>
      <c r="F60" s="33" t="s">
        <v>53</v>
      </c>
      <c r="G60" s="34" t="s">
        <v>114</v>
      </c>
      <c r="H60" s="34"/>
      <c r="I60" s="18">
        <v>450</v>
      </c>
      <c r="J60" s="28">
        <f t="shared" si="1"/>
        <v>0</v>
      </c>
    </row>
    <row r="61" spans="2:10" s="18" customFormat="1" ht="77.25" customHeight="1">
      <c r="B61" s="30" t="s">
        <v>120</v>
      </c>
      <c r="C61" s="48">
        <v>79700000</v>
      </c>
      <c r="D61" s="31" t="s">
        <v>27</v>
      </c>
      <c r="E61" s="32">
        <f>520000-13000</f>
        <v>507000</v>
      </c>
      <c r="F61" s="33" t="s">
        <v>53</v>
      </c>
      <c r="G61" s="34" t="s">
        <v>114</v>
      </c>
      <c r="H61" s="34" t="s">
        <v>67</v>
      </c>
      <c r="I61" s="18">
        <v>507000</v>
      </c>
      <c r="J61" s="28">
        <f t="shared" si="1"/>
        <v>0</v>
      </c>
    </row>
    <row r="62" spans="2:10" s="18" customFormat="1" ht="62.25" customHeight="1">
      <c r="B62" s="30" t="s">
        <v>120</v>
      </c>
      <c r="C62" s="48">
        <v>79800000</v>
      </c>
      <c r="D62" s="31" t="s">
        <v>68</v>
      </c>
      <c r="E62" s="32">
        <f>10000+15000</f>
        <v>25000</v>
      </c>
      <c r="F62" s="33" t="s">
        <v>56</v>
      </c>
      <c r="G62" s="34" t="s">
        <v>114</v>
      </c>
      <c r="H62" s="34"/>
      <c r="I62" s="18">
        <v>25000</v>
      </c>
      <c r="J62" s="28">
        <f t="shared" si="1"/>
        <v>0</v>
      </c>
    </row>
    <row r="63" spans="2:10" s="18" customFormat="1" ht="62.25" customHeight="1">
      <c r="B63" s="30" t="s">
        <v>120</v>
      </c>
      <c r="C63" s="31" t="s">
        <v>45</v>
      </c>
      <c r="D63" s="31" t="s">
        <v>57</v>
      </c>
      <c r="E63" s="32">
        <v>25000</v>
      </c>
      <c r="F63" s="33" t="s">
        <v>53</v>
      </c>
      <c r="G63" s="34" t="s">
        <v>114</v>
      </c>
      <c r="H63" s="31" t="s">
        <v>60</v>
      </c>
      <c r="I63" s="18">
        <v>25000</v>
      </c>
      <c r="J63" s="28">
        <f t="shared" si="1"/>
        <v>0</v>
      </c>
    </row>
    <row r="64" spans="2:10" s="18" customFormat="1" ht="62.25" customHeight="1">
      <c r="B64" s="30" t="s">
        <v>120</v>
      </c>
      <c r="C64" s="45" t="s">
        <v>24</v>
      </c>
      <c r="D64" s="31" t="s">
        <v>63</v>
      </c>
      <c r="E64" s="32">
        <v>12000</v>
      </c>
      <c r="F64" s="33" t="s">
        <v>56</v>
      </c>
      <c r="G64" s="34" t="s">
        <v>114</v>
      </c>
      <c r="H64" s="31"/>
      <c r="I64" s="18">
        <v>12000</v>
      </c>
      <c r="J64" s="28">
        <f t="shared" si="1"/>
        <v>0</v>
      </c>
    </row>
    <row r="65" spans="2:14" s="18" customFormat="1" ht="62.25" customHeight="1">
      <c r="B65" s="30" t="s">
        <v>120</v>
      </c>
      <c r="C65" s="45" t="s">
        <v>107</v>
      </c>
      <c r="D65" s="31" t="s">
        <v>108</v>
      </c>
      <c r="E65" s="32">
        <v>1000</v>
      </c>
      <c r="F65" s="33" t="s">
        <v>53</v>
      </c>
      <c r="G65" s="34" t="s">
        <v>114</v>
      </c>
      <c r="H65" s="31"/>
      <c r="I65" s="18">
        <v>1000</v>
      </c>
      <c r="J65" s="28">
        <f t="shared" si="1"/>
        <v>0</v>
      </c>
    </row>
    <row r="66" spans="2:14" s="18" customFormat="1" ht="60.75" customHeight="1">
      <c r="B66" s="30" t="s">
        <v>120</v>
      </c>
      <c r="C66" s="31" t="s">
        <v>69</v>
      </c>
      <c r="D66" s="31" t="s">
        <v>70</v>
      </c>
      <c r="E66" s="32">
        <v>20000</v>
      </c>
      <c r="F66" s="33" t="s">
        <v>56</v>
      </c>
      <c r="G66" s="34" t="s">
        <v>114</v>
      </c>
      <c r="H66" s="49"/>
      <c r="I66" s="18">
        <v>20000</v>
      </c>
      <c r="J66" s="28">
        <f t="shared" si="1"/>
        <v>0</v>
      </c>
    </row>
    <row r="67" spans="2:14" s="18" customFormat="1" ht="60.75" customHeight="1">
      <c r="B67" s="30" t="s">
        <v>120</v>
      </c>
      <c r="C67" s="31" t="s">
        <v>69</v>
      </c>
      <c r="D67" s="31" t="s">
        <v>70</v>
      </c>
      <c r="E67" s="32">
        <f>10000</f>
        <v>10000</v>
      </c>
      <c r="F67" s="33" t="s">
        <v>77</v>
      </c>
      <c r="G67" s="34" t="s">
        <v>114</v>
      </c>
      <c r="H67" s="34" t="s">
        <v>66</v>
      </c>
      <c r="I67" s="18">
        <v>10000</v>
      </c>
      <c r="J67" s="28">
        <f t="shared" si="1"/>
        <v>0</v>
      </c>
    </row>
    <row r="68" spans="2:14" s="18" customFormat="1" ht="60.75" customHeight="1">
      <c r="B68" s="30" t="s">
        <v>120</v>
      </c>
      <c r="C68" s="31" t="s">
        <v>166</v>
      </c>
      <c r="D68" s="31" t="s">
        <v>167</v>
      </c>
      <c r="E68" s="32">
        <v>31800</v>
      </c>
      <c r="F68" s="33" t="s">
        <v>56</v>
      </c>
      <c r="G68" s="34" t="s">
        <v>151</v>
      </c>
      <c r="H68" s="34"/>
      <c r="I68" s="18">
        <v>31800</v>
      </c>
      <c r="J68" s="28">
        <f t="shared" si="1"/>
        <v>0</v>
      </c>
    </row>
    <row r="69" spans="2:14" s="18" customFormat="1" ht="36.75" customHeight="1">
      <c r="B69" s="30" t="s">
        <v>120</v>
      </c>
      <c r="C69" s="31" t="s">
        <v>12</v>
      </c>
      <c r="D69" s="31" t="s">
        <v>19</v>
      </c>
      <c r="E69" s="32">
        <f>130000+6600</f>
        <v>136600</v>
      </c>
      <c r="F69" s="33" t="s">
        <v>56</v>
      </c>
      <c r="G69" s="34" t="s">
        <v>114</v>
      </c>
      <c r="H69" s="49"/>
      <c r="I69" s="18">
        <v>136600</v>
      </c>
      <c r="J69" s="28">
        <f t="shared" si="1"/>
        <v>0</v>
      </c>
    </row>
    <row r="70" spans="2:14" s="18" customFormat="1" ht="36.75" customHeight="1">
      <c r="B70" s="30" t="s">
        <v>120</v>
      </c>
      <c r="C70" s="31" t="s">
        <v>139</v>
      </c>
      <c r="D70" s="31" t="s">
        <v>140</v>
      </c>
      <c r="E70" s="32">
        <v>4900</v>
      </c>
      <c r="F70" s="33" t="s">
        <v>77</v>
      </c>
      <c r="G70" s="34" t="s">
        <v>114</v>
      </c>
      <c r="H70" s="34" t="s">
        <v>66</v>
      </c>
      <c r="I70" s="18">
        <v>4900</v>
      </c>
      <c r="J70" s="28">
        <f t="shared" si="1"/>
        <v>0</v>
      </c>
    </row>
    <row r="71" spans="2:14" s="18" customFormat="1" ht="36.75" customHeight="1">
      <c r="B71" s="30" t="s">
        <v>120</v>
      </c>
      <c r="C71" s="31" t="s">
        <v>156</v>
      </c>
      <c r="D71" s="31" t="s">
        <v>178</v>
      </c>
      <c r="E71" s="32">
        <v>1800</v>
      </c>
      <c r="F71" s="33" t="s">
        <v>77</v>
      </c>
      <c r="G71" s="34" t="s">
        <v>114</v>
      </c>
      <c r="H71" s="34"/>
      <c r="I71" s="18">
        <v>1800</v>
      </c>
      <c r="J71" s="28">
        <f t="shared" si="1"/>
        <v>0</v>
      </c>
    </row>
    <row r="72" spans="2:14" s="18" customFormat="1" ht="54.75" customHeight="1">
      <c r="B72" s="30" t="s">
        <v>120</v>
      </c>
      <c r="C72" s="31" t="s">
        <v>100</v>
      </c>
      <c r="D72" s="31" t="s">
        <v>101</v>
      </c>
      <c r="E72" s="32">
        <f>15000-10000</f>
        <v>5000</v>
      </c>
      <c r="F72" s="33" t="s">
        <v>53</v>
      </c>
      <c r="G72" s="34" t="s">
        <v>114</v>
      </c>
      <c r="H72" s="34" t="s">
        <v>66</v>
      </c>
      <c r="I72" s="18">
        <v>5000</v>
      </c>
      <c r="J72" s="28">
        <f t="shared" si="1"/>
        <v>0</v>
      </c>
    </row>
    <row r="73" spans="2:14" s="1" customFormat="1" ht="75" customHeight="1">
      <c r="B73" s="84" t="s">
        <v>122</v>
      </c>
      <c r="C73" s="85"/>
      <c r="D73" s="85"/>
      <c r="E73" s="16">
        <f>SUM(E74:E76)</f>
        <v>2524191.7000000002</v>
      </c>
      <c r="F73" s="13"/>
      <c r="G73" s="14"/>
      <c r="H73" s="10"/>
      <c r="I73" s="26">
        <v>2524191.7000000002</v>
      </c>
      <c r="J73" s="28">
        <f t="shared" si="1"/>
        <v>0</v>
      </c>
    </row>
    <row r="74" spans="2:14" s="18" customFormat="1" ht="59.25" customHeight="1">
      <c r="B74" s="30" t="s">
        <v>120</v>
      </c>
      <c r="C74" s="31" t="s">
        <v>24</v>
      </c>
      <c r="D74" s="31" t="s">
        <v>63</v>
      </c>
      <c r="E74" s="32">
        <v>2000000</v>
      </c>
      <c r="F74" s="33" t="s">
        <v>56</v>
      </c>
      <c r="G74" s="34" t="s">
        <v>114</v>
      </c>
      <c r="H74" s="35"/>
      <c r="I74" s="18">
        <v>2000000</v>
      </c>
      <c r="J74" s="28">
        <f t="shared" ref="J74:J127" si="2">E74-I74</f>
        <v>0</v>
      </c>
    </row>
    <row r="75" spans="2:14" s="18" customFormat="1" ht="90.75" customHeight="1">
      <c r="B75" s="30" t="s">
        <v>120</v>
      </c>
      <c r="C75" s="31" t="s">
        <v>24</v>
      </c>
      <c r="D75" s="31" t="s">
        <v>63</v>
      </c>
      <c r="E75" s="32">
        <v>121390</v>
      </c>
      <c r="F75" s="33" t="s">
        <v>53</v>
      </c>
      <c r="G75" s="34" t="s">
        <v>145</v>
      </c>
      <c r="H75" s="35" t="s">
        <v>146</v>
      </c>
      <c r="I75" s="18">
        <v>121390</v>
      </c>
      <c r="J75" s="28">
        <f t="shared" si="2"/>
        <v>0</v>
      </c>
    </row>
    <row r="76" spans="2:14" s="18" customFormat="1" ht="74.25" customHeight="1">
      <c r="B76" s="30" t="s">
        <v>120</v>
      </c>
      <c r="C76" s="31" t="s">
        <v>24</v>
      </c>
      <c r="D76" s="31" t="s">
        <v>63</v>
      </c>
      <c r="E76" s="32">
        <f>153466.1+13224+53288+19471.6+160022+3330</f>
        <v>402801.7</v>
      </c>
      <c r="F76" s="33" t="s">
        <v>53</v>
      </c>
      <c r="G76" s="34" t="s">
        <v>145</v>
      </c>
      <c r="H76" s="35" t="s">
        <v>147</v>
      </c>
      <c r="I76" s="18">
        <v>402801.7</v>
      </c>
      <c r="J76" s="28">
        <f t="shared" si="2"/>
        <v>0</v>
      </c>
    </row>
    <row r="77" spans="2:14" s="1" customFormat="1" ht="31.5" customHeight="1">
      <c r="B77" s="84" t="s">
        <v>123</v>
      </c>
      <c r="C77" s="85"/>
      <c r="D77" s="85"/>
      <c r="E77" s="16">
        <f>SUM(E78:E83)</f>
        <v>22970000</v>
      </c>
      <c r="F77" s="13"/>
      <c r="G77" s="9"/>
      <c r="H77" s="10"/>
      <c r="I77" s="26">
        <v>22970000</v>
      </c>
      <c r="J77" s="28">
        <f t="shared" si="2"/>
        <v>0</v>
      </c>
    </row>
    <row r="78" spans="2:14" s="18" customFormat="1" ht="75.75" customHeight="1">
      <c r="B78" s="30" t="s">
        <v>120</v>
      </c>
      <c r="C78" s="31" t="s">
        <v>7</v>
      </c>
      <c r="D78" s="31" t="s">
        <v>49</v>
      </c>
      <c r="E78" s="32">
        <v>500000</v>
      </c>
      <c r="F78" s="33" t="s">
        <v>53</v>
      </c>
      <c r="G78" s="34" t="s">
        <v>114</v>
      </c>
      <c r="H78" s="36" t="s">
        <v>83</v>
      </c>
      <c r="I78" s="18">
        <v>500000</v>
      </c>
      <c r="J78" s="28">
        <f t="shared" si="2"/>
        <v>0</v>
      </c>
    </row>
    <row r="79" spans="2:14" s="18" customFormat="1" ht="75.75" customHeight="1">
      <c r="B79" s="30" t="s">
        <v>118</v>
      </c>
      <c r="C79" s="31" t="s">
        <v>7</v>
      </c>
      <c r="D79" s="31" t="s">
        <v>49</v>
      </c>
      <c r="E79" s="32">
        <v>100000</v>
      </c>
      <c r="F79" s="33" t="s">
        <v>53</v>
      </c>
      <c r="G79" s="34" t="s">
        <v>114</v>
      </c>
      <c r="H79" s="36" t="s">
        <v>83</v>
      </c>
      <c r="I79" s="18">
        <v>100000</v>
      </c>
      <c r="J79" s="28">
        <f t="shared" si="2"/>
        <v>0</v>
      </c>
    </row>
    <row r="80" spans="2:14" s="18" customFormat="1" ht="121.5" customHeight="1">
      <c r="B80" s="30" t="s">
        <v>120</v>
      </c>
      <c r="C80" s="31">
        <v>33600000</v>
      </c>
      <c r="D80" s="31" t="s">
        <v>29</v>
      </c>
      <c r="E80" s="32">
        <f>5721975+602964+2000000+200000-20000</f>
        <v>8504939</v>
      </c>
      <c r="F80" s="33" t="s">
        <v>56</v>
      </c>
      <c r="G80" s="34" t="s">
        <v>114</v>
      </c>
      <c r="H80" s="35"/>
      <c r="I80" s="21">
        <v>8504939</v>
      </c>
      <c r="J80" s="28">
        <f t="shared" si="2"/>
        <v>0</v>
      </c>
      <c r="K80" s="29"/>
      <c r="L80" s="29"/>
      <c r="M80" s="29"/>
      <c r="N80" s="29"/>
    </row>
    <row r="81" spans="2:14" s="18" customFormat="1" ht="121.5" customHeight="1">
      <c r="B81" s="30" t="s">
        <v>120</v>
      </c>
      <c r="C81" s="31">
        <v>33600000</v>
      </c>
      <c r="D81" s="31" t="s">
        <v>29</v>
      </c>
      <c r="E81" s="32">
        <v>5546250</v>
      </c>
      <c r="F81" s="33" t="s">
        <v>56</v>
      </c>
      <c r="G81" s="34" t="s">
        <v>114</v>
      </c>
      <c r="H81" s="35" t="s">
        <v>148</v>
      </c>
      <c r="I81" s="21">
        <v>5546250</v>
      </c>
      <c r="J81" s="28">
        <f t="shared" si="2"/>
        <v>0</v>
      </c>
      <c r="K81" s="29"/>
      <c r="L81" s="29"/>
      <c r="M81" s="29"/>
      <c r="N81" s="29"/>
    </row>
    <row r="82" spans="2:14" s="18" customFormat="1" ht="121.5" customHeight="1">
      <c r="B82" s="30" t="s">
        <v>120</v>
      </c>
      <c r="C82" s="31" t="s">
        <v>175</v>
      </c>
      <c r="D82" s="31" t="s">
        <v>68</v>
      </c>
      <c r="E82" s="32">
        <v>20000</v>
      </c>
      <c r="F82" s="33" t="s">
        <v>56</v>
      </c>
      <c r="G82" s="34" t="s">
        <v>176</v>
      </c>
      <c r="H82" s="36"/>
      <c r="I82" s="21">
        <v>20000</v>
      </c>
      <c r="J82" s="28">
        <f t="shared" si="2"/>
        <v>0</v>
      </c>
      <c r="K82" s="29"/>
      <c r="L82" s="29"/>
      <c r="M82" s="29"/>
      <c r="N82" s="29"/>
    </row>
    <row r="83" spans="2:14" s="18" customFormat="1" ht="87.75" customHeight="1">
      <c r="B83" s="30" t="s">
        <v>120</v>
      </c>
      <c r="C83" s="31" t="s">
        <v>30</v>
      </c>
      <c r="D83" s="31" t="s">
        <v>29</v>
      </c>
      <c r="E83" s="32">
        <f>6000000+2328811-30000</f>
        <v>8298811</v>
      </c>
      <c r="F83" s="33" t="s">
        <v>53</v>
      </c>
      <c r="G83" s="34" t="s">
        <v>114</v>
      </c>
      <c r="H83" s="36" t="s">
        <v>84</v>
      </c>
      <c r="I83" s="18">
        <v>8298811</v>
      </c>
      <c r="J83" s="28">
        <f t="shared" si="2"/>
        <v>0</v>
      </c>
      <c r="K83" s="21"/>
      <c r="N83" s="21"/>
    </row>
    <row r="84" spans="2:14" s="1" customFormat="1" ht="60" customHeight="1">
      <c r="B84" s="84" t="s">
        <v>125</v>
      </c>
      <c r="C84" s="85"/>
      <c r="D84" s="85"/>
      <c r="E84" s="16">
        <f>SUM(E85:E89)</f>
        <v>1700000</v>
      </c>
      <c r="F84" s="13"/>
      <c r="G84" s="14"/>
      <c r="H84" s="10"/>
      <c r="I84" s="26">
        <v>1700000</v>
      </c>
      <c r="J84" s="28">
        <f t="shared" si="2"/>
        <v>0</v>
      </c>
    </row>
    <row r="85" spans="2:14" s="18" customFormat="1" ht="36.75" customHeight="1">
      <c r="B85" s="30" t="s">
        <v>120</v>
      </c>
      <c r="C85" s="31" t="s">
        <v>7</v>
      </c>
      <c r="D85" s="31" t="s">
        <v>28</v>
      </c>
      <c r="E85" s="32">
        <v>50000</v>
      </c>
      <c r="F85" s="33" t="s">
        <v>56</v>
      </c>
      <c r="G85" s="34" t="s">
        <v>114</v>
      </c>
      <c r="H85" s="35"/>
      <c r="I85" s="18">
        <v>50000</v>
      </c>
      <c r="J85" s="28">
        <f t="shared" si="2"/>
        <v>0</v>
      </c>
    </row>
    <row r="86" spans="2:14" s="18" customFormat="1" ht="30.75" customHeight="1">
      <c r="B86" s="30" t="s">
        <v>120</v>
      </c>
      <c r="C86" s="31" t="s">
        <v>30</v>
      </c>
      <c r="D86" s="31" t="s">
        <v>29</v>
      </c>
      <c r="E86" s="32">
        <f>200000-92300-30220</f>
        <v>77480</v>
      </c>
      <c r="F86" s="33" t="s">
        <v>56</v>
      </c>
      <c r="G86" s="34" t="s">
        <v>114</v>
      </c>
      <c r="H86" s="35"/>
      <c r="I86" s="18">
        <v>77480</v>
      </c>
      <c r="J86" s="28">
        <f t="shared" si="2"/>
        <v>0</v>
      </c>
    </row>
    <row r="87" spans="2:14" s="18" customFormat="1" ht="45" customHeight="1">
      <c r="B87" s="30" t="s">
        <v>120</v>
      </c>
      <c r="C87" s="31" t="s">
        <v>75</v>
      </c>
      <c r="D87" s="31" t="s">
        <v>76</v>
      </c>
      <c r="E87" s="32">
        <f>620000+92300</f>
        <v>712300</v>
      </c>
      <c r="F87" s="33" t="s">
        <v>56</v>
      </c>
      <c r="G87" s="34" t="s">
        <v>114</v>
      </c>
      <c r="H87" s="36"/>
      <c r="I87" s="18">
        <v>712300</v>
      </c>
      <c r="J87" s="28">
        <f t="shared" si="2"/>
        <v>0</v>
      </c>
    </row>
    <row r="88" spans="2:14" s="18" customFormat="1" ht="78" customHeight="1">
      <c r="B88" s="30" t="s">
        <v>120</v>
      </c>
      <c r="C88" s="31" t="s">
        <v>24</v>
      </c>
      <c r="D88" s="31" t="s">
        <v>63</v>
      </c>
      <c r="E88" s="32">
        <v>52208</v>
      </c>
      <c r="F88" s="33" t="s">
        <v>53</v>
      </c>
      <c r="G88" s="34" t="s">
        <v>149</v>
      </c>
      <c r="H88" s="36" t="s">
        <v>150</v>
      </c>
      <c r="I88" s="18">
        <v>52208</v>
      </c>
      <c r="J88" s="28">
        <f t="shared" si="2"/>
        <v>0</v>
      </c>
    </row>
    <row r="89" spans="2:14" s="18" customFormat="1" ht="87.75" customHeight="1">
      <c r="B89" s="30" t="s">
        <v>120</v>
      </c>
      <c r="C89" s="31" t="s">
        <v>24</v>
      </c>
      <c r="D89" s="31" t="s">
        <v>63</v>
      </c>
      <c r="E89" s="32">
        <f>577500+171079.6+10376.4+3456+45600</f>
        <v>808012</v>
      </c>
      <c r="F89" s="33" t="s">
        <v>53</v>
      </c>
      <c r="G89" s="34" t="s">
        <v>151</v>
      </c>
      <c r="H89" s="36" t="s">
        <v>84</v>
      </c>
      <c r="I89" s="18">
        <v>808012</v>
      </c>
      <c r="J89" s="28">
        <f t="shared" si="2"/>
        <v>0</v>
      </c>
    </row>
    <row r="90" spans="2:14" s="1" customFormat="1" ht="65.25" customHeight="1">
      <c r="B90" s="84" t="s">
        <v>126</v>
      </c>
      <c r="C90" s="85"/>
      <c r="D90" s="85"/>
      <c r="E90" s="16">
        <f>SUM(E91:E93)</f>
        <v>2864778</v>
      </c>
      <c r="F90" s="13"/>
      <c r="G90" s="14"/>
      <c r="H90" s="10"/>
      <c r="I90" s="26">
        <v>2864778</v>
      </c>
      <c r="J90" s="28">
        <f t="shared" si="2"/>
        <v>0</v>
      </c>
    </row>
    <row r="91" spans="2:14" s="18" customFormat="1" ht="33.75">
      <c r="B91" s="30" t="s">
        <v>120</v>
      </c>
      <c r="C91" s="37" t="s">
        <v>25</v>
      </c>
      <c r="D91" s="37" t="s">
        <v>61</v>
      </c>
      <c r="E91" s="32">
        <v>200000</v>
      </c>
      <c r="F91" s="38" t="s">
        <v>56</v>
      </c>
      <c r="G91" s="34" t="s">
        <v>114</v>
      </c>
      <c r="H91" s="39"/>
      <c r="I91" s="18">
        <v>200000</v>
      </c>
      <c r="J91" s="28">
        <f t="shared" si="2"/>
        <v>0</v>
      </c>
    </row>
    <row r="92" spans="2:14" s="18" customFormat="1" ht="87.75" customHeight="1">
      <c r="B92" s="30" t="s">
        <v>120</v>
      </c>
      <c r="C92" s="31">
        <v>85100000</v>
      </c>
      <c r="D92" s="31" t="s">
        <v>63</v>
      </c>
      <c r="E92" s="32">
        <v>203458</v>
      </c>
      <c r="F92" s="33" t="s">
        <v>53</v>
      </c>
      <c r="G92" s="34" t="s">
        <v>152</v>
      </c>
      <c r="H92" s="40" t="s">
        <v>154</v>
      </c>
      <c r="I92" s="18">
        <v>203458</v>
      </c>
      <c r="J92" s="28">
        <f t="shared" si="2"/>
        <v>0</v>
      </c>
    </row>
    <row r="93" spans="2:14" s="18" customFormat="1" ht="69.75" customHeight="1">
      <c r="B93" s="30" t="s">
        <v>120</v>
      </c>
      <c r="C93" s="31">
        <v>85100000</v>
      </c>
      <c r="D93" s="31" t="s">
        <v>63</v>
      </c>
      <c r="E93" s="32">
        <v>2461320</v>
      </c>
      <c r="F93" s="33" t="s">
        <v>53</v>
      </c>
      <c r="G93" s="34" t="s">
        <v>153</v>
      </c>
      <c r="H93" s="36" t="s">
        <v>84</v>
      </c>
      <c r="I93" s="18">
        <v>2461320</v>
      </c>
      <c r="J93" s="28">
        <f t="shared" si="2"/>
        <v>0</v>
      </c>
    </row>
    <row r="94" spans="2:14" s="1" customFormat="1" ht="61.5" customHeight="1">
      <c r="B94" s="84" t="s">
        <v>127</v>
      </c>
      <c r="C94" s="85"/>
      <c r="D94" s="85"/>
      <c r="E94" s="16">
        <f>SUM(E95:E96)</f>
        <v>184167</v>
      </c>
      <c r="F94" s="13"/>
      <c r="G94" s="14"/>
      <c r="H94" s="10"/>
      <c r="I94" s="26">
        <v>184167</v>
      </c>
      <c r="J94" s="28">
        <f t="shared" si="2"/>
        <v>0</v>
      </c>
    </row>
    <row r="95" spans="2:14" s="18" customFormat="1" ht="75" customHeight="1">
      <c r="B95" s="30" t="s">
        <v>120</v>
      </c>
      <c r="C95" s="31" t="s">
        <v>24</v>
      </c>
      <c r="D95" s="31" t="s">
        <v>63</v>
      </c>
      <c r="E95" s="32">
        <v>170000</v>
      </c>
      <c r="F95" s="33" t="s">
        <v>53</v>
      </c>
      <c r="G95" s="34" t="s">
        <v>153</v>
      </c>
      <c r="H95" s="36" t="s">
        <v>84</v>
      </c>
      <c r="I95" s="18">
        <v>170000</v>
      </c>
      <c r="J95" s="28">
        <f t="shared" si="2"/>
        <v>0</v>
      </c>
    </row>
    <row r="96" spans="2:14" s="18" customFormat="1" ht="91.5" customHeight="1">
      <c r="B96" s="30" t="s">
        <v>120</v>
      </c>
      <c r="C96" s="31" t="s">
        <v>24</v>
      </c>
      <c r="D96" s="31" t="s">
        <v>63</v>
      </c>
      <c r="E96" s="32">
        <v>14167</v>
      </c>
      <c r="F96" s="33" t="s">
        <v>53</v>
      </c>
      <c r="G96" s="34" t="s">
        <v>152</v>
      </c>
      <c r="H96" s="40" t="s">
        <v>154</v>
      </c>
      <c r="I96" s="18">
        <v>14167</v>
      </c>
      <c r="J96" s="28">
        <f t="shared" si="2"/>
        <v>0</v>
      </c>
    </row>
    <row r="97" spans="2:10" s="1" customFormat="1" ht="65.25" customHeight="1">
      <c r="B97" s="95" t="s">
        <v>128</v>
      </c>
      <c r="C97" s="96"/>
      <c r="D97" s="96"/>
      <c r="E97" s="16">
        <f>SUM(E98:E102)</f>
        <v>1655642</v>
      </c>
      <c r="F97" s="13"/>
      <c r="G97" s="14"/>
      <c r="H97" s="25"/>
      <c r="I97" s="26">
        <v>1655642</v>
      </c>
      <c r="J97" s="28">
        <f t="shared" si="2"/>
        <v>0</v>
      </c>
    </row>
    <row r="98" spans="2:10" s="18" customFormat="1" ht="49.5" customHeight="1">
      <c r="B98" s="30" t="s">
        <v>120</v>
      </c>
      <c r="C98" s="31" t="s">
        <v>14</v>
      </c>
      <c r="D98" s="31" t="s">
        <v>15</v>
      </c>
      <c r="E98" s="32">
        <v>25000</v>
      </c>
      <c r="F98" s="33" t="s">
        <v>52</v>
      </c>
      <c r="G98" s="34" t="s">
        <v>114</v>
      </c>
      <c r="H98" s="35"/>
      <c r="I98" s="18">
        <v>25000</v>
      </c>
      <c r="J98" s="28">
        <f t="shared" si="2"/>
        <v>0</v>
      </c>
    </row>
    <row r="99" spans="2:10" s="18" customFormat="1" ht="33.75">
      <c r="B99" s="30" t="s">
        <v>120</v>
      </c>
      <c r="C99" s="41">
        <v>33100000</v>
      </c>
      <c r="D99" s="41" t="s">
        <v>28</v>
      </c>
      <c r="E99" s="32">
        <v>410000</v>
      </c>
      <c r="F99" s="42" t="s">
        <v>56</v>
      </c>
      <c r="G99" s="34" t="s">
        <v>114</v>
      </c>
      <c r="H99" s="43"/>
      <c r="I99" s="18">
        <v>410000</v>
      </c>
      <c r="J99" s="28">
        <f t="shared" si="2"/>
        <v>0</v>
      </c>
    </row>
    <row r="100" spans="2:10" s="18" customFormat="1" ht="60.75" customHeight="1">
      <c r="B100" s="30" t="s">
        <v>120</v>
      </c>
      <c r="C100" s="31" t="s">
        <v>51</v>
      </c>
      <c r="D100" s="31" t="s">
        <v>36</v>
      </c>
      <c r="E100" s="32">
        <v>15000</v>
      </c>
      <c r="F100" s="33" t="s">
        <v>56</v>
      </c>
      <c r="G100" s="34" t="s">
        <v>114</v>
      </c>
      <c r="H100" s="35"/>
      <c r="I100" s="18">
        <v>15000</v>
      </c>
      <c r="J100" s="28">
        <f t="shared" si="2"/>
        <v>0</v>
      </c>
    </row>
    <row r="101" spans="2:10" s="18" customFormat="1" ht="65.25" customHeight="1">
      <c r="B101" s="30" t="s">
        <v>120</v>
      </c>
      <c r="C101" s="31">
        <v>85100000</v>
      </c>
      <c r="D101" s="31" t="s">
        <v>63</v>
      </c>
      <c r="E101" s="32">
        <f>1081996+37800</f>
        <v>1119796</v>
      </c>
      <c r="F101" s="33" t="s">
        <v>53</v>
      </c>
      <c r="G101" s="34" t="s">
        <v>153</v>
      </c>
      <c r="H101" s="36" t="s">
        <v>84</v>
      </c>
      <c r="I101" s="18">
        <v>1119796</v>
      </c>
      <c r="J101" s="28">
        <f t="shared" si="2"/>
        <v>0</v>
      </c>
    </row>
    <row r="102" spans="2:10" s="18" customFormat="1" ht="65.25" customHeight="1">
      <c r="B102" s="30" t="s">
        <v>120</v>
      </c>
      <c r="C102" s="31">
        <v>85100000</v>
      </c>
      <c r="D102" s="31" t="s">
        <v>63</v>
      </c>
      <c r="E102" s="32">
        <v>85846</v>
      </c>
      <c r="F102" s="33" t="s">
        <v>53</v>
      </c>
      <c r="G102" s="34" t="s">
        <v>152</v>
      </c>
      <c r="H102" s="40" t="s">
        <v>154</v>
      </c>
      <c r="I102" s="18">
        <v>85846</v>
      </c>
      <c r="J102" s="28">
        <f t="shared" si="2"/>
        <v>0</v>
      </c>
    </row>
    <row r="103" spans="2:10" s="1" customFormat="1" ht="80.25" customHeight="1">
      <c r="B103" s="84" t="s">
        <v>129</v>
      </c>
      <c r="C103" s="85"/>
      <c r="D103" s="85"/>
      <c r="E103" s="16">
        <f>SUM(E104:E104)</f>
        <v>1890000</v>
      </c>
      <c r="F103" s="13"/>
      <c r="G103" s="14"/>
      <c r="H103" s="10"/>
      <c r="I103" s="26">
        <v>1890000</v>
      </c>
      <c r="J103" s="28">
        <f t="shared" si="2"/>
        <v>0</v>
      </c>
    </row>
    <row r="104" spans="2:10" s="18" customFormat="1" ht="84.75" customHeight="1">
      <c r="B104" s="30" t="s">
        <v>120</v>
      </c>
      <c r="C104" s="31" t="s">
        <v>30</v>
      </c>
      <c r="D104" s="31" t="s">
        <v>29</v>
      </c>
      <c r="E104" s="32">
        <v>1890000</v>
      </c>
      <c r="F104" s="33" t="s">
        <v>53</v>
      </c>
      <c r="G104" s="34" t="s">
        <v>114</v>
      </c>
      <c r="H104" s="36" t="s">
        <v>84</v>
      </c>
      <c r="I104" s="18">
        <v>1890000</v>
      </c>
      <c r="J104" s="28">
        <f t="shared" si="2"/>
        <v>0</v>
      </c>
    </row>
    <row r="105" spans="2:10" s="1" customFormat="1" ht="57.75" customHeight="1">
      <c r="B105" s="93" t="s">
        <v>130</v>
      </c>
      <c r="C105" s="94"/>
      <c r="D105" s="94"/>
      <c r="E105" s="22">
        <f>SUM(E106:E109)</f>
        <v>3317000</v>
      </c>
      <c r="F105" s="23"/>
      <c r="G105" s="23"/>
      <c r="H105" s="24"/>
      <c r="I105" s="26">
        <v>3317000</v>
      </c>
      <c r="J105" s="28">
        <f t="shared" si="2"/>
        <v>0</v>
      </c>
    </row>
    <row r="106" spans="2:10" s="18" customFormat="1" ht="29.25" customHeight="1">
      <c r="B106" s="30" t="s">
        <v>120</v>
      </c>
      <c r="C106" s="45">
        <v>33100000</v>
      </c>
      <c r="D106" s="31" t="s">
        <v>8</v>
      </c>
      <c r="E106" s="32">
        <v>100000</v>
      </c>
      <c r="F106" s="33" t="s">
        <v>56</v>
      </c>
      <c r="G106" s="34" t="s">
        <v>114</v>
      </c>
      <c r="H106" s="34"/>
      <c r="I106" s="18">
        <v>100000</v>
      </c>
      <c r="J106" s="28">
        <f t="shared" si="2"/>
        <v>0</v>
      </c>
    </row>
    <row r="107" spans="2:10" s="18" customFormat="1" ht="33.75">
      <c r="B107" s="30" t="s">
        <v>120</v>
      </c>
      <c r="C107" s="45" t="s">
        <v>30</v>
      </c>
      <c r="D107" s="31" t="s">
        <v>9</v>
      </c>
      <c r="E107" s="32">
        <f>2500000-340000-630198.8</f>
        <v>1529801.2</v>
      </c>
      <c r="F107" s="33" t="s">
        <v>56</v>
      </c>
      <c r="G107" s="34" t="s">
        <v>114</v>
      </c>
      <c r="H107" s="34"/>
      <c r="I107" s="21">
        <v>1529801.2</v>
      </c>
      <c r="J107" s="28">
        <f t="shared" si="2"/>
        <v>0</v>
      </c>
    </row>
    <row r="108" spans="2:10" s="18" customFormat="1" ht="90.75" customHeight="1">
      <c r="B108" s="30" t="s">
        <v>120</v>
      </c>
      <c r="C108" s="31" t="s">
        <v>24</v>
      </c>
      <c r="D108" s="31" t="s">
        <v>63</v>
      </c>
      <c r="E108" s="32">
        <v>111542</v>
      </c>
      <c r="F108" s="33" t="s">
        <v>77</v>
      </c>
      <c r="G108" s="34" t="s">
        <v>153</v>
      </c>
      <c r="H108" s="40" t="s">
        <v>154</v>
      </c>
      <c r="I108" s="21">
        <v>111542</v>
      </c>
      <c r="J108" s="28">
        <f t="shared" si="2"/>
        <v>0</v>
      </c>
    </row>
    <row r="109" spans="2:10" s="18" customFormat="1" ht="75.75" customHeight="1">
      <c r="B109" s="30" t="s">
        <v>120</v>
      </c>
      <c r="C109" s="31" t="s">
        <v>24</v>
      </c>
      <c r="D109" s="31" t="s">
        <v>63</v>
      </c>
      <c r="E109" s="32">
        <f>840656.8+735000</f>
        <v>1575656.8</v>
      </c>
      <c r="F109" s="33" t="s">
        <v>77</v>
      </c>
      <c r="G109" s="34" t="s">
        <v>114</v>
      </c>
      <c r="H109" s="36" t="s">
        <v>84</v>
      </c>
      <c r="I109" s="21">
        <v>1575656.8</v>
      </c>
      <c r="J109" s="28">
        <f t="shared" si="2"/>
        <v>0</v>
      </c>
    </row>
    <row r="110" spans="2:10" ht="133.5" customHeight="1">
      <c r="B110" s="84" t="s">
        <v>131</v>
      </c>
      <c r="C110" s="85"/>
      <c r="D110" s="85"/>
      <c r="E110" s="16">
        <f>SUM(E111)</f>
        <v>2420000</v>
      </c>
      <c r="F110" s="13"/>
      <c r="G110" s="14"/>
      <c r="H110" s="10"/>
      <c r="I110" s="26">
        <v>2420000</v>
      </c>
      <c r="J110" s="28">
        <f t="shared" si="2"/>
        <v>0</v>
      </c>
    </row>
    <row r="111" spans="2:10" s="18" customFormat="1" ht="117.75" customHeight="1">
      <c r="B111" s="30" t="s">
        <v>120</v>
      </c>
      <c r="C111" s="31" t="s">
        <v>30</v>
      </c>
      <c r="D111" s="31" t="s">
        <v>29</v>
      </c>
      <c r="E111" s="32">
        <v>2420000</v>
      </c>
      <c r="F111" s="33" t="s">
        <v>77</v>
      </c>
      <c r="G111" s="34" t="s">
        <v>114</v>
      </c>
      <c r="H111" s="36" t="s">
        <v>84</v>
      </c>
      <c r="I111" s="18">
        <v>2420000</v>
      </c>
      <c r="J111" s="28">
        <f t="shared" si="2"/>
        <v>0</v>
      </c>
    </row>
    <row r="112" spans="2:10" s="1" customFormat="1" ht="57" customHeight="1">
      <c r="B112" s="95" t="s">
        <v>132</v>
      </c>
      <c r="C112" s="96"/>
      <c r="D112" s="96"/>
      <c r="E112" s="16">
        <f>SUM(E113:E117)</f>
        <v>430000</v>
      </c>
      <c r="F112" s="13"/>
      <c r="G112" s="25"/>
      <c r="H112" s="25"/>
      <c r="I112" s="26">
        <v>430000</v>
      </c>
      <c r="J112" s="28">
        <f t="shared" si="2"/>
        <v>0</v>
      </c>
    </row>
    <row r="113" spans="2:10" s="18" customFormat="1" ht="59.25" customHeight="1">
      <c r="B113" s="30" t="s">
        <v>133</v>
      </c>
      <c r="C113" s="31">
        <v>33100000</v>
      </c>
      <c r="D113" s="31" t="s">
        <v>28</v>
      </c>
      <c r="E113" s="32">
        <v>10000</v>
      </c>
      <c r="F113" s="33" t="s">
        <v>56</v>
      </c>
      <c r="G113" s="34" t="s">
        <v>114</v>
      </c>
      <c r="H113" s="35"/>
      <c r="I113" s="18">
        <v>10000</v>
      </c>
      <c r="J113" s="28">
        <f t="shared" si="2"/>
        <v>0</v>
      </c>
    </row>
    <row r="114" spans="2:10" s="18" customFormat="1" ht="33.75">
      <c r="B114" s="30" t="s">
        <v>133</v>
      </c>
      <c r="C114" s="37">
        <v>33600000</v>
      </c>
      <c r="D114" s="37" t="s">
        <v>29</v>
      </c>
      <c r="E114" s="32">
        <v>320000</v>
      </c>
      <c r="F114" s="38" t="s">
        <v>56</v>
      </c>
      <c r="G114" s="34" t="s">
        <v>114</v>
      </c>
      <c r="H114" s="39"/>
      <c r="I114" s="18">
        <v>320000</v>
      </c>
      <c r="J114" s="28">
        <f t="shared" si="2"/>
        <v>0</v>
      </c>
    </row>
    <row r="115" spans="2:10" s="18" customFormat="1" ht="69" customHeight="1">
      <c r="B115" s="30" t="s">
        <v>120</v>
      </c>
      <c r="C115" s="45" t="s">
        <v>24</v>
      </c>
      <c r="D115" s="31" t="s">
        <v>63</v>
      </c>
      <c r="E115" s="32">
        <f>16450</f>
        <v>16450</v>
      </c>
      <c r="F115" s="33" t="s">
        <v>53</v>
      </c>
      <c r="G115" s="34" t="s">
        <v>114</v>
      </c>
      <c r="H115" s="36" t="s">
        <v>84</v>
      </c>
      <c r="I115" s="18">
        <v>16450</v>
      </c>
      <c r="J115" s="28">
        <f t="shared" si="2"/>
        <v>0</v>
      </c>
    </row>
    <row r="116" spans="2:10" s="18" customFormat="1" ht="51" customHeight="1">
      <c r="B116" s="30" t="s">
        <v>120</v>
      </c>
      <c r="C116" s="45" t="s">
        <v>24</v>
      </c>
      <c r="D116" s="31" t="s">
        <v>63</v>
      </c>
      <c r="E116" s="32">
        <f>100000-E115-E117</f>
        <v>75325</v>
      </c>
      <c r="F116" s="33" t="s">
        <v>56</v>
      </c>
      <c r="G116" s="34" t="s">
        <v>114</v>
      </c>
      <c r="H116" s="40"/>
      <c r="I116" s="18">
        <v>75325</v>
      </c>
      <c r="J116" s="28">
        <f t="shared" si="2"/>
        <v>0</v>
      </c>
    </row>
    <row r="117" spans="2:10" s="18" customFormat="1" ht="103.5" customHeight="1">
      <c r="B117" s="30" t="s">
        <v>120</v>
      </c>
      <c r="C117" s="45" t="s">
        <v>155</v>
      </c>
      <c r="D117" s="31" t="s">
        <v>63</v>
      </c>
      <c r="E117" s="82">
        <v>8225</v>
      </c>
      <c r="F117" s="33" t="s">
        <v>53</v>
      </c>
      <c r="G117" s="34" t="s">
        <v>153</v>
      </c>
      <c r="H117" s="40" t="s">
        <v>146</v>
      </c>
      <c r="I117" s="18">
        <v>8225</v>
      </c>
      <c r="J117" s="28">
        <f t="shared" si="2"/>
        <v>0</v>
      </c>
    </row>
    <row r="118" spans="2:10" ht="59.25" customHeight="1">
      <c r="B118" s="84" t="s">
        <v>134</v>
      </c>
      <c r="C118" s="85"/>
      <c r="D118" s="85"/>
      <c r="E118" s="16">
        <f>SUM(E119:E122)</f>
        <v>1240000</v>
      </c>
      <c r="F118" s="13"/>
      <c r="G118" s="14"/>
      <c r="H118" s="10"/>
      <c r="I118" s="26">
        <v>1240000</v>
      </c>
      <c r="J118" s="28">
        <f t="shared" si="2"/>
        <v>0</v>
      </c>
    </row>
    <row r="119" spans="2:10" s="18" customFormat="1" ht="42.75" customHeight="1">
      <c r="B119" s="46" t="s">
        <v>120</v>
      </c>
      <c r="C119" s="31" t="s">
        <v>25</v>
      </c>
      <c r="D119" s="31" t="s">
        <v>61</v>
      </c>
      <c r="E119" s="32">
        <f>1500000-170000-260000-90000-86410</f>
        <v>893590</v>
      </c>
      <c r="F119" s="33" t="s">
        <v>56</v>
      </c>
      <c r="G119" s="34" t="s">
        <v>114</v>
      </c>
      <c r="H119" s="47"/>
      <c r="I119" s="21">
        <v>893590</v>
      </c>
      <c r="J119" s="28">
        <f t="shared" si="2"/>
        <v>0</v>
      </c>
    </row>
    <row r="120" spans="2:10" s="18" customFormat="1" ht="42.75" customHeight="1">
      <c r="B120" s="46" t="s">
        <v>137</v>
      </c>
      <c r="C120" s="31" t="s">
        <v>135</v>
      </c>
      <c r="D120" s="31" t="s">
        <v>136</v>
      </c>
      <c r="E120" s="32">
        <v>170000</v>
      </c>
      <c r="F120" s="33" t="s">
        <v>56</v>
      </c>
      <c r="G120" s="34" t="s">
        <v>114</v>
      </c>
      <c r="H120" s="47"/>
      <c r="I120" s="18">
        <v>170000</v>
      </c>
      <c r="J120" s="28">
        <f t="shared" si="2"/>
        <v>0</v>
      </c>
    </row>
    <row r="121" spans="2:10" s="18" customFormat="1" ht="82.5" customHeight="1">
      <c r="B121" s="30" t="s">
        <v>120</v>
      </c>
      <c r="C121" s="31" t="s">
        <v>156</v>
      </c>
      <c r="D121" s="31" t="s">
        <v>157</v>
      </c>
      <c r="E121" s="32">
        <v>90000</v>
      </c>
      <c r="F121" s="33" t="s">
        <v>53</v>
      </c>
      <c r="G121" s="34" t="s">
        <v>153</v>
      </c>
      <c r="H121" s="36" t="s">
        <v>84</v>
      </c>
      <c r="I121" s="18">
        <v>90000</v>
      </c>
      <c r="J121" s="28">
        <f t="shared" si="2"/>
        <v>0</v>
      </c>
    </row>
    <row r="122" spans="2:10" s="19" customFormat="1" ht="81.75" customHeight="1">
      <c r="B122" s="78" t="s">
        <v>120</v>
      </c>
      <c r="C122" s="41" t="s">
        <v>25</v>
      </c>
      <c r="D122" s="41" t="s">
        <v>61</v>
      </c>
      <c r="E122" s="79">
        <v>86410</v>
      </c>
      <c r="F122" s="42" t="s">
        <v>53</v>
      </c>
      <c r="G122" s="80" t="s">
        <v>151</v>
      </c>
      <c r="H122" s="81" t="s">
        <v>84</v>
      </c>
      <c r="I122" s="19">
        <v>86410</v>
      </c>
      <c r="J122" s="28">
        <f t="shared" si="2"/>
        <v>0</v>
      </c>
    </row>
    <row r="123" spans="2:10" ht="70.5" customHeight="1">
      <c r="B123" s="84" t="s">
        <v>138</v>
      </c>
      <c r="C123" s="85"/>
      <c r="D123" s="85"/>
      <c r="E123" s="16">
        <f>SUM(E124:E127)</f>
        <v>835000</v>
      </c>
      <c r="F123" s="13"/>
      <c r="G123" s="14"/>
      <c r="H123" s="10"/>
      <c r="I123" s="26">
        <v>835000</v>
      </c>
      <c r="J123" s="28">
        <f t="shared" si="2"/>
        <v>0</v>
      </c>
    </row>
    <row r="124" spans="2:10" s="18" customFormat="1" ht="33.75">
      <c r="B124" s="46" t="s">
        <v>120</v>
      </c>
      <c r="C124" s="31" t="s">
        <v>30</v>
      </c>
      <c r="D124" s="31" t="s">
        <v>29</v>
      </c>
      <c r="E124" s="32">
        <f>300000+300000</f>
        <v>600000</v>
      </c>
      <c r="F124" s="31" t="s">
        <v>56</v>
      </c>
      <c r="G124" s="34" t="s">
        <v>114</v>
      </c>
      <c r="H124" s="31"/>
      <c r="I124" s="18">
        <v>600000</v>
      </c>
      <c r="J124" s="28">
        <f t="shared" si="2"/>
        <v>0</v>
      </c>
    </row>
    <row r="125" spans="2:10" s="18" customFormat="1" ht="33.75">
      <c r="B125" s="46" t="s">
        <v>120</v>
      </c>
      <c r="C125" s="31" t="s">
        <v>7</v>
      </c>
      <c r="D125" s="31" t="s">
        <v>28</v>
      </c>
      <c r="E125" s="32">
        <f>150000</f>
        <v>150000</v>
      </c>
      <c r="F125" s="31" t="s">
        <v>56</v>
      </c>
      <c r="G125" s="34" t="s">
        <v>114</v>
      </c>
      <c r="H125" s="31"/>
      <c r="I125" s="18">
        <v>150000</v>
      </c>
      <c r="J125" s="28">
        <f t="shared" si="2"/>
        <v>0</v>
      </c>
    </row>
    <row r="126" spans="2:10" s="18" customFormat="1" ht="25.5">
      <c r="B126" s="46" t="s">
        <v>120</v>
      </c>
      <c r="C126" s="31" t="s">
        <v>7</v>
      </c>
      <c r="D126" s="31" t="s">
        <v>28</v>
      </c>
      <c r="E126" s="32">
        <v>45000</v>
      </c>
      <c r="F126" s="31" t="s">
        <v>144</v>
      </c>
      <c r="G126" s="34" t="s">
        <v>160</v>
      </c>
      <c r="H126" s="31"/>
      <c r="I126" s="18">
        <v>45000</v>
      </c>
      <c r="J126" s="28">
        <f t="shared" si="2"/>
        <v>0</v>
      </c>
    </row>
    <row r="127" spans="2:10" ht="33.75">
      <c r="B127" s="46" t="s">
        <v>120</v>
      </c>
      <c r="C127" s="31" t="s">
        <v>14</v>
      </c>
      <c r="D127" s="31" t="s">
        <v>32</v>
      </c>
      <c r="E127" s="32">
        <v>40000</v>
      </c>
      <c r="F127" s="31" t="s">
        <v>52</v>
      </c>
      <c r="G127" s="34" t="s">
        <v>163</v>
      </c>
      <c r="H127" s="31"/>
      <c r="I127">
        <v>40000</v>
      </c>
      <c r="J127" s="28">
        <f t="shared" si="2"/>
        <v>0</v>
      </c>
    </row>
  </sheetData>
  <autoFilter ref="A8:H127"/>
  <mergeCells count="20">
    <mergeCell ref="B118:D118"/>
    <mergeCell ref="B123:D123"/>
    <mergeCell ref="B94:D94"/>
    <mergeCell ref="B97:D97"/>
    <mergeCell ref="B103:D103"/>
    <mergeCell ref="B105:D105"/>
    <mergeCell ref="B110:D110"/>
    <mergeCell ref="B112:D112"/>
    <mergeCell ref="B90:D90"/>
    <mergeCell ref="B2:H2"/>
    <mergeCell ref="B3:H3"/>
    <mergeCell ref="B4:E4"/>
    <mergeCell ref="F4:H4"/>
    <mergeCell ref="B5:E5"/>
    <mergeCell ref="F5:H5"/>
    <mergeCell ref="B6:F6"/>
    <mergeCell ref="B9:D9"/>
    <mergeCell ref="B73:D73"/>
    <mergeCell ref="B77:D77"/>
    <mergeCell ref="B84:D84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1" zoomScaleNormal="100" zoomScaleSheetLayoutView="80" workbookViewId="0">
      <selection activeCell="F104" sqref="F104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53" t="s">
        <v>120</v>
      </c>
      <c r="C27" s="55">
        <v>50100000</v>
      </c>
      <c r="D27" s="55" t="s">
        <v>36</v>
      </c>
      <c r="E27" s="56">
        <f>20000+15000</f>
        <v>35000</v>
      </c>
      <c r="F27" s="57" t="s">
        <v>53</v>
      </c>
      <c r="G27" s="58" t="s">
        <v>114</v>
      </c>
      <c r="H27" s="6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56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53" t="s">
        <v>120</v>
      </c>
      <c r="C49" s="55" t="s">
        <v>37</v>
      </c>
      <c r="D49" s="55" t="s">
        <v>55</v>
      </c>
      <c r="E49" s="56">
        <f>3950+6000</f>
        <v>9950</v>
      </c>
      <c r="F49" s="57" t="s">
        <v>56</v>
      </c>
      <c r="G49" s="58" t="s">
        <v>114</v>
      </c>
      <c r="H49" s="58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30" t="s">
        <v>120</v>
      </c>
      <c r="C70" s="31" t="s">
        <v>30</v>
      </c>
      <c r="D70" s="31" t="s">
        <v>29</v>
      </c>
      <c r="E70" s="32">
        <v>200000</v>
      </c>
      <c r="F70" s="33" t="s">
        <v>56</v>
      </c>
      <c r="G70" s="34" t="s">
        <v>114</v>
      </c>
      <c r="H70" s="35"/>
    </row>
    <row r="71" spans="2:14" s="18" customFormat="1" ht="45" customHeight="1">
      <c r="B71" s="30" t="s">
        <v>120</v>
      </c>
      <c r="C71" s="31" t="s">
        <v>75</v>
      </c>
      <c r="D71" s="31" t="s">
        <v>76</v>
      </c>
      <c r="E71" s="32">
        <v>620000</v>
      </c>
      <c r="F71" s="33" t="s">
        <v>56</v>
      </c>
      <c r="G71" s="34" t="s">
        <v>114</v>
      </c>
      <c r="H71" s="3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>
        <f>E85-3150000</f>
        <v>0</v>
      </c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53" t="s">
        <v>120</v>
      </c>
      <c r="C94" s="59" t="s">
        <v>24</v>
      </c>
      <c r="D94" s="55" t="s">
        <v>63</v>
      </c>
      <c r="E94" s="56">
        <f>105000-5000</f>
        <v>100000</v>
      </c>
      <c r="F94" s="57" t="s">
        <v>56</v>
      </c>
      <c r="G94" s="58" t="s">
        <v>114</v>
      </c>
      <c r="H94" s="62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64" t="s">
        <v>120</v>
      </c>
      <c r="C96" s="55" t="s">
        <v>25</v>
      </c>
      <c r="D96" s="55" t="s">
        <v>61</v>
      </c>
      <c r="E96" s="56">
        <f>1500000-170000-260000</f>
        <v>1070000</v>
      </c>
      <c r="F96" s="57" t="s">
        <v>56</v>
      </c>
      <c r="G96" s="58" t="s">
        <v>114</v>
      </c>
      <c r="H96" s="65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64" t="s">
        <v>120</v>
      </c>
      <c r="C99" s="55" t="s">
        <v>30</v>
      </c>
      <c r="D99" s="55" t="s">
        <v>29</v>
      </c>
      <c r="E99" s="56">
        <f>300000+300000</f>
        <v>600000</v>
      </c>
      <c r="F99" s="55" t="s">
        <v>56</v>
      </c>
      <c r="G99" s="58" t="s">
        <v>114</v>
      </c>
      <c r="H99" s="55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0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03"/>
  <sheetViews>
    <sheetView topLeftCell="B97" zoomScaleNormal="100" zoomScaleSheetLayoutView="80" workbookViewId="0">
      <selection activeCell="D108" sqref="D10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E9+E61+E63+E68+E73+E76+E78+E83+E85+E89+E91+E95+E98</f>
        <v>42897180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SUM(E62:E62)</f>
        <v>1700000</v>
      </c>
      <c r="F61" s="13"/>
      <c r="G61" s="14"/>
      <c r="H61" s="10"/>
      <c r="I61" s="26"/>
      <c r="J61" s="27"/>
    </row>
    <row r="62" spans="2:10" s="18" customFormat="1" ht="59.25" customHeight="1">
      <c r="B62" s="30" t="s">
        <v>120</v>
      </c>
      <c r="C62" s="31" t="s">
        <v>24</v>
      </c>
      <c r="D62" s="31" t="s">
        <v>63</v>
      </c>
      <c r="E62" s="32">
        <v>1700000</v>
      </c>
      <c r="F62" s="33" t="s">
        <v>56</v>
      </c>
      <c r="G62" s="34" t="s">
        <v>114</v>
      </c>
      <c r="H62" s="35"/>
    </row>
    <row r="63" spans="2:10" s="1" customFormat="1" ht="31.5" customHeight="1">
      <c r="B63" s="84" t="s">
        <v>123</v>
      </c>
      <c r="C63" s="85"/>
      <c r="D63" s="85"/>
      <c r="E63" s="16">
        <f>SUM(E64:E67)</f>
        <v>22250000</v>
      </c>
      <c r="F63" s="13"/>
      <c r="G63" s="9"/>
      <c r="H63" s="10"/>
      <c r="I63" s="26"/>
      <c r="J63" s="27"/>
    </row>
    <row r="64" spans="2:10" s="18" customFormat="1" ht="75.75" customHeight="1">
      <c r="B64" s="30" t="s">
        <v>120</v>
      </c>
      <c r="C64" s="31" t="s">
        <v>7</v>
      </c>
      <c r="D64" s="31" t="s">
        <v>49</v>
      </c>
      <c r="E64" s="32">
        <f>250000-100000</f>
        <v>150000</v>
      </c>
      <c r="F64" s="33" t="s">
        <v>53</v>
      </c>
      <c r="G64" s="34" t="s">
        <v>114</v>
      </c>
      <c r="H64" s="36" t="s">
        <v>83</v>
      </c>
    </row>
    <row r="65" spans="2:14" s="18" customFormat="1" ht="75.75" customHeight="1">
      <c r="B65" s="30" t="s">
        <v>118</v>
      </c>
      <c r="C65" s="31" t="s">
        <v>7</v>
      </c>
      <c r="D65" s="31" t="s">
        <v>49</v>
      </c>
      <c r="E65" s="32">
        <v>100000</v>
      </c>
      <c r="F65" s="33" t="s">
        <v>53</v>
      </c>
      <c r="G65" s="34" t="s">
        <v>124</v>
      </c>
      <c r="H65" s="36" t="s">
        <v>83</v>
      </c>
    </row>
    <row r="66" spans="2:14" s="18" customFormat="1" ht="121.5" customHeight="1">
      <c r="B66" s="30" t="s">
        <v>120</v>
      </c>
      <c r="C66" s="31">
        <v>33600000</v>
      </c>
      <c r="D66" s="31" t="s">
        <v>29</v>
      </c>
      <c r="E66" s="32">
        <v>16000000</v>
      </c>
      <c r="F66" s="33" t="s">
        <v>56</v>
      </c>
      <c r="G66" s="34" t="s">
        <v>114</v>
      </c>
      <c r="H66" s="35"/>
      <c r="J66" s="29"/>
      <c r="K66" s="29"/>
      <c r="L66" s="29"/>
      <c r="M66" s="29"/>
      <c r="N66" s="29"/>
    </row>
    <row r="67" spans="2:14" s="18" customFormat="1" ht="87.75" customHeight="1">
      <c r="B67" s="30" t="s">
        <v>120</v>
      </c>
      <c r="C67" s="31" t="s">
        <v>30</v>
      </c>
      <c r="D67" s="31" t="s">
        <v>29</v>
      </c>
      <c r="E67" s="32">
        <v>6000000</v>
      </c>
      <c r="F67" s="33" t="s">
        <v>53</v>
      </c>
      <c r="G67" s="34" t="s">
        <v>114</v>
      </c>
      <c r="H67" s="36" t="s">
        <v>84</v>
      </c>
      <c r="J67" s="21"/>
      <c r="K67" s="21"/>
      <c r="N67" s="21"/>
    </row>
    <row r="68" spans="2:14" s="1" customFormat="1" ht="60" customHeight="1">
      <c r="B68" s="84" t="s">
        <v>125</v>
      </c>
      <c r="C68" s="85"/>
      <c r="D68" s="85"/>
      <c r="E68" s="16">
        <f>SUM(E69:E72)</f>
        <v>1700000</v>
      </c>
      <c r="F68" s="13"/>
      <c r="G68" s="14"/>
      <c r="H68" s="10"/>
      <c r="I68" s="26"/>
      <c r="J68" s="27"/>
    </row>
    <row r="69" spans="2:14" s="18" customFormat="1" ht="36.75" customHeight="1">
      <c r="B69" s="30" t="s">
        <v>120</v>
      </c>
      <c r="C69" s="31" t="s">
        <v>7</v>
      </c>
      <c r="D69" s="31" t="s">
        <v>28</v>
      </c>
      <c r="E69" s="32">
        <v>50000</v>
      </c>
      <c r="F69" s="33" t="s">
        <v>56</v>
      </c>
      <c r="G69" s="34" t="s">
        <v>114</v>
      </c>
      <c r="H69" s="35"/>
    </row>
    <row r="70" spans="2:14" s="18" customFormat="1" ht="30.75" customHeight="1">
      <c r="B70" s="53" t="s">
        <v>120</v>
      </c>
      <c r="C70" s="55" t="s">
        <v>30</v>
      </c>
      <c r="D70" s="55" t="s">
        <v>29</v>
      </c>
      <c r="E70" s="56">
        <f>200000-92300</f>
        <v>107700</v>
      </c>
      <c r="F70" s="57" t="s">
        <v>56</v>
      </c>
      <c r="G70" s="58" t="s">
        <v>114</v>
      </c>
      <c r="H70" s="67"/>
    </row>
    <row r="71" spans="2:14" s="18" customFormat="1" ht="45" customHeight="1">
      <c r="B71" s="53" t="s">
        <v>120</v>
      </c>
      <c r="C71" s="55" t="s">
        <v>75</v>
      </c>
      <c r="D71" s="55" t="s">
        <v>76</v>
      </c>
      <c r="E71" s="56">
        <f>620000+92300</f>
        <v>712300</v>
      </c>
      <c r="F71" s="57" t="s">
        <v>56</v>
      </c>
      <c r="G71" s="58" t="s">
        <v>114</v>
      </c>
      <c r="H71" s="66"/>
    </row>
    <row r="72" spans="2:14" s="18" customFormat="1" ht="60" customHeight="1">
      <c r="B72" s="30" t="s">
        <v>120</v>
      </c>
      <c r="C72" s="31" t="s">
        <v>24</v>
      </c>
      <c r="D72" s="31" t="s">
        <v>63</v>
      </c>
      <c r="E72" s="32">
        <v>830000</v>
      </c>
      <c r="F72" s="33" t="s">
        <v>56</v>
      </c>
      <c r="G72" s="34" t="s">
        <v>114</v>
      </c>
      <c r="H72" s="36"/>
      <c r="J72" s="21"/>
    </row>
    <row r="73" spans="2:14" s="1" customFormat="1" ht="65.25" customHeight="1">
      <c r="B73" s="84" t="s">
        <v>126</v>
      </c>
      <c r="C73" s="85"/>
      <c r="D73" s="85"/>
      <c r="E73" s="16">
        <f>SUM(E74:E75)</f>
        <v>1700000</v>
      </c>
      <c r="F73" s="13"/>
      <c r="G73" s="14"/>
      <c r="H73" s="10"/>
      <c r="I73" s="26"/>
      <c r="J73" s="27"/>
    </row>
    <row r="74" spans="2:14" s="18" customFormat="1" ht="33.75">
      <c r="B74" s="30" t="s">
        <v>120</v>
      </c>
      <c r="C74" s="37" t="s">
        <v>25</v>
      </c>
      <c r="D74" s="37" t="s">
        <v>61</v>
      </c>
      <c r="E74" s="32">
        <v>100000</v>
      </c>
      <c r="F74" s="38" t="s">
        <v>56</v>
      </c>
      <c r="G74" s="34" t="s">
        <v>114</v>
      </c>
      <c r="H74" s="39"/>
    </row>
    <row r="75" spans="2:14" s="18" customFormat="1" ht="60.75" customHeight="1">
      <c r="B75" s="30" t="s">
        <v>120</v>
      </c>
      <c r="C75" s="31">
        <v>85100000</v>
      </c>
      <c r="D75" s="31" t="s">
        <v>63</v>
      </c>
      <c r="E75" s="32">
        <v>1600000</v>
      </c>
      <c r="F75" s="33" t="s">
        <v>56</v>
      </c>
      <c r="G75" s="34" t="s">
        <v>114</v>
      </c>
      <c r="H75" s="40"/>
    </row>
    <row r="76" spans="2:14" s="1" customFormat="1" ht="61.5" customHeight="1">
      <c r="B76" s="84" t="s">
        <v>127</v>
      </c>
      <c r="C76" s="85"/>
      <c r="D76" s="85"/>
      <c r="E76" s="16">
        <f>SUM(E77:E77)</f>
        <v>170000</v>
      </c>
      <c r="F76" s="13"/>
      <c r="G76" s="14"/>
      <c r="H76" s="10"/>
      <c r="I76" s="26"/>
      <c r="J76" s="27"/>
    </row>
    <row r="77" spans="2:14" s="18" customFormat="1" ht="75" customHeight="1">
      <c r="B77" s="30" t="s">
        <v>120</v>
      </c>
      <c r="C77" s="31" t="s">
        <v>24</v>
      </c>
      <c r="D77" s="31" t="s">
        <v>63</v>
      </c>
      <c r="E77" s="32">
        <v>170000</v>
      </c>
      <c r="F77" s="33" t="s">
        <v>56</v>
      </c>
      <c r="G77" s="34" t="s">
        <v>114</v>
      </c>
      <c r="H77" s="36"/>
    </row>
    <row r="78" spans="2:14" s="1" customFormat="1" ht="65.25" customHeight="1">
      <c r="B78" s="95" t="s">
        <v>128</v>
      </c>
      <c r="C78" s="96"/>
      <c r="D78" s="96"/>
      <c r="E78" s="16">
        <f>SUM(E79:E82)</f>
        <v>1050000</v>
      </c>
      <c r="F78" s="13"/>
      <c r="G78" s="14"/>
      <c r="H78" s="25"/>
      <c r="I78" s="26"/>
      <c r="J78" s="27"/>
    </row>
    <row r="79" spans="2:14" s="18" customFormat="1" ht="49.5" customHeight="1">
      <c r="B79" s="30" t="s">
        <v>120</v>
      </c>
      <c r="C79" s="31" t="s">
        <v>14</v>
      </c>
      <c r="D79" s="31" t="s">
        <v>15</v>
      </c>
      <c r="E79" s="32">
        <v>25000</v>
      </c>
      <c r="F79" s="33" t="s">
        <v>52</v>
      </c>
      <c r="G79" s="34" t="s">
        <v>114</v>
      </c>
      <c r="H79" s="35"/>
    </row>
    <row r="80" spans="2:14" s="18" customFormat="1" ht="33.75">
      <c r="B80" s="30" t="s">
        <v>120</v>
      </c>
      <c r="C80" s="41">
        <v>33100000</v>
      </c>
      <c r="D80" s="41" t="s">
        <v>28</v>
      </c>
      <c r="E80" s="32">
        <v>410000</v>
      </c>
      <c r="F80" s="42" t="s">
        <v>56</v>
      </c>
      <c r="G80" s="34" t="s">
        <v>114</v>
      </c>
      <c r="H80" s="43"/>
    </row>
    <row r="81" spans="2:10" s="18" customFormat="1" ht="60.75" customHeight="1">
      <c r="B81" s="30" t="s">
        <v>120</v>
      </c>
      <c r="C81" s="31" t="s">
        <v>51</v>
      </c>
      <c r="D81" s="31" t="s">
        <v>36</v>
      </c>
      <c r="E81" s="32">
        <v>15000</v>
      </c>
      <c r="F81" s="33" t="s">
        <v>56</v>
      </c>
      <c r="G81" s="34" t="s">
        <v>114</v>
      </c>
      <c r="H81" s="35"/>
    </row>
    <row r="82" spans="2:10" s="18" customFormat="1" ht="65.25" customHeight="1">
      <c r="B82" s="30" t="s">
        <v>120</v>
      </c>
      <c r="C82" s="31">
        <v>85100000</v>
      </c>
      <c r="D82" s="31" t="s">
        <v>63</v>
      </c>
      <c r="E82" s="32">
        <v>600000</v>
      </c>
      <c r="F82" s="33" t="s">
        <v>56</v>
      </c>
      <c r="G82" s="34" t="s">
        <v>114</v>
      </c>
      <c r="H82" s="36"/>
    </row>
    <row r="83" spans="2:10" s="1" customFormat="1" ht="80.25" customHeight="1">
      <c r="B83" s="84" t="s">
        <v>129</v>
      </c>
      <c r="C83" s="85"/>
      <c r="D83" s="85"/>
      <c r="E83" s="16">
        <f>SUM(E84:E84)</f>
        <v>1250000</v>
      </c>
      <c r="F83" s="13"/>
      <c r="G83" s="14"/>
      <c r="H83" s="10"/>
      <c r="I83" s="26"/>
      <c r="J83" s="27"/>
    </row>
    <row r="84" spans="2:10" s="18" customFormat="1" ht="84.75" customHeight="1">
      <c r="B84" s="30" t="s">
        <v>120</v>
      </c>
      <c r="C84" s="31" t="s">
        <v>30</v>
      </c>
      <c r="D84" s="31" t="s">
        <v>29</v>
      </c>
      <c r="E84" s="32">
        <v>1250000</v>
      </c>
      <c r="F84" s="33" t="s">
        <v>56</v>
      </c>
      <c r="G84" s="34" t="s">
        <v>114</v>
      </c>
      <c r="H84" s="44"/>
    </row>
    <row r="85" spans="2:10" s="1" customFormat="1" ht="57.75" customHeight="1">
      <c r="B85" s="93" t="s">
        <v>130</v>
      </c>
      <c r="C85" s="94"/>
      <c r="D85" s="94"/>
      <c r="E85" s="22">
        <f>SUM(E86:E88)</f>
        <v>3150000</v>
      </c>
      <c r="F85" s="23"/>
      <c r="G85" s="23"/>
      <c r="H85" s="24"/>
      <c r="I85" s="26"/>
      <c r="J85" s="27"/>
    </row>
    <row r="86" spans="2:10" s="18" customFormat="1" ht="29.25" customHeight="1">
      <c r="B86" s="30" t="s">
        <v>120</v>
      </c>
      <c r="C86" s="45">
        <v>33100000</v>
      </c>
      <c r="D86" s="31" t="s">
        <v>8</v>
      </c>
      <c r="E86" s="32">
        <v>100000</v>
      </c>
      <c r="F86" s="33" t="s">
        <v>56</v>
      </c>
      <c r="G86" s="34" t="s">
        <v>114</v>
      </c>
      <c r="H86" s="34"/>
    </row>
    <row r="87" spans="2:10" s="18" customFormat="1" ht="33.75">
      <c r="B87" s="30" t="s">
        <v>120</v>
      </c>
      <c r="C87" s="45" t="s">
        <v>30</v>
      </c>
      <c r="D87" s="31" t="s">
        <v>9</v>
      </c>
      <c r="E87" s="32">
        <f>2500000-340000</f>
        <v>2160000</v>
      </c>
      <c r="F87" s="33" t="s">
        <v>56</v>
      </c>
      <c r="G87" s="34" t="s">
        <v>114</v>
      </c>
      <c r="H87" s="34"/>
    </row>
    <row r="88" spans="2:10" s="18" customFormat="1" ht="42.75" customHeight="1">
      <c r="B88" s="30" t="s">
        <v>120</v>
      </c>
      <c r="C88" s="31" t="s">
        <v>24</v>
      </c>
      <c r="D88" s="31" t="s">
        <v>63</v>
      </c>
      <c r="E88" s="32">
        <v>890000</v>
      </c>
      <c r="F88" s="33" t="s">
        <v>56</v>
      </c>
      <c r="G88" s="34" t="s">
        <v>114</v>
      </c>
      <c r="H88" s="40"/>
      <c r="I88" s="21"/>
    </row>
    <row r="89" spans="2:10" ht="133.5" customHeight="1">
      <c r="B89" s="84" t="s">
        <v>131</v>
      </c>
      <c r="C89" s="85"/>
      <c r="D89" s="85"/>
      <c r="E89" s="16">
        <f>SUM(E90)</f>
        <v>2400000</v>
      </c>
      <c r="F89" s="13"/>
      <c r="G89" s="14"/>
      <c r="H89" s="10"/>
      <c r="I89" s="26"/>
      <c r="J89" s="28"/>
    </row>
    <row r="90" spans="2:10" s="18" customFormat="1" ht="117.75" customHeight="1">
      <c r="B90" s="30" t="s">
        <v>120</v>
      </c>
      <c r="C90" s="31" t="s">
        <v>30</v>
      </c>
      <c r="D90" s="31" t="s">
        <v>29</v>
      </c>
      <c r="E90" s="32">
        <v>2400000</v>
      </c>
      <c r="F90" s="33" t="s">
        <v>56</v>
      </c>
      <c r="G90" s="34" t="s">
        <v>114</v>
      </c>
      <c r="H90" s="36"/>
    </row>
    <row r="91" spans="2:10" s="1" customFormat="1" ht="57" customHeight="1">
      <c r="B91" s="95" t="s">
        <v>132</v>
      </c>
      <c r="C91" s="96"/>
      <c r="D91" s="96"/>
      <c r="E91" s="16">
        <f>SUM(E92:E94)</f>
        <v>430000</v>
      </c>
      <c r="F91" s="13"/>
      <c r="G91" s="25"/>
      <c r="H91" s="25"/>
      <c r="I91" s="26"/>
      <c r="J91" s="27"/>
    </row>
    <row r="92" spans="2:10" s="18" customFormat="1" ht="59.25" customHeight="1">
      <c r="B92" s="30" t="s">
        <v>133</v>
      </c>
      <c r="C92" s="31">
        <v>33100000</v>
      </c>
      <c r="D92" s="31" t="s">
        <v>28</v>
      </c>
      <c r="E92" s="32">
        <v>10000</v>
      </c>
      <c r="F92" s="33" t="s">
        <v>56</v>
      </c>
      <c r="G92" s="34" t="s">
        <v>114</v>
      </c>
      <c r="H92" s="35"/>
    </row>
    <row r="93" spans="2:10" s="18" customFormat="1" ht="33.75">
      <c r="B93" s="30" t="s">
        <v>133</v>
      </c>
      <c r="C93" s="37">
        <v>33600000</v>
      </c>
      <c r="D93" s="37" t="s">
        <v>29</v>
      </c>
      <c r="E93" s="32">
        <v>320000</v>
      </c>
      <c r="F93" s="38" t="s">
        <v>56</v>
      </c>
      <c r="G93" s="34" t="s">
        <v>114</v>
      </c>
      <c r="H93" s="39"/>
    </row>
    <row r="94" spans="2:10" s="18" customFormat="1" ht="51" customHeight="1">
      <c r="B94" s="30" t="s">
        <v>120</v>
      </c>
      <c r="C94" s="45" t="s">
        <v>24</v>
      </c>
      <c r="D94" s="31" t="s">
        <v>63</v>
      </c>
      <c r="E94" s="32">
        <f>105000-5000</f>
        <v>100000</v>
      </c>
      <c r="F94" s="33" t="s">
        <v>56</v>
      </c>
      <c r="G94" s="34" t="s">
        <v>114</v>
      </c>
      <c r="H94" s="40"/>
    </row>
    <row r="95" spans="2:10" ht="59.25" customHeight="1">
      <c r="B95" s="84" t="s">
        <v>134</v>
      </c>
      <c r="C95" s="85"/>
      <c r="D95" s="85"/>
      <c r="E95" s="16">
        <f>SUM(E96:E97)</f>
        <v>1240000</v>
      </c>
      <c r="F95" s="13"/>
      <c r="G95" s="14"/>
      <c r="H95" s="10"/>
      <c r="I95" s="26"/>
      <c r="J95" s="28"/>
    </row>
    <row r="96" spans="2:10" s="18" customFormat="1" ht="42.75" customHeight="1">
      <c r="B96" s="46" t="s">
        <v>120</v>
      </c>
      <c r="C96" s="31" t="s">
        <v>25</v>
      </c>
      <c r="D96" s="31" t="s">
        <v>61</v>
      </c>
      <c r="E96" s="32">
        <f>1500000-170000-260000</f>
        <v>1070000</v>
      </c>
      <c r="F96" s="33" t="s">
        <v>56</v>
      </c>
      <c r="G96" s="34" t="s">
        <v>114</v>
      </c>
      <c r="H96" s="47"/>
    </row>
    <row r="97" spans="2:10" s="18" customFormat="1" ht="42.75" customHeight="1">
      <c r="B97" s="46" t="s">
        <v>137</v>
      </c>
      <c r="C97" s="31" t="s">
        <v>135</v>
      </c>
      <c r="D97" s="31" t="s">
        <v>136</v>
      </c>
      <c r="E97" s="32">
        <v>170000</v>
      </c>
      <c r="F97" s="33" t="s">
        <v>56</v>
      </c>
      <c r="G97" s="34" t="s">
        <v>114</v>
      </c>
      <c r="H97" s="47"/>
    </row>
    <row r="98" spans="2:10" ht="70.5" customHeight="1">
      <c r="B98" s="84" t="s">
        <v>138</v>
      </c>
      <c r="C98" s="85"/>
      <c r="D98" s="85"/>
      <c r="E98" s="16">
        <f>SUM(E99:E101)</f>
        <v>790000</v>
      </c>
      <c r="F98" s="13"/>
      <c r="G98" s="14"/>
      <c r="H98" s="10"/>
      <c r="I98" s="26"/>
      <c r="J98" s="28"/>
    </row>
    <row r="99" spans="2:10" s="18" customFormat="1" ht="33.75">
      <c r="B99" s="46" t="s">
        <v>120</v>
      </c>
      <c r="C99" s="31" t="s">
        <v>30</v>
      </c>
      <c r="D99" s="31" t="s">
        <v>29</v>
      </c>
      <c r="E99" s="32">
        <f>300000+300000</f>
        <v>600000</v>
      </c>
      <c r="F99" s="31" t="s">
        <v>56</v>
      </c>
      <c r="G99" s="34" t="s">
        <v>114</v>
      </c>
      <c r="H99" s="31"/>
    </row>
    <row r="100" spans="2:10" s="18" customFormat="1" ht="33.75">
      <c r="B100" s="46" t="s">
        <v>120</v>
      </c>
      <c r="C100" s="31" t="s">
        <v>7</v>
      </c>
      <c r="D100" s="31" t="s">
        <v>28</v>
      </c>
      <c r="E100" s="32">
        <f>150000</f>
        <v>150000</v>
      </c>
      <c r="F100" s="31" t="s">
        <v>56</v>
      </c>
      <c r="G100" s="34" t="s">
        <v>114</v>
      </c>
      <c r="H100" s="31"/>
    </row>
    <row r="101" spans="2:10" ht="33.75">
      <c r="B101" s="46" t="s">
        <v>120</v>
      </c>
      <c r="C101" s="31" t="s">
        <v>14</v>
      </c>
      <c r="D101" s="31" t="s">
        <v>32</v>
      </c>
      <c r="E101" s="32">
        <v>40000</v>
      </c>
      <c r="F101" s="31" t="s">
        <v>52</v>
      </c>
      <c r="G101" s="34" t="s">
        <v>124</v>
      </c>
      <c r="H101" s="31"/>
    </row>
    <row r="103" spans="2:10">
      <c r="E103" s="63"/>
    </row>
  </sheetData>
  <autoFilter ref="A8:H101"/>
  <mergeCells count="20">
    <mergeCell ref="B95:D95"/>
    <mergeCell ref="B98:D98"/>
    <mergeCell ref="B76:D76"/>
    <mergeCell ref="B78:D78"/>
    <mergeCell ref="B83:D83"/>
    <mergeCell ref="B85:D85"/>
    <mergeCell ref="B89:D89"/>
    <mergeCell ref="B91:D91"/>
    <mergeCell ref="B73:D73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3:D63"/>
    <mergeCell ref="B68:D68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5"/>
  <sheetViews>
    <sheetView topLeftCell="B105" zoomScaleNormal="100" zoomScaleSheetLayoutView="80" workbookViewId="0">
      <selection activeCell="E106" sqref="E10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E9+E61+E65+E71+E77+E81+E84+E90+E92+E97+E99+E105+E110</f>
        <v>47052958.700000003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SUM(E10:E60)</f>
        <v>5067180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8" customFormat="1" ht="49.5" customHeight="1">
      <c r="B14" s="30" t="s">
        <v>120</v>
      </c>
      <c r="C14" s="31" t="s">
        <v>31</v>
      </c>
      <c r="D14" s="31" t="s">
        <v>50</v>
      </c>
      <c r="E14" s="32">
        <v>25000</v>
      </c>
      <c r="F14" s="33" t="s">
        <v>52</v>
      </c>
      <c r="G14" s="34" t="s">
        <v>114</v>
      </c>
      <c r="H14" s="3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80000</v>
      </c>
      <c r="F15" s="33" t="s">
        <v>56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109</v>
      </c>
      <c r="D16" s="31" t="s">
        <v>115</v>
      </c>
      <c r="E16" s="32">
        <v>120000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7</v>
      </c>
      <c r="D17" s="31" t="s">
        <v>117</v>
      </c>
      <c r="E17" s="32">
        <v>100000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110</v>
      </c>
      <c r="D18" s="31" t="s">
        <v>116</v>
      </c>
      <c r="E18" s="32">
        <v>250000</v>
      </c>
      <c r="F18" s="33" t="s">
        <v>56</v>
      </c>
      <c r="G18" s="34" t="s">
        <v>114</v>
      </c>
      <c r="H18" s="31"/>
    </row>
    <row r="19" spans="2:14" s="18" customFormat="1" ht="38.25" customHeight="1">
      <c r="B19" s="30" t="s">
        <v>120</v>
      </c>
      <c r="C19" s="48">
        <v>31400000</v>
      </c>
      <c r="D19" s="31" t="s">
        <v>11</v>
      </c>
      <c r="E19" s="32">
        <v>3000</v>
      </c>
      <c r="F19" s="33" t="s">
        <v>53</v>
      </c>
      <c r="G19" s="34" t="s">
        <v>114</v>
      </c>
      <c r="H19" s="49"/>
    </row>
    <row r="20" spans="2:14" s="18" customFormat="1" ht="38.25" customHeight="1">
      <c r="B20" s="30" t="s">
        <v>120</v>
      </c>
      <c r="C20" s="48">
        <v>41100000</v>
      </c>
      <c r="D20" s="31" t="s">
        <v>142</v>
      </c>
      <c r="E20" s="32">
        <v>10800</v>
      </c>
      <c r="F20" s="33" t="s">
        <v>56</v>
      </c>
      <c r="G20" s="34" t="s">
        <v>114</v>
      </c>
      <c r="H20" s="31"/>
    </row>
    <row r="21" spans="2:14" s="18" customFormat="1" ht="38.25" customHeight="1">
      <c r="B21" s="30" t="s">
        <v>120</v>
      </c>
      <c r="C21" s="31" t="s">
        <v>35</v>
      </c>
      <c r="D21" s="31" t="s">
        <v>34</v>
      </c>
      <c r="E21" s="32">
        <v>20000</v>
      </c>
      <c r="F21" s="33" t="s">
        <v>52</v>
      </c>
      <c r="G21" s="34" t="s">
        <v>114</v>
      </c>
      <c r="H21" s="44"/>
    </row>
    <row r="22" spans="2:14" s="18" customFormat="1" ht="33.75">
      <c r="B22" s="30" t="s">
        <v>120</v>
      </c>
      <c r="C22" s="31" t="s">
        <v>78</v>
      </c>
      <c r="D22" s="31" t="s">
        <v>79</v>
      </c>
      <c r="E22" s="32">
        <v>3000</v>
      </c>
      <c r="F22" s="33" t="s">
        <v>77</v>
      </c>
      <c r="G22" s="34" t="s">
        <v>114</v>
      </c>
      <c r="H22" s="49"/>
    </row>
    <row r="23" spans="2:14" s="18" customFormat="1" ht="33.75">
      <c r="B23" s="30" t="s">
        <v>120</v>
      </c>
      <c r="C23" s="31" t="s">
        <v>80</v>
      </c>
      <c r="D23" s="31" t="s">
        <v>81</v>
      </c>
      <c r="E23" s="32">
        <v>3000</v>
      </c>
      <c r="F23" s="33" t="s">
        <v>77</v>
      </c>
      <c r="G23" s="34" t="s">
        <v>114</v>
      </c>
      <c r="H23" s="49"/>
      <c r="N23" s="18" t="s">
        <v>143</v>
      </c>
    </row>
    <row r="24" spans="2:14" s="18" customFormat="1" ht="33.75">
      <c r="B24" s="30" t="s">
        <v>120</v>
      </c>
      <c r="C24" s="50">
        <v>39800000</v>
      </c>
      <c r="D24" s="50" t="s">
        <v>71</v>
      </c>
      <c r="E24" s="32">
        <v>2000</v>
      </c>
      <c r="F24" s="33" t="s">
        <v>77</v>
      </c>
      <c r="G24" s="34" t="s">
        <v>114</v>
      </c>
      <c r="H24" s="49"/>
    </row>
    <row r="25" spans="2:14" s="18" customFormat="1" ht="51.75" customHeight="1">
      <c r="B25" s="30" t="s">
        <v>120</v>
      </c>
      <c r="C25" s="48">
        <v>45400000</v>
      </c>
      <c r="D25" s="50" t="s">
        <v>88</v>
      </c>
      <c r="E25" s="32">
        <v>300000</v>
      </c>
      <c r="F25" s="33" t="s">
        <v>56</v>
      </c>
      <c r="G25" s="34" t="s">
        <v>114</v>
      </c>
      <c r="H25" s="49"/>
    </row>
    <row r="26" spans="2:14" s="18" customFormat="1" ht="37.5" customHeight="1">
      <c r="B26" s="30" t="s">
        <v>118</v>
      </c>
      <c r="C26" s="48">
        <v>48700000</v>
      </c>
      <c r="D26" s="31" t="s">
        <v>89</v>
      </c>
      <c r="E26" s="32">
        <v>80000</v>
      </c>
      <c r="F26" s="33" t="s">
        <v>56</v>
      </c>
      <c r="G26" s="34" t="s">
        <v>114</v>
      </c>
      <c r="H26" s="49"/>
    </row>
    <row r="27" spans="2:14" s="18" customFormat="1" ht="56.25">
      <c r="B27" s="30" t="s">
        <v>120</v>
      </c>
      <c r="C27" s="31">
        <v>50100000</v>
      </c>
      <c r="D27" s="31" t="s">
        <v>36</v>
      </c>
      <c r="E27" s="32">
        <f>20000+15000</f>
        <v>35000</v>
      </c>
      <c r="F27" s="33" t="s">
        <v>53</v>
      </c>
      <c r="G27" s="34" t="s">
        <v>114</v>
      </c>
      <c r="H27" s="51" t="s">
        <v>58</v>
      </c>
    </row>
    <row r="28" spans="2:14" s="18" customFormat="1" ht="92.25" customHeight="1">
      <c r="B28" s="30" t="s">
        <v>120</v>
      </c>
      <c r="C28" s="31" t="s">
        <v>51</v>
      </c>
      <c r="D28" s="31" t="s">
        <v>54</v>
      </c>
      <c r="E28" s="32">
        <v>140000</v>
      </c>
      <c r="F28" s="33" t="s">
        <v>56</v>
      </c>
      <c r="G28" s="34" t="s">
        <v>114</v>
      </c>
      <c r="H28" s="37"/>
    </row>
    <row r="29" spans="2:14" s="18" customFormat="1" ht="92.25" customHeight="1">
      <c r="B29" s="30" t="s">
        <v>120</v>
      </c>
      <c r="C29" s="31" t="s">
        <v>92</v>
      </c>
      <c r="D29" s="31" t="s">
        <v>93</v>
      </c>
      <c r="E29" s="32">
        <v>60000</v>
      </c>
      <c r="F29" s="33" t="s">
        <v>56</v>
      </c>
      <c r="G29" s="34" t="s">
        <v>114</v>
      </c>
      <c r="H29" s="49"/>
    </row>
    <row r="30" spans="2:14" s="18" customFormat="1" ht="92.25" customHeight="1">
      <c r="B30" s="30" t="s">
        <v>120</v>
      </c>
      <c r="C30" s="31" t="s">
        <v>90</v>
      </c>
      <c r="D30" s="31" t="s">
        <v>91</v>
      </c>
      <c r="E30" s="32">
        <v>210000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94</v>
      </c>
      <c r="D31" s="31" t="s">
        <v>95</v>
      </c>
      <c r="E31" s="32">
        <v>90000</v>
      </c>
      <c r="F31" s="33" t="s">
        <v>56</v>
      </c>
      <c r="G31" s="34" t="s">
        <v>114</v>
      </c>
      <c r="H31" s="37"/>
    </row>
    <row r="32" spans="2:14" s="18" customFormat="1" ht="102.75" customHeight="1">
      <c r="B32" s="30" t="s">
        <v>120</v>
      </c>
      <c r="C32" s="31" t="s">
        <v>73</v>
      </c>
      <c r="D32" s="31" t="s">
        <v>74</v>
      </c>
      <c r="E32" s="32">
        <v>25000</v>
      </c>
      <c r="F32" s="33" t="s">
        <v>56</v>
      </c>
      <c r="G32" s="34" t="s">
        <v>114</v>
      </c>
      <c r="H32" s="31"/>
    </row>
    <row r="33" spans="2:10" s="18" customFormat="1" ht="115.5" customHeight="1">
      <c r="B33" s="30" t="s">
        <v>120</v>
      </c>
      <c r="C33" s="31">
        <v>50700000</v>
      </c>
      <c r="D33" s="31" t="s">
        <v>13</v>
      </c>
      <c r="E33" s="32">
        <v>1700000</v>
      </c>
      <c r="F33" s="31" t="s">
        <v>53</v>
      </c>
      <c r="G33" s="34" t="s">
        <v>114</v>
      </c>
      <c r="H33" s="31" t="s">
        <v>85</v>
      </c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115000</v>
      </c>
      <c r="F34" s="31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 t="s">
        <v>102</v>
      </c>
      <c r="D35" s="31" t="s">
        <v>103</v>
      </c>
      <c r="E35" s="32">
        <v>200000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96</v>
      </c>
      <c r="D36" s="31" t="s">
        <v>97</v>
      </c>
      <c r="E36" s="32">
        <v>120000</v>
      </c>
      <c r="F36" s="31" t="s">
        <v>56</v>
      </c>
      <c r="G36" s="34" t="s">
        <v>114</v>
      </c>
      <c r="H36" s="31"/>
    </row>
    <row r="37" spans="2:10" s="18" customFormat="1" ht="58.5" customHeight="1">
      <c r="B37" s="30" t="s">
        <v>120</v>
      </c>
      <c r="C37" s="48">
        <v>63700000</v>
      </c>
      <c r="D37" s="31" t="s">
        <v>62</v>
      </c>
      <c r="E37" s="32">
        <v>2000</v>
      </c>
      <c r="F37" s="33" t="s">
        <v>53</v>
      </c>
      <c r="G37" s="34" t="s">
        <v>114</v>
      </c>
      <c r="H37" s="34" t="s">
        <v>72</v>
      </c>
    </row>
    <row r="38" spans="2:10" s="18" customFormat="1" ht="63.75" customHeight="1">
      <c r="B38" s="30" t="s">
        <v>120</v>
      </c>
      <c r="C38" s="31" t="s">
        <v>39</v>
      </c>
      <c r="D38" s="31" t="s">
        <v>40</v>
      </c>
      <c r="E38" s="32">
        <v>10000</v>
      </c>
      <c r="F38" s="33" t="s">
        <v>56</v>
      </c>
      <c r="G38" s="34" t="s">
        <v>114</v>
      </c>
      <c r="H38" s="31"/>
    </row>
    <row r="39" spans="2:10" s="18" customFormat="1" ht="56.25">
      <c r="B39" s="30" t="s">
        <v>120</v>
      </c>
      <c r="C39" s="45" t="s">
        <v>18</v>
      </c>
      <c r="D39" s="31" t="s">
        <v>38</v>
      </c>
      <c r="E39" s="32">
        <v>25000</v>
      </c>
      <c r="F39" s="33" t="s">
        <v>53</v>
      </c>
      <c r="G39" s="34" t="s">
        <v>114</v>
      </c>
      <c r="H39" s="34" t="s">
        <v>82</v>
      </c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10000</v>
      </c>
      <c r="F40" s="33" t="s">
        <v>53</v>
      </c>
      <c r="G40" s="34" t="s">
        <v>114</v>
      </c>
      <c r="H40" s="34" t="s">
        <v>111</v>
      </c>
    </row>
    <row r="41" spans="2:10" s="18" customFormat="1" ht="33.7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52</v>
      </c>
      <c r="G41" s="34" t="s">
        <v>114</v>
      </c>
      <c r="H41" s="52"/>
    </row>
    <row r="42" spans="2:10" s="18" customFormat="1" ht="50.25" customHeight="1">
      <c r="B42" s="30" t="s">
        <v>119</v>
      </c>
      <c r="C42" s="45" t="s">
        <v>99</v>
      </c>
      <c r="D42" s="31" t="s">
        <v>98</v>
      </c>
      <c r="E42" s="32">
        <v>30000</v>
      </c>
      <c r="F42" s="33" t="s">
        <v>144</v>
      </c>
      <c r="G42" s="34" t="s">
        <v>114</v>
      </c>
      <c r="H42" s="34"/>
    </row>
    <row r="43" spans="2:10" s="18" customFormat="1" ht="33.75">
      <c r="B43" s="30" t="s">
        <v>120</v>
      </c>
      <c r="C43" s="45" t="s">
        <v>47</v>
      </c>
      <c r="D43" s="31" t="s">
        <v>48</v>
      </c>
      <c r="E43" s="32">
        <v>1680</v>
      </c>
      <c r="F43" s="33" t="s">
        <v>77</v>
      </c>
      <c r="G43" s="34" t="s">
        <v>114</v>
      </c>
      <c r="H43" s="52"/>
    </row>
    <row r="44" spans="2:10" s="18" customFormat="1" ht="57" customHeight="1">
      <c r="B44" s="30" t="s">
        <v>120</v>
      </c>
      <c r="C44" s="45" t="s">
        <v>17</v>
      </c>
      <c r="D44" s="31" t="s">
        <v>16</v>
      </c>
      <c r="E44" s="32">
        <f>124000+28800</f>
        <v>152800</v>
      </c>
      <c r="F44" s="33" t="s">
        <v>53</v>
      </c>
      <c r="G44" s="34" t="s">
        <v>114</v>
      </c>
      <c r="H44" s="34" t="s">
        <v>59</v>
      </c>
    </row>
    <row r="45" spans="2:10" s="18" customFormat="1" ht="65.25" customHeight="1">
      <c r="B45" s="30" t="s">
        <v>120</v>
      </c>
      <c r="C45" s="45" t="s">
        <v>17</v>
      </c>
      <c r="D45" s="31" t="s">
        <v>16</v>
      </c>
      <c r="E45" s="32">
        <v>2000</v>
      </c>
      <c r="F45" s="33" t="s">
        <v>53</v>
      </c>
      <c r="G45" s="34" t="s">
        <v>114</v>
      </c>
      <c r="H45" s="34"/>
      <c r="J45" s="20"/>
    </row>
    <row r="46" spans="2:10" s="18" customFormat="1" ht="56.25">
      <c r="B46" s="30" t="s">
        <v>120</v>
      </c>
      <c r="C46" s="45" t="s">
        <v>64</v>
      </c>
      <c r="D46" s="31" t="s">
        <v>65</v>
      </c>
      <c r="E46" s="32">
        <v>1500</v>
      </c>
      <c r="F46" s="33" t="s">
        <v>53</v>
      </c>
      <c r="G46" s="34" t="s">
        <v>114</v>
      </c>
      <c r="H46" s="34" t="s">
        <v>66</v>
      </c>
    </row>
    <row r="47" spans="2:10" s="18" customFormat="1" ht="75" customHeight="1">
      <c r="B47" s="30" t="s">
        <v>120</v>
      </c>
      <c r="C47" s="45" t="s">
        <v>25</v>
      </c>
      <c r="D47" s="31" t="s">
        <v>104</v>
      </c>
      <c r="E47" s="32">
        <v>100000</v>
      </c>
      <c r="F47" s="33" t="s">
        <v>56</v>
      </c>
      <c r="G47" s="34" t="s">
        <v>114</v>
      </c>
      <c r="H47" s="34"/>
    </row>
    <row r="48" spans="2:10" s="18" customFormat="1" ht="75" customHeight="1">
      <c r="B48" s="30" t="s">
        <v>120</v>
      </c>
      <c r="C48" s="45" t="s">
        <v>112</v>
      </c>
      <c r="D48" s="31" t="s">
        <v>113</v>
      </c>
      <c r="E48" s="32">
        <v>3000</v>
      </c>
      <c r="F48" s="33" t="s">
        <v>53</v>
      </c>
      <c r="G48" s="34" t="s">
        <v>114</v>
      </c>
      <c r="H48" s="34" t="s">
        <v>66</v>
      </c>
    </row>
    <row r="49" spans="2:10" s="18" customFormat="1" ht="63.75" customHeight="1">
      <c r="B49" s="30" t="s">
        <v>120</v>
      </c>
      <c r="C49" s="31" t="s">
        <v>37</v>
      </c>
      <c r="D49" s="31" t="s">
        <v>55</v>
      </c>
      <c r="E49" s="32">
        <f>3950+6000</f>
        <v>9950</v>
      </c>
      <c r="F49" s="33" t="s">
        <v>56</v>
      </c>
      <c r="G49" s="34" t="s">
        <v>114</v>
      </c>
      <c r="H49" s="34"/>
    </row>
    <row r="50" spans="2:10" s="18" customFormat="1" ht="63.75" customHeight="1">
      <c r="B50" s="30" t="s">
        <v>120</v>
      </c>
      <c r="C50" s="31" t="s">
        <v>105</v>
      </c>
      <c r="D50" s="31" t="s">
        <v>106</v>
      </c>
      <c r="E50" s="32">
        <v>450</v>
      </c>
      <c r="F50" s="33" t="s">
        <v>53</v>
      </c>
      <c r="G50" s="34" t="s">
        <v>114</v>
      </c>
      <c r="H50" s="34"/>
    </row>
    <row r="51" spans="2:10" s="18" customFormat="1" ht="77.25" customHeight="1">
      <c r="B51" s="30" t="s">
        <v>120</v>
      </c>
      <c r="C51" s="48">
        <v>79700000</v>
      </c>
      <c r="D51" s="31" t="s">
        <v>27</v>
      </c>
      <c r="E51" s="32">
        <v>520000</v>
      </c>
      <c r="F51" s="33" t="s">
        <v>53</v>
      </c>
      <c r="G51" s="34" t="s">
        <v>114</v>
      </c>
      <c r="H51" s="34" t="s">
        <v>67</v>
      </c>
    </row>
    <row r="52" spans="2:10" s="18" customFormat="1" ht="62.25" customHeight="1">
      <c r="B52" s="30" t="s">
        <v>120</v>
      </c>
      <c r="C52" s="48">
        <v>79800000</v>
      </c>
      <c r="D52" s="31" t="s">
        <v>68</v>
      </c>
      <c r="E52" s="32">
        <f>10000+15000</f>
        <v>25000</v>
      </c>
      <c r="F52" s="33" t="s">
        <v>56</v>
      </c>
      <c r="G52" s="34" t="s">
        <v>114</v>
      </c>
      <c r="H52" s="34"/>
    </row>
    <row r="53" spans="2:10" s="18" customFormat="1" ht="62.25" customHeight="1">
      <c r="B53" s="30" t="s">
        <v>120</v>
      </c>
      <c r="C53" s="31" t="s">
        <v>45</v>
      </c>
      <c r="D53" s="31" t="s">
        <v>57</v>
      </c>
      <c r="E53" s="32">
        <v>25000</v>
      </c>
      <c r="F53" s="33" t="s">
        <v>53</v>
      </c>
      <c r="G53" s="34" t="s">
        <v>114</v>
      </c>
      <c r="H53" s="31" t="s">
        <v>60</v>
      </c>
    </row>
    <row r="54" spans="2:10" s="18" customFormat="1" ht="62.25" customHeight="1">
      <c r="B54" s="30" t="s">
        <v>120</v>
      </c>
      <c r="C54" s="45" t="s">
        <v>24</v>
      </c>
      <c r="D54" s="31" t="s">
        <v>63</v>
      </c>
      <c r="E54" s="32">
        <v>12000</v>
      </c>
      <c r="F54" s="33" t="s">
        <v>56</v>
      </c>
      <c r="G54" s="34" t="s">
        <v>114</v>
      </c>
      <c r="H54" s="31"/>
    </row>
    <row r="55" spans="2:10" s="18" customFormat="1" ht="62.25" customHeight="1">
      <c r="B55" s="30" t="s">
        <v>120</v>
      </c>
      <c r="C55" s="45" t="s">
        <v>107</v>
      </c>
      <c r="D55" s="31" t="s">
        <v>108</v>
      </c>
      <c r="E55" s="32">
        <v>1000</v>
      </c>
      <c r="F55" s="33" t="s">
        <v>53</v>
      </c>
      <c r="G55" s="34" t="s">
        <v>114</v>
      </c>
      <c r="H55" s="31"/>
    </row>
    <row r="56" spans="2:10" s="18" customFormat="1" ht="60.75" customHeight="1">
      <c r="B56" s="30" t="s">
        <v>120</v>
      </c>
      <c r="C56" s="31" t="s">
        <v>69</v>
      </c>
      <c r="D56" s="31" t="s">
        <v>70</v>
      </c>
      <c r="E56" s="32">
        <v>20000</v>
      </c>
      <c r="F56" s="33" t="s">
        <v>56</v>
      </c>
      <c r="G56" s="34" t="s">
        <v>114</v>
      </c>
      <c r="H56" s="49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10000</v>
      </c>
      <c r="F57" s="33" t="s">
        <v>77</v>
      </c>
      <c r="G57" s="34" t="s">
        <v>114</v>
      </c>
      <c r="H57" s="34" t="s">
        <v>66</v>
      </c>
    </row>
    <row r="58" spans="2:10" s="18" customFormat="1" ht="36.75" customHeight="1">
      <c r="B58" s="30" t="s">
        <v>120</v>
      </c>
      <c r="C58" s="31" t="s">
        <v>12</v>
      </c>
      <c r="D58" s="31" t="s">
        <v>19</v>
      </c>
      <c r="E58" s="32">
        <f>130000+6600</f>
        <v>136600</v>
      </c>
      <c r="F58" s="33" t="s">
        <v>56</v>
      </c>
      <c r="G58" s="34" t="s">
        <v>114</v>
      </c>
      <c r="H58" s="49"/>
    </row>
    <row r="59" spans="2:10" s="18" customFormat="1" ht="36.75" customHeight="1">
      <c r="B59" s="30" t="s">
        <v>120</v>
      </c>
      <c r="C59" s="31" t="s">
        <v>139</v>
      </c>
      <c r="D59" s="31" t="s">
        <v>140</v>
      </c>
      <c r="E59" s="32">
        <v>4900</v>
      </c>
      <c r="F59" s="33" t="s">
        <v>77</v>
      </c>
      <c r="G59" s="34" t="s">
        <v>114</v>
      </c>
      <c r="H59" s="34" t="s">
        <v>66</v>
      </c>
    </row>
    <row r="60" spans="2:10" s="18" customFormat="1" ht="54.75" customHeight="1">
      <c r="B60" s="30" t="s">
        <v>120</v>
      </c>
      <c r="C60" s="31" t="s">
        <v>100</v>
      </c>
      <c r="D60" s="31" t="s">
        <v>101</v>
      </c>
      <c r="E60" s="32">
        <v>15000</v>
      </c>
      <c r="F60" s="33" t="s">
        <v>53</v>
      </c>
      <c r="G60" s="34" t="s">
        <v>114</v>
      </c>
      <c r="H60" s="34" t="s">
        <v>66</v>
      </c>
    </row>
    <row r="61" spans="2:10" s="1" customFormat="1" ht="75" customHeight="1">
      <c r="B61" s="84" t="s">
        <v>122</v>
      </c>
      <c r="C61" s="85"/>
      <c r="D61" s="85"/>
      <c r="E61" s="16">
        <f>SUM(E62:E64)</f>
        <v>2524191.7000000002</v>
      </c>
      <c r="F61" s="13"/>
      <c r="G61" s="14"/>
      <c r="H61" s="10"/>
      <c r="I61" s="26"/>
      <c r="J61" s="27"/>
    </row>
    <row r="62" spans="2:10" s="18" customFormat="1" ht="59.25" customHeight="1">
      <c r="B62" s="53" t="s">
        <v>120</v>
      </c>
      <c r="C62" s="55" t="s">
        <v>24</v>
      </c>
      <c r="D62" s="55" t="s">
        <v>63</v>
      </c>
      <c r="E62" s="56">
        <v>2000000</v>
      </c>
      <c r="F62" s="57" t="s">
        <v>56</v>
      </c>
      <c r="G62" s="58" t="s">
        <v>114</v>
      </c>
      <c r="H62" s="67"/>
    </row>
    <row r="63" spans="2:10" s="18" customFormat="1" ht="90.75" customHeight="1">
      <c r="B63" s="53" t="s">
        <v>120</v>
      </c>
      <c r="C63" s="55" t="s">
        <v>24</v>
      </c>
      <c r="D63" s="55" t="s">
        <v>63</v>
      </c>
      <c r="E63" s="56">
        <v>121390</v>
      </c>
      <c r="F63" s="57" t="s">
        <v>53</v>
      </c>
      <c r="G63" s="58" t="s">
        <v>145</v>
      </c>
      <c r="H63" s="67" t="s">
        <v>146</v>
      </c>
    </row>
    <row r="64" spans="2:10" s="18" customFormat="1" ht="74.25" customHeight="1">
      <c r="B64" s="53" t="s">
        <v>120</v>
      </c>
      <c r="C64" s="55" t="s">
        <v>24</v>
      </c>
      <c r="D64" s="55" t="s">
        <v>63</v>
      </c>
      <c r="E64" s="56">
        <f>153466.1+13224+53288+19471.6+160022+3330</f>
        <v>402801.7</v>
      </c>
      <c r="F64" s="57" t="s">
        <v>53</v>
      </c>
      <c r="G64" s="58" t="s">
        <v>145</v>
      </c>
      <c r="H64" s="67" t="s">
        <v>147</v>
      </c>
    </row>
    <row r="65" spans="2:14" s="1" customFormat="1" ht="31.5" customHeight="1">
      <c r="B65" s="84" t="s">
        <v>123</v>
      </c>
      <c r="C65" s="85"/>
      <c r="D65" s="85"/>
      <c r="E65" s="16">
        <f>SUM(E66:E70)</f>
        <v>22970000</v>
      </c>
      <c r="F65" s="13"/>
      <c r="G65" s="9"/>
      <c r="H65" s="10"/>
      <c r="I65" s="26"/>
      <c r="J65" s="27"/>
    </row>
    <row r="66" spans="2:14" s="18" customFormat="1" ht="75.75" customHeight="1">
      <c r="B66" s="53" t="s">
        <v>120</v>
      </c>
      <c r="C66" s="55" t="s">
        <v>7</v>
      </c>
      <c r="D66" s="55" t="s">
        <v>49</v>
      </c>
      <c r="E66" s="56">
        <v>500000</v>
      </c>
      <c r="F66" s="57" t="s">
        <v>53</v>
      </c>
      <c r="G66" s="58" t="s">
        <v>114</v>
      </c>
      <c r="H66" s="66" t="s">
        <v>83</v>
      </c>
    </row>
    <row r="67" spans="2:14" s="18" customFormat="1" ht="75.75" customHeight="1">
      <c r="B67" s="53" t="s">
        <v>118</v>
      </c>
      <c r="C67" s="55" t="s">
        <v>7</v>
      </c>
      <c r="D67" s="55" t="s">
        <v>49</v>
      </c>
      <c r="E67" s="56">
        <v>100000</v>
      </c>
      <c r="F67" s="57" t="s">
        <v>53</v>
      </c>
      <c r="G67" s="58" t="s">
        <v>124</v>
      </c>
      <c r="H67" s="66" t="s">
        <v>83</v>
      </c>
    </row>
    <row r="68" spans="2:14" s="18" customFormat="1" ht="121.5" customHeight="1">
      <c r="B68" s="53" t="s">
        <v>120</v>
      </c>
      <c r="C68" s="55">
        <v>33600000</v>
      </c>
      <c r="D68" s="55" t="s">
        <v>29</v>
      </c>
      <c r="E68" s="56">
        <f>5721975+602964+2000000+200000</f>
        <v>8524939</v>
      </c>
      <c r="F68" s="57" t="s">
        <v>56</v>
      </c>
      <c r="G68" s="58" t="s">
        <v>114</v>
      </c>
      <c r="H68" s="67"/>
      <c r="I68" s="21"/>
      <c r="J68" s="29"/>
      <c r="K68" s="29"/>
      <c r="L68" s="29"/>
      <c r="M68" s="29"/>
      <c r="N68" s="29"/>
    </row>
    <row r="69" spans="2:14" s="18" customFormat="1" ht="121.5" customHeight="1">
      <c r="B69" s="53" t="s">
        <v>120</v>
      </c>
      <c r="C69" s="55">
        <v>33600000</v>
      </c>
      <c r="D69" s="55" t="s">
        <v>29</v>
      </c>
      <c r="E69" s="56">
        <v>5546250</v>
      </c>
      <c r="F69" s="57" t="s">
        <v>56</v>
      </c>
      <c r="G69" s="58" t="s">
        <v>114</v>
      </c>
      <c r="H69" s="67" t="s">
        <v>148</v>
      </c>
      <c r="I69" s="21"/>
      <c r="J69" s="29"/>
      <c r="K69" s="29"/>
      <c r="L69" s="29"/>
      <c r="M69" s="29"/>
      <c r="N69" s="29"/>
    </row>
    <row r="70" spans="2:14" s="18" customFormat="1" ht="87.75" customHeight="1">
      <c r="B70" s="53" t="s">
        <v>120</v>
      </c>
      <c r="C70" s="55" t="s">
        <v>30</v>
      </c>
      <c r="D70" s="55" t="s">
        <v>29</v>
      </c>
      <c r="E70" s="56">
        <f>6000000+2328811-30000</f>
        <v>8298811</v>
      </c>
      <c r="F70" s="57" t="s">
        <v>53</v>
      </c>
      <c r="G70" s="58" t="s">
        <v>114</v>
      </c>
      <c r="H70" s="66" t="s">
        <v>84</v>
      </c>
      <c r="J70" s="21"/>
      <c r="K70" s="21"/>
      <c r="N70" s="21"/>
    </row>
    <row r="71" spans="2:14" s="1" customFormat="1" ht="60" customHeight="1">
      <c r="B71" s="84" t="s">
        <v>125</v>
      </c>
      <c r="C71" s="85"/>
      <c r="D71" s="85"/>
      <c r="E71" s="16">
        <f>SUM(E72:E76)</f>
        <v>1700000</v>
      </c>
      <c r="F71" s="13"/>
      <c r="G71" s="14"/>
      <c r="H71" s="10"/>
      <c r="I71" s="26"/>
      <c r="J71" s="27"/>
    </row>
    <row r="72" spans="2:14" s="18" customFormat="1" ht="36.75" customHeight="1">
      <c r="B72" s="30" t="s">
        <v>120</v>
      </c>
      <c r="C72" s="31" t="s">
        <v>7</v>
      </c>
      <c r="D72" s="31" t="s">
        <v>28</v>
      </c>
      <c r="E72" s="32">
        <v>50000</v>
      </c>
      <c r="F72" s="33" t="s">
        <v>56</v>
      </c>
      <c r="G72" s="34" t="s">
        <v>114</v>
      </c>
      <c r="H72" s="35"/>
    </row>
    <row r="73" spans="2:14" s="18" customFormat="1" ht="30.75" customHeight="1">
      <c r="B73" s="53" t="s">
        <v>120</v>
      </c>
      <c r="C73" s="55" t="s">
        <v>30</v>
      </c>
      <c r="D73" s="55" t="s">
        <v>29</v>
      </c>
      <c r="E73" s="56">
        <f>200000-92300-30220</f>
        <v>77480</v>
      </c>
      <c r="F73" s="57" t="s">
        <v>56</v>
      </c>
      <c r="G73" s="58" t="s">
        <v>114</v>
      </c>
      <c r="H73" s="67"/>
    </row>
    <row r="74" spans="2:14" s="18" customFormat="1" ht="45" customHeight="1">
      <c r="B74" s="30" t="s">
        <v>120</v>
      </c>
      <c r="C74" s="31" t="s">
        <v>75</v>
      </c>
      <c r="D74" s="31" t="s">
        <v>76</v>
      </c>
      <c r="E74" s="32">
        <f>620000+92300</f>
        <v>712300</v>
      </c>
      <c r="F74" s="33" t="s">
        <v>56</v>
      </c>
      <c r="G74" s="34" t="s">
        <v>114</v>
      </c>
      <c r="H74" s="36"/>
    </row>
    <row r="75" spans="2:14" s="18" customFormat="1" ht="78" customHeight="1">
      <c r="B75" s="53" t="s">
        <v>120</v>
      </c>
      <c r="C75" s="55" t="s">
        <v>24</v>
      </c>
      <c r="D75" s="55" t="s">
        <v>63</v>
      </c>
      <c r="E75" s="56">
        <v>52208</v>
      </c>
      <c r="F75" s="57" t="s">
        <v>53</v>
      </c>
      <c r="G75" s="58" t="s">
        <v>149</v>
      </c>
      <c r="H75" s="66" t="s">
        <v>150</v>
      </c>
      <c r="J75" s="21"/>
    </row>
    <row r="76" spans="2:14" s="18" customFormat="1" ht="87.75" customHeight="1">
      <c r="B76" s="53" t="s">
        <v>120</v>
      </c>
      <c r="C76" s="55" t="s">
        <v>24</v>
      </c>
      <c r="D76" s="55" t="s">
        <v>63</v>
      </c>
      <c r="E76" s="56">
        <f>577500+171079.6+10376.4+3456+45600</f>
        <v>808012</v>
      </c>
      <c r="F76" s="57" t="s">
        <v>53</v>
      </c>
      <c r="G76" s="58" t="s">
        <v>151</v>
      </c>
      <c r="H76" s="66" t="s">
        <v>84</v>
      </c>
      <c r="J76" s="21"/>
    </row>
    <row r="77" spans="2:14" s="1" customFormat="1" ht="65.25" customHeight="1">
      <c r="B77" s="84" t="s">
        <v>126</v>
      </c>
      <c r="C77" s="85"/>
      <c r="D77" s="85"/>
      <c r="E77" s="16">
        <f>SUM(E78:E80)</f>
        <v>2864778</v>
      </c>
      <c r="F77" s="13"/>
      <c r="G77" s="14"/>
      <c r="H77" s="10"/>
      <c r="I77" s="26"/>
      <c r="J77" s="27"/>
    </row>
    <row r="78" spans="2:14" s="18" customFormat="1" ht="33.75">
      <c r="B78" s="53" t="s">
        <v>120</v>
      </c>
      <c r="C78" s="68" t="s">
        <v>25</v>
      </c>
      <c r="D78" s="68" t="s">
        <v>61</v>
      </c>
      <c r="E78" s="56">
        <v>200000</v>
      </c>
      <c r="F78" s="69" t="s">
        <v>56</v>
      </c>
      <c r="G78" s="58" t="s">
        <v>114</v>
      </c>
      <c r="H78" s="70"/>
    </row>
    <row r="79" spans="2:14" s="18" customFormat="1" ht="87.75" customHeight="1">
      <c r="B79" s="53" t="s">
        <v>120</v>
      </c>
      <c r="C79" s="55">
        <v>85100000</v>
      </c>
      <c r="D79" s="55" t="s">
        <v>63</v>
      </c>
      <c r="E79" s="56">
        <v>203458</v>
      </c>
      <c r="F79" s="57" t="s">
        <v>53</v>
      </c>
      <c r="G79" s="58" t="s">
        <v>152</v>
      </c>
      <c r="H79" s="62" t="s">
        <v>154</v>
      </c>
    </row>
    <row r="80" spans="2:14" s="18" customFormat="1" ht="69.75" customHeight="1">
      <c r="B80" s="53" t="s">
        <v>120</v>
      </c>
      <c r="C80" s="55">
        <v>85100000</v>
      </c>
      <c r="D80" s="55" t="s">
        <v>63</v>
      </c>
      <c r="E80" s="56">
        <v>2461320</v>
      </c>
      <c r="F80" s="57" t="s">
        <v>53</v>
      </c>
      <c r="G80" s="58" t="s">
        <v>153</v>
      </c>
      <c r="H80" s="66" t="s">
        <v>84</v>
      </c>
    </row>
    <row r="81" spans="2:10" s="1" customFormat="1" ht="61.5" customHeight="1">
      <c r="B81" s="84" t="s">
        <v>127</v>
      </c>
      <c r="C81" s="85"/>
      <c r="D81" s="85"/>
      <c r="E81" s="16">
        <f>SUM(E82:E83)</f>
        <v>184167</v>
      </c>
      <c r="F81" s="13"/>
      <c r="G81" s="14"/>
      <c r="H81" s="10"/>
      <c r="I81" s="26"/>
      <c r="J81" s="27"/>
    </row>
    <row r="82" spans="2:10" s="18" customFormat="1" ht="75" customHeight="1">
      <c r="B82" s="53" t="s">
        <v>120</v>
      </c>
      <c r="C82" s="55" t="s">
        <v>24</v>
      </c>
      <c r="D82" s="55" t="s">
        <v>63</v>
      </c>
      <c r="E82" s="56">
        <v>170000</v>
      </c>
      <c r="F82" s="57" t="s">
        <v>53</v>
      </c>
      <c r="G82" s="58" t="s">
        <v>153</v>
      </c>
      <c r="H82" s="66" t="s">
        <v>84</v>
      </c>
    </row>
    <row r="83" spans="2:10" s="18" customFormat="1" ht="91.5" customHeight="1">
      <c r="B83" s="53" t="s">
        <v>120</v>
      </c>
      <c r="C83" s="55" t="s">
        <v>24</v>
      </c>
      <c r="D83" s="55" t="s">
        <v>63</v>
      </c>
      <c r="E83" s="56">
        <v>14167</v>
      </c>
      <c r="F83" s="57" t="s">
        <v>53</v>
      </c>
      <c r="G83" s="58" t="s">
        <v>152</v>
      </c>
      <c r="H83" s="62" t="s">
        <v>154</v>
      </c>
    </row>
    <row r="84" spans="2:10" s="1" customFormat="1" ht="65.25" customHeight="1">
      <c r="B84" s="95" t="s">
        <v>128</v>
      </c>
      <c r="C84" s="96"/>
      <c r="D84" s="96"/>
      <c r="E84" s="16">
        <f>SUM(E85:E89)</f>
        <v>1655642</v>
      </c>
      <c r="F84" s="13"/>
      <c r="G84" s="14"/>
      <c r="H84" s="25"/>
      <c r="I84" s="26"/>
      <c r="J84" s="27"/>
    </row>
    <row r="85" spans="2:10" s="18" customFormat="1" ht="49.5" customHeight="1">
      <c r="B85" s="30" t="s">
        <v>120</v>
      </c>
      <c r="C85" s="31" t="s">
        <v>14</v>
      </c>
      <c r="D85" s="31" t="s">
        <v>15</v>
      </c>
      <c r="E85" s="32">
        <v>25000</v>
      </c>
      <c r="F85" s="33" t="s">
        <v>52</v>
      </c>
      <c r="G85" s="34" t="s">
        <v>114</v>
      </c>
      <c r="H85" s="35"/>
    </row>
    <row r="86" spans="2:10" s="18" customFormat="1" ht="33.75">
      <c r="B86" s="30" t="s">
        <v>120</v>
      </c>
      <c r="C86" s="41">
        <v>33100000</v>
      </c>
      <c r="D86" s="41" t="s">
        <v>28</v>
      </c>
      <c r="E86" s="32">
        <v>410000</v>
      </c>
      <c r="F86" s="42" t="s">
        <v>56</v>
      </c>
      <c r="G86" s="34" t="s">
        <v>114</v>
      </c>
      <c r="H86" s="43"/>
    </row>
    <row r="87" spans="2:10" s="18" customFormat="1" ht="60.75" customHeight="1">
      <c r="B87" s="30" t="s">
        <v>120</v>
      </c>
      <c r="C87" s="31" t="s">
        <v>51</v>
      </c>
      <c r="D87" s="31" t="s">
        <v>36</v>
      </c>
      <c r="E87" s="32">
        <v>15000</v>
      </c>
      <c r="F87" s="33" t="s">
        <v>56</v>
      </c>
      <c r="G87" s="34" t="s">
        <v>114</v>
      </c>
      <c r="H87" s="35"/>
    </row>
    <row r="88" spans="2:10" s="18" customFormat="1" ht="65.25" customHeight="1">
      <c r="B88" s="53" t="s">
        <v>120</v>
      </c>
      <c r="C88" s="55">
        <v>85100000</v>
      </c>
      <c r="D88" s="55" t="s">
        <v>63</v>
      </c>
      <c r="E88" s="56">
        <f>1081996+37800</f>
        <v>1119796</v>
      </c>
      <c r="F88" s="57" t="s">
        <v>53</v>
      </c>
      <c r="G88" s="58" t="s">
        <v>153</v>
      </c>
      <c r="H88" s="66" t="s">
        <v>84</v>
      </c>
    </row>
    <row r="89" spans="2:10" s="18" customFormat="1" ht="65.25" customHeight="1">
      <c r="B89" s="53" t="s">
        <v>120</v>
      </c>
      <c r="C89" s="55">
        <v>85100000</v>
      </c>
      <c r="D89" s="55" t="s">
        <v>63</v>
      </c>
      <c r="E89" s="56">
        <v>85846</v>
      </c>
      <c r="F89" s="57" t="s">
        <v>53</v>
      </c>
      <c r="G89" s="58" t="s">
        <v>152</v>
      </c>
      <c r="H89" s="62" t="s">
        <v>154</v>
      </c>
    </row>
    <row r="90" spans="2:10" s="1" customFormat="1" ht="80.25" customHeight="1">
      <c r="B90" s="84" t="s">
        <v>129</v>
      </c>
      <c r="C90" s="85"/>
      <c r="D90" s="85"/>
      <c r="E90" s="16">
        <f>SUM(E91:E91)</f>
        <v>1890000</v>
      </c>
      <c r="F90" s="13"/>
      <c r="G90" s="14"/>
      <c r="H90" s="10"/>
      <c r="I90" s="26"/>
      <c r="J90" s="27"/>
    </row>
    <row r="91" spans="2:10" s="18" customFormat="1" ht="84.75" customHeight="1">
      <c r="B91" s="53" t="s">
        <v>120</v>
      </c>
      <c r="C91" s="55" t="s">
        <v>30</v>
      </c>
      <c r="D91" s="55" t="s">
        <v>29</v>
      </c>
      <c r="E91" s="56">
        <v>1890000</v>
      </c>
      <c r="F91" s="57" t="s">
        <v>53</v>
      </c>
      <c r="G91" s="58" t="s">
        <v>114</v>
      </c>
      <c r="H91" s="66" t="s">
        <v>84</v>
      </c>
    </row>
    <row r="92" spans="2:10" s="1" customFormat="1" ht="57.75" customHeight="1">
      <c r="B92" s="93" t="s">
        <v>130</v>
      </c>
      <c r="C92" s="94"/>
      <c r="D92" s="94"/>
      <c r="E92" s="22">
        <f>SUM(E93:E96)</f>
        <v>3317000</v>
      </c>
      <c r="F92" s="23"/>
      <c r="G92" s="23"/>
      <c r="H92" s="24"/>
      <c r="I92" s="26"/>
      <c r="J92" s="27"/>
    </row>
    <row r="93" spans="2:10" s="18" customFormat="1" ht="29.25" customHeight="1">
      <c r="B93" s="30" t="s">
        <v>120</v>
      </c>
      <c r="C93" s="45">
        <v>33100000</v>
      </c>
      <c r="D93" s="31" t="s">
        <v>8</v>
      </c>
      <c r="E93" s="32">
        <v>100000</v>
      </c>
      <c r="F93" s="33" t="s">
        <v>56</v>
      </c>
      <c r="G93" s="34" t="s">
        <v>114</v>
      </c>
      <c r="H93" s="34"/>
    </row>
    <row r="94" spans="2:10" s="18" customFormat="1" ht="33.75">
      <c r="B94" s="53" t="s">
        <v>120</v>
      </c>
      <c r="C94" s="59" t="s">
        <v>30</v>
      </c>
      <c r="D94" s="55" t="s">
        <v>9</v>
      </c>
      <c r="E94" s="56">
        <f>2500000-340000-630198.8</f>
        <v>1529801.2</v>
      </c>
      <c r="F94" s="57" t="s">
        <v>56</v>
      </c>
      <c r="G94" s="58" t="s">
        <v>114</v>
      </c>
      <c r="H94" s="58"/>
      <c r="I94" s="21">
        <f>E92-3317000</f>
        <v>0</v>
      </c>
    </row>
    <row r="95" spans="2:10" s="18" customFormat="1" ht="90.75" customHeight="1">
      <c r="B95" s="53" t="s">
        <v>120</v>
      </c>
      <c r="C95" s="55" t="s">
        <v>24</v>
      </c>
      <c r="D95" s="55" t="s">
        <v>63</v>
      </c>
      <c r="E95" s="56">
        <v>111542</v>
      </c>
      <c r="F95" s="57" t="s">
        <v>77</v>
      </c>
      <c r="G95" s="58" t="s">
        <v>153</v>
      </c>
      <c r="H95" s="62" t="s">
        <v>154</v>
      </c>
      <c r="I95" s="21"/>
    </row>
    <row r="96" spans="2:10" s="18" customFormat="1" ht="75.75" customHeight="1">
      <c r="B96" s="53" t="s">
        <v>120</v>
      </c>
      <c r="C96" s="55" t="s">
        <v>24</v>
      </c>
      <c r="D96" s="55" t="s">
        <v>63</v>
      </c>
      <c r="E96" s="56">
        <f>840656.8+735000</f>
        <v>1575656.8</v>
      </c>
      <c r="F96" s="57" t="s">
        <v>77</v>
      </c>
      <c r="G96" s="58" t="s">
        <v>114</v>
      </c>
      <c r="H96" s="66" t="s">
        <v>84</v>
      </c>
      <c r="I96" s="21"/>
    </row>
    <row r="97" spans="2:10" ht="133.5" customHeight="1">
      <c r="B97" s="84" t="s">
        <v>131</v>
      </c>
      <c r="C97" s="85"/>
      <c r="D97" s="85"/>
      <c r="E97" s="16">
        <f>SUM(E98)</f>
        <v>2420000</v>
      </c>
      <c r="F97" s="13"/>
      <c r="G97" s="14"/>
      <c r="H97" s="10"/>
      <c r="I97" s="26"/>
      <c r="J97" s="28"/>
    </row>
    <row r="98" spans="2:10" s="18" customFormat="1" ht="117.75" customHeight="1">
      <c r="B98" s="53" t="s">
        <v>120</v>
      </c>
      <c r="C98" s="55" t="s">
        <v>30</v>
      </c>
      <c r="D98" s="55" t="s">
        <v>29</v>
      </c>
      <c r="E98" s="56">
        <v>2420000</v>
      </c>
      <c r="F98" s="57" t="s">
        <v>77</v>
      </c>
      <c r="G98" s="58" t="s">
        <v>114</v>
      </c>
      <c r="H98" s="66" t="s">
        <v>84</v>
      </c>
    </row>
    <row r="99" spans="2:10" s="1" customFormat="1" ht="57" customHeight="1">
      <c r="B99" s="95" t="s">
        <v>132</v>
      </c>
      <c r="C99" s="96"/>
      <c r="D99" s="96"/>
      <c r="E99" s="16">
        <f>SUM(E100:E104)</f>
        <v>430000</v>
      </c>
      <c r="F99" s="13"/>
      <c r="G99" s="25"/>
      <c r="H99" s="25"/>
      <c r="I99" s="26"/>
      <c r="J99" s="27"/>
    </row>
    <row r="100" spans="2:10" s="18" customFormat="1" ht="59.25" customHeight="1">
      <c r="B100" s="30" t="s">
        <v>133</v>
      </c>
      <c r="C100" s="31">
        <v>33100000</v>
      </c>
      <c r="D100" s="31" t="s">
        <v>28</v>
      </c>
      <c r="E100" s="32">
        <v>10000</v>
      </c>
      <c r="F100" s="33" t="s">
        <v>56</v>
      </c>
      <c r="G100" s="34" t="s">
        <v>114</v>
      </c>
      <c r="H100" s="35"/>
    </row>
    <row r="101" spans="2:10" s="18" customFormat="1" ht="33.75">
      <c r="B101" s="30" t="s">
        <v>133</v>
      </c>
      <c r="C101" s="37">
        <v>33600000</v>
      </c>
      <c r="D101" s="37" t="s">
        <v>29</v>
      </c>
      <c r="E101" s="32">
        <v>320000</v>
      </c>
      <c r="F101" s="38" t="s">
        <v>56</v>
      </c>
      <c r="G101" s="34" t="s">
        <v>114</v>
      </c>
      <c r="H101" s="39"/>
    </row>
    <row r="102" spans="2:10" s="18" customFormat="1" ht="69" customHeight="1">
      <c r="B102" s="53" t="s">
        <v>120</v>
      </c>
      <c r="C102" s="59" t="s">
        <v>24</v>
      </c>
      <c r="D102" s="55" t="s">
        <v>63</v>
      </c>
      <c r="E102" s="56">
        <f>16450</f>
        <v>16450</v>
      </c>
      <c r="F102" s="57" t="s">
        <v>53</v>
      </c>
      <c r="G102" s="58" t="s">
        <v>114</v>
      </c>
      <c r="H102" s="66" t="s">
        <v>84</v>
      </c>
    </row>
    <row r="103" spans="2:10" s="18" customFormat="1" ht="51" customHeight="1">
      <c r="B103" s="53" t="s">
        <v>120</v>
      </c>
      <c r="C103" s="59" t="s">
        <v>24</v>
      </c>
      <c r="D103" s="55" t="s">
        <v>63</v>
      </c>
      <c r="E103" s="56">
        <f>100000-E102-E104</f>
        <v>75325</v>
      </c>
      <c r="F103" s="57" t="s">
        <v>56</v>
      </c>
      <c r="G103" s="58" t="s">
        <v>114</v>
      </c>
      <c r="H103" s="62"/>
    </row>
    <row r="104" spans="2:10" s="18" customFormat="1" ht="103.5" customHeight="1">
      <c r="B104" s="53" t="s">
        <v>120</v>
      </c>
      <c r="C104" s="59" t="s">
        <v>155</v>
      </c>
      <c r="D104" s="55" t="s">
        <v>63</v>
      </c>
      <c r="E104" s="71">
        <v>8225</v>
      </c>
      <c r="F104" s="57" t="s">
        <v>53</v>
      </c>
      <c r="G104" s="58" t="s">
        <v>153</v>
      </c>
      <c r="H104" s="62" t="s">
        <v>146</v>
      </c>
    </row>
    <row r="105" spans="2:10" ht="59.25" customHeight="1">
      <c r="B105" s="84" t="s">
        <v>134</v>
      </c>
      <c r="C105" s="85"/>
      <c r="D105" s="85"/>
      <c r="E105" s="16">
        <f>SUM(E106:E109)</f>
        <v>1240000</v>
      </c>
      <c r="F105" s="13"/>
      <c r="G105" s="14"/>
      <c r="H105" s="10"/>
      <c r="I105" s="26"/>
      <c r="J105" s="28"/>
    </row>
    <row r="106" spans="2:10" s="18" customFormat="1" ht="42.75" customHeight="1">
      <c r="B106" s="64" t="s">
        <v>120</v>
      </c>
      <c r="C106" s="55" t="s">
        <v>25</v>
      </c>
      <c r="D106" s="55" t="s">
        <v>61</v>
      </c>
      <c r="E106" s="56">
        <f>1500000-170000-260000-90000-86410</f>
        <v>893590</v>
      </c>
      <c r="F106" s="57" t="s">
        <v>56</v>
      </c>
      <c r="G106" s="58" t="s">
        <v>114</v>
      </c>
      <c r="H106" s="65"/>
      <c r="I106" s="21"/>
    </row>
    <row r="107" spans="2:10" s="18" customFormat="1" ht="42.75" customHeight="1">
      <c r="B107" s="46" t="s">
        <v>137</v>
      </c>
      <c r="C107" s="31" t="s">
        <v>135</v>
      </c>
      <c r="D107" s="31" t="s">
        <v>136</v>
      </c>
      <c r="E107" s="32">
        <v>170000</v>
      </c>
      <c r="F107" s="33" t="s">
        <v>56</v>
      </c>
      <c r="G107" s="34" t="s">
        <v>114</v>
      </c>
      <c r="H107" s="47"/>
    </row>
    <row r="108" spans="2:10" s="18" customFormat="1" ht="82.5" customHeight="1">
      <c r="B108" s="53" t="s">
        <v>120</v>
      </c>
      <c r="C108" s="55" t="s">
        <v>156</v>
      </c>
      <c r="D108" s="55" t="s">
        <v>157</v>
      </c>
      <c r="E108" s="56">
        <v>90000</v>
      </c>
      <c r="F108" s="57" t="s">
        <v>53</v>
      </c>
      <c r="G108" s="58" t="s">
        <v>153</v>
      </c>
      <c r="H108" s="66" t="s">
        <v>84</v>
      </c>
    </row>
    <row r="109" spans="2:10" s="19" customFormat="1" ht="81.75" customHeight="1">
      <c r="B109" s="72" t="s">
        <v>120</v>
      </c>
      <c r="C109" s="73" t="s">
        <v>25</v>
      </c>
      <c r="D109" s="73" t="s">
        <v>61</v>
      </c>
      <c r="E109" s="74">
        <v>86410</v>
      </c>
      <c r="F109" s="75" t="s">
        <v>53</v>
      </c>
      <c r="G109" s="76" t="s">
        <v>151</v>
      </c>
      <c r="H109" s="77" t="s">
        <v>84</v>
      </c>
    </row>
    <row r="110" spans="2:10" ht="70.5" customHeight="1">
      <c r="B110" s="84" t="s">
        <v>138</v>
      </c>
      <c r="C110" s="85"/>
      <c r="D110" s="85"/>
      <c r="E110" s="16">
        <f>SUM(E111:E113)</f>
        <v>790000</v>
      </c>
      <c r="F110" s="13"/>
      <c r="G110" s="14"/>
      <c r="H110" s="10"/>
      <c r="I110" s="26"/>
      <c r="J110" s="28"/>
    </row>
    <row r="111" spans="2:10" s="18" customFormat="1" ht="33.75">
      <c r="B111" s="46" t="s">
        <v>120</v>
      </c>
      <c r="C111" s="31" t="s">
        <v>30</v>
      </c>
      <c r="D111" s="31" t="s">
        <v>29</v>
      </c>
      <c r="E111" s="32">
        <f>300000+300000</f>
        <v>600000</v>
      </c>
      <c r="F111" s="31" t="s">
        <v>56</v>
      </c>
      <c r="G111" s="34" t="s">
        <v>114</v>
      </c>
      <c r="H111" s="31"/>
    </row>
    <row r="112" spans="2:10" s="18" customFormat="1" ht="33.75">
      <c r="B112" s="46" t="s">
        <v>120</v>
      </c>
      <c r="C112" s="31" t="s">
        <v>7</v>
      </c>
      <c r="D112" s="31" t="s">
        <v>28</v>
      </c>
      <c r="E112" s="32">
        <f>150000</f>
        <v>150000</v>
      </c>
      <c r="F112" s="31" t="s">
        <v>56</v>
      </c>
      <c r="G112" s="34" t="s">
        <v>114</v>
      </c>
      <c r="H112" s="31"/>
    </row>
    <row r="113" spans="2:8" ht="33.75">
      <c r="B113" s="46" t="s">
        <v>120</v>
      </c>
      <c r="C113" s="31" t="s">
        <v>14</v>
      </c>
      <c r="D113" s="31" t="s">
        <v>32</v>
      </c>
      <c r="E113" s="32">
        <v>40000</v>
      </c>
      <c r="F113" s="31" t="s">
        <v>52</v>
      </c>
      <c r="G113" s="34" t="s">
        <v>124</v>
      </c>
      <c r="H113" s="31"/>
    </row>
    <row r="115" spans="2:8">
      <c r="E115" s="63"/>
    </row>
  </sheetData>
  <autoFilter ref="A8:H113"/>
  <mergeCells count="20">
    <mergeCell ref="B105:D105"/>
    <mergeCell ref="B110:D110"/>
    <mergeCell ref="B81:D81"/>
    <mergeCell ref="B84:D84"/>
    <mergeCell ref="B90:D90"/>
    <mergeCell ref="B92:D92"/>
    <mergeCell ref="B97:D97"/>
    <mergeCell ref="B99:D99"/>
    <mergeCell ref="B77:D77"/>
    <mergeCell ref="B2:H2"/>
    <mergeCell ref="B3:H3"/>
    <mergeCell ref="B4:E4"/>
    <mergeCell ref="F4:H4"/>
    <mergeCell ref="B5:E5"/>
    <mergeCell ref="F5:H5"/>
    <mergeCell ref="B6:F6"/>
    <mergeCell ref="B9:D9"/>
    <mergeCell ref="B61:D61"/>
    <mergeCell ref="B65:D65"/>
    <mergeCell ref="B71:D71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6"/>
  <sheetViews>
    <sheetView topLeftCell="B76" zoomScaleNormal="100" zoomScaleSheetLayoutView="80" workbookViewId="0">
      <selection activeCell="D60" sqref="D60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E9+E62+E66+E72+E78+E82+E85+E91+E93+E98+E100+E106+E111</f>
        <v>47065274.700000003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SUM(E10:E61)</f>
        <v>5079496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53" t="s">
        <v>120</v>
      </c>
      <c r="C14" s="73" t="s">
        <v>158</v>
      </c>
      <c r="D14" s="73" t="s">
        <v>159</v>
      </c>
      <c r="E14" s="56">
        <v>2316</v>
      </c>
      <c r="F14" s="75" t="s">
        <v>53</v>
      </c>
      <c r="G14" s="58" t="s">
        <v>160</v>
      </c>
      <c r="H14" s="73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53" t="s">
        <v>120</v>
      </c>
      <c r="C28" s="55">
        <v>50100000</v>
      </c>
      <c r="D28" s="55" t="s">
        <v>36</v>
      </c>
      <c r="E28" s="56">
        <f>20000+15000+10000</f>
        <v>45000</v>
      </c>
      <c r="F28" s="57" t="s">
        <v>53</v>
      </c>
      <c r="G28" s="58" t="s">
        <v>114</v>
      </c>
      <c r="H28" s="61" t="s">
        <v>58</v>
      </c>
    </row>
    <row r="29" spans="2:14" s="18" customFormat="1" ht="92.25" customHeight="1">
      <c r="B29" s="30" t="s">
        <v>120</v>
      </c>
      <c r="C29" s="31" t="s">
        <v>51</v>
      </c>
      <c r="D29" s="31" t="s">
        <v>54</v>
      </c>
      <c r="E29" s="32">
        <v>140000</v>
      </c>
      <c r="F29" s="33" t="s">
        <v>56</v>
      </c>
      <c r="G29" s="34" t="s">
        <v>114</v>
      </c>
      <c r="H29" s="37"/>
    </row>
    <row r="30" spans="2:14" s="18" customFormat="1" ht="92.25" customHeight="1">
      <c r="B30" s="30" t="s">
        <v>120</v>
      </c>
      <c r="C30" s="31" t="s">
        <v>92</v>
      </c>
      <c r="D30" s="31" t="s">
        <v>93</v>
      </c>
      <c r="E30" s="32">
        <v>60000</v>
      </c>
      <c r="F30" s="33" t="s">
        <v>56</v>
      </c>
      <c r="G30" s="34" t="s">
        <v>114</v>
      </c>
      <c r="H30" s="49"/>
    </row>
    <row r="31" spans="2:14" s="18" customFormat="1" ht="92.25" customHeight="1">
      <c r="B31" s="30" t="s">
        <v>120</v>
      </c>
      <c r="C31" s="31" t="s">
        <v>90</v>
      </c>
      <c r="D31" s="31" t="s">
        <v>91</v>
      </c>
      <c r="E31" s="32">
        <v>210000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94</v>
      </c>
      <c r="D32" s="31" t="s">
        <v>95</v>
      </c>
      <c r="E32" s="32">
        <v>90000</v>
      </c>
      <c r="F32" s="33" t="s">
        <v>56</v>
      </c>
      <c r="G32" s="34" t="s">
        <v>114</v>
      </c>
      <c r="H32" s="37"/>
    </row>
    <row r="33" spans="2:10" s="18" customFormat="1" ht="102.75" customHeight="1">
      <c r="B33" s="30" t="s">
        <v>120</v>
      </c>
      <c r="C33" s="31" t="s">
        <v>73</v>
      </c>
      <c r="D33" s="31" t="s">
        <v>74</v>
      </c>
      <c r="E33" s="32">
        <v>25000</v>
      </c>
      <c r="F33" s="33" t="s">
        <v>56</v>
      </c>
      <c r="G33" s="34" t="s">
        <v>114</v>
      </c>
      <c r="H33" s="31"/>
    </row>
    <row r="34" spans="2:10" s="18" customFormat="1" ht="115.5" customHeight="1">
      <c r="B34" s="30" t="s">
        <v>120</v>
      </c>
      <c r="C34" s="31">
        <v>50700000</v>
      </c>
      <c r="D34" s="31" t="s">
        <v>13</v>
      </c>
      <c r="E34" s="32">
        <v>1700000</v>
      </c>
      <c r="F34" s="31" t="s">
        <v>53</v>
      </c>
      <c r="G34" s="34" t="s">
        <v>114</v>
      </c>
      <c r="H34" s="31" t="s">
        <v>85</v>
      </c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115000</v>
      </c>
      <c r="F35" s="31" t="s">
        <v>56</v>
      </c>
      <c r="G35" s="34" t="s">
        <v>114</v>
      </c>
      <c r="H35" s="31"/>
    </row>
    <row r="36" spans="2:10" s="18" customFormat="1" ht="115.5" customHeight="1">
      <c r="B36" s="30" t="s">
        <v>120</v>
      </c>
      <c r="C36" s="31" t="s">
        <v>102</v>
      </c>
      <c r="D36" s="31" t="s">
        <v>103</v>
      </c>
      <c r="E36" s="32">
        <v>200000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96</v>
      </c>
      <c r="D37" s="31" t="s">
        <v>97</v>
      </c>
      <c r="E37" s="32">
        <v>120000</v>
      </c>
      <c r="F37" s="31" t="s">
        <v>56</v>
      </c>
      <c r="G37" s="34" t="s">
        <v>114</v>
      </c>
      <c r="H37" s="31"/>
    </row>
    <row r="38" spans="2:10" s="18" customFormat="1" ht="58.5" customHeight="1">
      <c r="B38" s="30" t="s">
        <v>120</v>
      </c>
      <c r="C38" s="48">
        <v>63700000</v>
      </c>
      <c r="D38" s="31" t="s">
        <v>62</v>
      </c>
      <c r="E38" s="32">
        <v>2000</v>
      </c>
      <c r="F38" s="33" t="s">
        <v>53</v>
      </c>
      <c r="G38" s="34" t="s">
        <v>114</v>
      </c>
      <c r="H38" s="34" t="s">
        <v>72</v>
      </c>
    </row>
    <row r="39" spans="2:10" s="18" customFormat="1" ht="63.75" customHeight="1">
      <c r="B39" s="30" t="s">
        <v>120</v>
      </c>
      <c r="C39" s="31" t="s">
        <v>39</v>
      </c>
      <c r="D39" s="31" t="s">
        <v>40</v>
      </c>
      <c r="E39" s="32">
        <v>10000</v>
      </c>
      <c r="F39" s="33" t="s">
        <v>56</v>
      </c>
      <c r="G39" s="34" t="s">
        <v>114</v>
      </c>
      <c r="H39" s="31"/>
    </row>
    <row r="40" spans="2:10" s="18" customFormat="1" ht="56.25">
      <c r="B40" s="30" t="s">
        <v>120</v>
      </c>
      <c r="C40" s="45" t="s">
        <v>18</v>
      </c>
      <c r="D40" s="31" t="s">
        <v>38</v>
      </c>
      <c r="E40" s="32">
        <v>25000</v>
      </c>
      <c r="F40" s="33" t="s">
        <v>53</v>
      </c>
      <c r="G40" s="34" t="s">
        <v>114</v>
      </c>
      <c r="H40" s="34" t="s">
        <v>82</v>
      </c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10000</v>
      </c>
      <c r="F41" s="33" t="s">
        <v>53</v>
      </c>
      <c r="G41" s="34" t="s">
        <v>114</v>
      </c>
      <c r="H41" s="34" t="s">
        <v>111</v>
      </c>
    </row>
    <row r="42" spans="2:10" s="18" customFormat="1" ht="33.75">
      <c r="B42" s="30" t="s">
        <v>120</v>
      </c>
      <c r="C42" s="45" t="s">
        <v>18</v>
      </c>
      <c r="D42" s="31" t="s">
        <v>38</v>
      </c>
      <c r="E42" s="32">
        <v>25000</v>
      </c>
      <c r="F42" s="33" t="s">
        <v>52</v>
      </c>
      <c r="G42" s="34" t="s">
        <v>114</v>
      </c>
      <c r="H42" s="52"/>
    </row>
    <row r="43" spans="2:10" s="18" customFormat="1" ht="50.25" customHeight="1">
      <c r="B43" s="30" t="s">
        <v>119</v>
      </c>
      <c r="C43" s="45" t="s">
        <v>99</v>
      </c>
      <c r="D43" s="31" t="s">
        <v>98</v>
      </c>
      <c r="E43" s="32">
        <v>30000</v>
      </c>
      <c r="F43" s="33" t="s">
        <v>144</v>
      </c>
      <c r="G43" s="34" t="s">
        <v>114</v>
      </c>
      <c r="H43" s="34"/>
    </row>
    <row r="44" spans="2:10" s="18" customFormat="1" ht="33.75">
      <c r="B44" s="30" t="s">
        <v>120</v>
      </c>
      <c r="C44" s="45" t="s">
        <v>47</v>
      </c>
      <c r="D44" s="31" t="s">
        <v>48</v>
      </c>
      <c r="E44" s="32">
        <v>1680</v>
      </c>
      <c r="F44" s="33" t="s">
        <v>77</v>
      </c>
      <c r="G44" s="34" t="s">
        <v>114</v>
      </c>
      <c r="H44" s="52"/>
    </row>
    <row r="45" spans="2:10" s="18" customFormat="1" ht="57" customHeight="1">
      <c r="B45" s="30" t="s">
        <v>120</v>
      </c>
      <c r="C45" s="45" t="s">
        <v>17</v>
      </c>
      <c r="D45" s="31" t="s">
        <v>16</v>
      </c>
      <c r="E45" s="32">
        <f>124000+28800</f>
        <v>152800</v>
      </c>
      <c r="F45" s="33" t="s">
        <v>53</v>
      </c>
      <c r="G45" s="34" t="s">
        <v>114</v>
      </c>
      <c r="H45" s="34" t="s">
        <v>59</v>
      </c>
    </row>
    <row r="46" spans="2:10" s="18" customFormat="1" ht="65.25" customHeight="1">
      <c r="B46" s="30" t="s">
        <v>120</v>
      </c>
      <c r="C46" s="45" t="s">
        <v>17</v>
      </c>
      <c r="D46" s="31" t="s">
        <v>16</v>
      </c>
      <c r="E46" s="32">
        <v>2000</v>
      </c>
      <c r="F46" s="33" t="s">
        <v>53</v>
      </c>
      <c r="G46" s="34" t="s">
        <v>114</v>
      </c>
      <c r="H46" s="34"/>
      <c r="J46" s="20"/>
    </row>
    <row r="47" spans="2:10" s="18" customFormat="1" ht="56.25">
      <c r="B47" s="30" t="s">
        <v>120</v>
      </c>
      <c r="C47" s="45" t="s">
        <v>64</v>
      </c>
      <c r="D47" s="31" t="s">
        <v>65</v>
      </c>
      <c r="E47" s="32">
        <v>1500</v>
      </c>
      <c r="F47" s="33" t="s">
        <v>53</v>
      </c>
      <c r="G47" s="34" t="s">
        <v>114</v>
      </c>
      <c r="H47" s="34" t="s">
        <v>66</v>
      </c>
    </row>
    <row r="48" spans="2:10" s="18" customFormat="1" ht="75" customHeight="1">
      <c r="B48" s="30" t="s">
        <v>120</v>
      </c>
      <c r="C48" s="45" t="s">
        <v>25</v>
      </c>
      <c r="D48" s="31" t="s">
        <v>104</v>
      </c>
      <c r="E48" s="32">
        <v>100000</v>
      </c>
      <c r="F48" s="33" t="s">
        <v>56</v>
      </c>
      <c r="G48" s="34" t="s">
        <v>114</v>
      </c>
      <c r="H48" s="34"/>
    </row>
    <row r="49" spans="2:10" s="18" customFormat="1" ht="75" customHeight="1">
      <c r="B49" s="30" t="s">
        <v>120</v>
      </c>
      <c r="C49" s="45" t="s">
        <v>112</v>
      </c>
      <c r="D49" s="31" t="s">
        <v>113</v>
      </c>
      <c r="E49" s="32">
        <v>3000</v>
      </c>
      <c r="F49" s="33" t="s">
        <v>53</v>
      </c>
      <c r="G49" s="34" t="s">
        <v>114</v>
      </c>
      <c r="H49" s="34" t="s">
        <v>66</v>
      </c>
    </row>
    <row r="50" spans="2:10" s="18" customFormat="1" ht="63.75" customHeight="1">
      <c r="B50" s="30" t="s">
        <v>120</v>
      </c>
      <c r="C50" s="31" t="s">
        <v>37</v>
      </c>
      <c r="D50" s="31" t="s">
        <v>55</v>
      </c>
      <c r="E50" s="32">
        <f>3950+6000</f>
        <v>9950</v>
      </c>
      <c r="F50" s="33" t="s">
        <v>56</v>
      </c>
      <c r="G50" s="34" t="s">
        <v>114</v>
      </c>
      <c r="H50" s="34"/>
    </row>
    <row r="51" spans="2:10" s="18" customFormat="1" ht="63.75" customHeight="1">
      <c r="B51" s="30" t="s">
        <v>120</v>
      </c>
      <c r="C51" s="31" t="s">
        <v>105</v>
      </c>
      <c r="D51" s="31" t="s">
        <v>106</v>
      </c>
      <c r="E51" s="32">
        <v>450</v>
      </c>
      <c r="F51" s="33" t="s">
        <v>53</v>
      </c>
      <c r="G51" s="34" t="s">
        <v>114</v>
      </c>
      <c r="H51" s="34"/>
    </row>
    <row r="52" spans="2:10" s="18" customFormat="1" ht="77.25" customHeight="1">
      <c r="B52" s="30" t="s">
        <v>120</v>
      </c>
      <c r="C52" s="48">
        <v>79700000</v>
      </c>
      <c r="D52" s="31" t="s">
        <v>27</v>
      </c>
      <c r="E52" s="32">
        <v>520000</v>
      </c>
      <c r="F52" s="33" t="s">
        <v>53</v>
      </c>
      <c r="G52" s="34" t="s">
        <v>114</v>
      </c>
      <c r="H52" s="34" t="s">
        <v>67</v>
      </c>
    </row>
    <row r="53" spans="2:10" s="18" customFormat="1" ht="62.25" customHeight="1">
      <c r="B53" s="30" t="s">
        <v>120</v>
      </c>
      <c r="C53" s="48">
        <v>79800000</v>
      </c>
      <c r="D53" s="31" t="s">
        <v>68</v>
      </c>
      <c r="E53" s="32">
        <f>10000+15000</f>
        <v>25000</v>
      </c>
      <c r="F53" s="33" t="s">
        <v>56</v>
      </c>
      <c r="G53" s="34" t="s">
        <v>114</v>
      </c>
      <c r="H53" s="34"/>
    </row>
    <row r="54" spans="2:10" s="18" customFormat="1" ht="62.25" customHeight="1">
      <c r="B54" s="30" t="s">
        <v>120</v>
      </c>
      <c r="C54" s="31" t="s">
        <v>45</v>
      </c>
      <c r="D54" s="31" t="s">
        <v>57</v>
      </c>
      <c r="E54" s="32">
        <v>25000</v>
      </c>
      <c r="F54" s="33" t="s">
        <v>53</v>
      </c>
      <c r="G54" s="34" t="s">
        <v>114</v>
      </c>
      <c r="H54" s="31" t="s">
        <v>60</v>
      </c>
    </row>
    <row r="55" spans="2:10" s="18" customFormat="1" ht="62.25" customHeight="1">
      <c r="B55" s="30" t="s">
        <v>120</v>
      </c>
      <c r="C55" s="45" t="s">
        <v>24</v>
      </c>
      <c r="D55" s="31" t="s">
        <v>63</v>
      </c>
      <c r="E55" s="32">
        <v>12000</v>
      </c>
      <c r="F55" s="33" t="s">
        <v>56</v>
      </c>
      <c r="G55" s="34" t="s">
        <v>114</v>
      </c>
      <c r="H55" s="31"/>
    </row>
    <row r="56" spans="2:10" s="18" customFormat="1" ht="62.25" customHeight="1">
      <c r="B56" s="30" t="s">
        <v>120</v>
      </c>
      <c r="C56" s="45" t="s">
        <v>107</v>
      </c>
      <c r="D56" s="31" t="s">
        <v>108</v>
      </c>
      <c r="E56" s="32">
        <v>1000</v>
      </c>
      <c r="F56" s="33" t="s">
        <v>53</v>
      </c>
      <c r="G56" s="34" t="s">
        <v>114</v>
      </c>
      <c r="H56" s="31"/>
    </row>
    <row r="57" spans="2:10" s="18" customFormat="1" ht="60.75" customHeight="1">
      <c r="B57" s="30" t="s">
        <v>120</v>
      </c>
      <c r="C57" s="31" t="s">
        <v>69</v>
      </c>
      <c r="D57" s="31" t="s">
        <v>70</v>
      </c>
      <c r="E57" s="32">
        <v>20000</v>
      </c>
      <c r="F57" s="33" t="s">
        <v>56</v>
      </c>
      <c r="G57" s="34" t="s">
        <v>114</v>
      </c>
      <c r="H57" s="49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10000</v>
      </c>
      <c r="F58" s="33" t="s">
        <v>77</v>
      </c>
      <c r="G58" s="34" t="s">
        <v>114</v>
      </c>
      <c r="H58" s="34" t="s">
        <v>66</v>
      </c>
    </row>
    <row r="59" spans="2:10" s="18" customFormat="1" ht="36.75" customHeight="1">
      <c r="B59" s="30" t="s">
        <v>120</v>
      </c>
      <c r="C59" s="31" t="s">
        <v>12</v>
      </c>
      <c r="D59" s="31" t="s">
        <v>19</v>
      </c>
      <c r="E59" s="32">
        <f>130000+6600</f>
        <v>136600</v>
      </c>
      <c r="F59" s="33" t="s">
        <v>56</v>
      </c>
      <c r="G59" s="34" t="s">
        <v>114</v>
      </c>
      <c r="H59" s="49"/>
    </row>
    <row r="60" spans="2:10" s="18" customFormat="1" ht="36.75" customHeight="1">
      <c r="B60" s="30" t="s">
        <v>120</v>
      </c>
      <c r="C60" s="31" t="s">
        <v>139</v>
      </c>
      <c r="D60" s="31" t="s">
        <v>140</v>
      </c>
      <c r="E60" s="32">
        <v>4900</v>
      </c>
      <c r="F60" s="33" t="s">
        <v>77</v>
      </c>
      <c r="G60" s="34" t="s">
        <v>114</v>
      </c>
      <c r="H60" s="34" t="s">
        <v>66</v>
      </c>
    </row>
    <row r="61" spans="2:10" s="18" customFormat="1" ht="54.75" customHeight="1">
      <c r="B61" s="30" t="s">
        <v>120</v>
      </c>
      <c r="C61" s="31" t="s">
        <v>100</v>
      </c>
      <c r="D61" s="31" t="s">
        <v>101</v>
      </c>
      <c r="E61" s="32">
        <v>15000</v>
      </c>
      <c r="F61" s="33" t="s">
        <v>53</v>
      </c>
      <c r="G61" s="34" t="s">
        <v>114</v>
      </c>
      <c r="H61" s="34" t="s">
        <v>66</v>
      </c>
    </row>
    <row r="62" spans="2:10" s="1" customFormat="1" ht="75" customHeight="1">
      <c r="B62" s="84" t="s">
        <v>122</v>
      </c>
      <c r="C62" s="85"/>
      <c r="D62" s="85"/>
      <c r="E62" s="16">
        <f>SUM(E63:E65)</f>
        <v>2524191.7000000002</v>
      </c>
      <c r="F62" s="13"/>
      <c r="G62" s="14"/>
      <c r="H62" s="10"/>
      <c r="I62" s="26"/>
      <c r="J62" s="27"/>
    </row>
    <row r="63" spans="2:10" s="18" customFormat="1" ht="59.25" customHeight="1">
      <c r="B63" s="30" t="s">
        <v>120</v>
      </c>
      <c r="C63" s="31" t="s">
        <v>24</v>
      </c>
      <c r="D63" s="31" t="s">
        <v>63</v>
      </c>
      <c r="E63" s="32">
        <v>2000000</v>
      </c>
      <c r="F63" s="33" t="s">
        <v>56</v>
      </c>
      <c r="G63" s="34" t="s">
        <v>114</v>
      </c>
      <c r="H63" s="35"/>
    </row>
    <row r="64" spans="2:10" s="18" customFormat="1" ht="90.75" customHeight="1">
      <c r="B64" s="30" t="s">
        <v>120</v>
      </c>
      <c r="C64" s="31" t="s">
        <v>24</v>
      </c>
      <c r="D64" s="31" t="s">
        <v>63</v>
      </c>
      <c r="E64" s="32">
        <v>121390</v>
      </c>
      <c r="F64" s="33" t="s">
        <v>53</v>
      </c>
      <c r="G64" s="34" t="s">
        <v>145</v>
      </c>
      <c r="H64" s="35" t="s">
        <v>146</v>
      </c>
    </row>
    <row r="65" spans="2:14" s="18" customFormat="1" ht="74.25" customHeight="1">
      <c r="B65" s="30" t="s">
        <v>120</v>
      </c>
      <c r="C65" s="31" t="s">
        <v>24</v>
      </c>
      <c r="D65" s="31" t="s">
        <v>63</v>
      </c>
      <c r="E65" s="32">
        <f>153466.1+13224+53288+19471.6+160022+3330</f>
        <v>402801.7</v>
      </c>
      <c r="F65" s="33" t="s">
        <v>53</v>
      </c>
      <c r="G65" s="34" t="s">
        <v>145</v>
      </c>
      <c r="H65" s="35" t="s">
        <v>147</v>
      </c>
    </row>
    <row r="66" spans="2:14" s="1" customFormat="1" ht="31.5" customHeight="1">
      <c r="B66" s="84" t="s">
        <v>123</v>
      </c>
      <c r="C66" s="85"/>
      <c r="D66" s="85"/>
      <c r="E66" s="16">
        <f>SUM(E67:E71)</f>
        <v>22970000</v>
      </c>
      <c r="F66" s="13"/>
      <c r="G66" s="9"/>
      <c r="H66" s="10"/>
      <c r="I66" s="26"/>
      <c r="J66" s="27"/>
    </row>
    <row r="67" spans="2:14" s="18" customFormat="1" ht="75.75" customHeight="1">
      <c r="B67" s="30" t="s">
        <v>120</v>
      </c>
      <c r="C67" s="31" t="s">
        <v>7</v>
      </c>
      <c r="D67" s="31" t="s">
        <v>49</v>
      </c>
      <c r="E67" s="32">
        <v>500000</v>
      </c>
      <c r="F67" s="33" t="s">
        <v>53</v>
      </c>
      <c r="G67" s="34" t="s">
        <v>114</v>
      </c>
      <c r="H67" s="36" t="s">
        <v>83</v>
      </c>
    </row>
    <row r="68" spans="2:14" s="18" customFormat="1" ht="75.75" customHeight="1">
      <c r="B68" s="30" t="s">
        <v>118</v>
      </c>
      <c r="C68" s="31" t="s">
        <v>7</v>
      </c>
      <c r="D68" s="31" t="s">
        <v>49</v>
      </c>
      <c r="E68" s="32">
        <v>100000</v>
      </c>
      <c r="F68" s="33" t="s">
        <v>53</v>
      </c>
      <c r="G68" s="34" t="s">
        <v>124</v>
      </c>
      <c r="H68" s="36" t="s">
        <v>83</v>
      </c>
    </row>
    <row r="69" spans="2:14" s="18" customFormat="1" ht="121.5" customHeight="1">
      <c r="B69" s="30" t="s">
        <v>120</v>
      </c>
      <c r="C69" s="31">
        <v>33600000</v>
      </c>
      <c r="D69" s="31" t="s">
        <v>29</v>
      </c>
      <c r="E69" s="32">
        <f>5721975+602964+2000000+200000</f>
        <v>8524939</v>
      </c>
      <c r="F69" s="33" t="s">
        <v>56</v>
      </c>
      <c r="G69" s="34" t="s">
        <v>114</v>
      </c>
      <c r="H69" s="35"/>
      <c r="I69" s="21"/>
      <c r="J69" s="29"/>
      <c r="K69" s="29"/>
      <c r="L69" s="29"/>
      <c r="M69" s="29"/>
      <c r="N69" s="29"/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v>5546250</v>
      </c>
      <c r="F70" s="33" t="s">
        <v>56</v>
      </c>
      <c r="G70" s="34" t="s">
        <v>114</v>
      </c>
      <c r="H70" s="35" t="s">
        <v>148</v>
      </c>
      <c r="I70" s="21"/>
      <c r="J70" s="29"/>
      <c r="K70" s="29"/>
      <c r="L70" s="29"/>
      <c r="M70" s="29"/>
      <c r="N70" s="29"/>
    </row>
    <row r="71" spans="2:14" s="18" customFormat="1" ht="87.75" customHeight="1">
      <c r="B71" s="30" t="s">
        <v>120</v>
      </c>
      <c r="C71" s="31" t="s">
        <v>30</v>
      </c>
      <c r="D71" s="31" t="s">
        <v>29</v>
      </c>
      <c r="E71" s="32">
        <f>6000000+2328811-30000</f>
        <v>8298811</v>
      </c>
      <c r="F71" s="33" t="s">
        <v>53</v>
      </c>
      <c r="G71" s="34" t="s">
        <v>114</v>
      </c>
      <c r="H71" s="36" t="s">
        <v>84</v>
      </c>
      <c r="J71" s="21"/>
      <c r="K71" s="21"/>
      <c r="N71" s="21"/>
    </row>
    <row r="72" spans="2:14" s="1" customFormat="1" ht="60" customHeight="1">
      <c r="B72" s="84" t="s">
        <v>125</v>
      </c>
      <c r="C72" s="85"/>
      <c r="D72" s="85"/>
      <c r="E72" s="16">
        <f>SUM(E73:E77)</f>
        <v>1700000</v>
      </c>
      <c r="F72" s="13"/>
      <c r="G72" s="14"/>
      <c r="H72" s="10"/>
      <c r="I72" s="26"/>
      <c r="J72" s="27"/>
    </row>
    <row r="73" spans="2:14" s="18" customFormat="1" ht="36.75" customHeight="1">
      <c r="B73" s="30" t="s">
        <v>120</v>
      </c>
      <c r="C73" s="31" t="s">
        <v>7</v>
      </c>
      <c r="D73" s="31" t="s">
        <v>28</v>
      </c>
      <c r="E73" s="32">
        <v>50000</v>
      </c>
      <c r="F73" s="33" t="s">
        <v>56</v>
      </c>
      <c r="G73" s="34" t="s">
        <v>114</v>
      </c>
      <c r="H73" s="35"/>
    </row>
    <row r="74" spans="2:14" s="18" customFormat="1" ht="30.75" customHeight="1">
      <c r="B74" s="30" t="s">
        <v>120</v>
      </c>
      <c r="C74" s="31" t="s">
        <v>30</v>
      </c>
      <c r="D74" s="31" t="s">
        <v>29</v>
      </c>
      <c r="E74" s="32">
        <f>200000-92300-30220</f>
        <v>77480</v>
      </c>
      <c r="F74" s="33" t="s">
        <v>56</v>
      </c>
      <c r="G74" s="34" t="s">
        <v>114</v>
      </c>
      <c r="H74" s="35"/>
    </row>
    <row r="75" spans="2:14" s="18" customFormat="1" ht="45" customHeight="1">
      <c r="B75" s="30" t="s">
        <v>120</v>
      </c>
      <c r="C75" s="31" t="s">
        <v>75</v>
      </c>
      <c r="D75" s="31" t="s">
        <v>76</v>
      </c>
      <c r="E75" s="32">
        <f>620000+92300</f>
        <v>712300</v>
      </c>
      <c r="F75" s="33" t="s">
        <v>56</v>
      </c>
      <c r="G75" s="34" t="s">
        <v>114</v>
      </c>
      <c r="H75" s="36"/>
    </row>
    <row r="76" spans="2:14" s="18" customFormat="1" ht="78" customHeight="1">
      <c r="B76" s="30" t="s">
        <v>120</v>
      </c>
      <c r="C76" s="31" t="s">
        <v>24</v>
      </c>
      <c r="D76" s="31" t="s">
        <v>63</v>
      </c>
      <c r="E76" s="32">
        <v>52208</v>
      </c>
      <c r="F76" s="33" t="s">
        <v>53</v>
      </c>
      <c r="G76" s="34" t="s">
        <v>149</v>
      </c>
      <c r="H76" s="36" t="s">
        <v>150</v>
      </c>
      <c r="J76" s="21"/>
    </row>
    <row r="77" spans="2:14" s="18" customFormat="1" ht="87.75" customHeight="1">
      <c r="B77" s="30" t="s">
        <v>120</v>
      </c>
      <c r="C77" s="31" t="s">
        <v>24</v>
      </c>
      <c r="D77" s="31" t="s">
        <v>63</v>
      </c>
      <c r="E77" s="32">
        <f>577500+171079.6+10376.4+3456+45600</f>
        <v>808012</v>
      </c>
      <c r="F77" s="33" t="s">
        <v>53</v>
      </c>
      <c r="G77" s="34" t="s">
        <v>151</v>
      </c>
      <c r="H77" s="36" t="s">
        <v>84</v>
      </c>
      <c r="J77" s="21"/>
    </row>
    <row r="78" spans="2:14" s="1" customFormat="1" ht="65.25" customHeight="1">
      <c r="B78" s="84" t="s">
        <v>126</v>
      </c>
      <c r="C78" s="85"/>
      <c r="D78" s="85"/>
      <c r="E78" s="16">
        <f>SUM(E79:E81)</f>
        <v>2864778</v>
      </c>
      <c r="F78" s="13"/>
      <c r="G78" s="14"/>
      <c r="H78" s="10"/>
      <c r="I78" s="26"/>
      <c r="J78" s="27"/>
    </row>
    <row r="79" spans="2:14" s="18" customFormat="1" ht="33.75">
      <c r="B79" s="30" t="s">
        <v>120</v>
      </c>
      <c r="C79" s="37" t="s">
        <v>25</v>
      </c>
      <c r="D79" s="37" t="s">
        <v>61</v>
      </c>
      <c r="E79" s="32">
        <v>200000</v>
      </c>
      <c r="F79" s="38" t="s">
        <v>56</v>
      </c>
      <c r="G79" s="34" t="s">
        <v>114</v>
      </c>
      <c r="H79" s="39"/>
    </row>
    <row r="80" spans="2:14" s="18" customFormat="1" ht="87.75" customHeight="1">
      <c r="B80" s="30" t="s">
        <v>120</v>
      </c>
      <c r="C80" s="31">
        <v>85100000</v>
      </c>
      <c r="D80" s="31" t="s">
        <v>63</v>
      </c>
      <c r="E80" s="32">
        <v>203458</v>
      </c>
      <c r="F80" s="33" t="s">
        <v>53</v>
      </c>
      <c r="G80" s="34" t="s">
        <v>152</v>
      </c>
      <c r="H80" s="40" t="s">
        <v>154</v>
      </c>
    </row>
    <row r="81" spans="2:10" s="18" customFormat="1" ht="69.75" customHeight="1">
      <c r="B81" s="30" t="s">
        <v>120</v>
      </c>
      <c r="C81" s="31">
        <v>85100000</v>
      </c>
      <c r="D81" s="31" t="s">
        <v>63</v>
      </c>
      <c r="E81" s="32">
        <v>2461320</v>
      </c>
      <c r="F81" s="33" t="s">
        <v>53</v>
      </c>
      <c r="G81" s="34" t="s">
        <v>153</v>
      </c>
      <c r="H81" s="36" t="s">
        <v>84</v>
      </c>
    </row>
    <row r="82" spans="2:10" s="1" customFormat="1" ht="61.5" customHeight="1">
      <c r="B82" s="84" t="s">
        <v>127</v>
      </c>
      <c r="C82" s="85"/>
      <c r="D82" s="85"/>
      <c r="E82" s="16">
        <f>SUM(E83:E84)</f>
        <v>184167</v>
      </c>
      <c r="F82" s="13"/>
      <c r="G82" s="14"/>
      <c r="H82" s="10"/>
      <c r="I82" s="26"/>
      <c r="J82" s="27"/>
    </row>
    <row r="83" spans="2:10" s="18" customFormat="1" ht="75" customHeight="1">
      <c r="B83" s="30" t="s">
        <v>120</v>
      </c>
      <c r="C83" s="31" t="s">
        <v>24</v>
      </c>
      <c r="D83" s="31" t="s">
        <v>63</v>
      </c>
      <c r="E83" s="32">
        <v>170000</v>
      </c>
      <c r="F83" s="33" t="s">
        <v>53</v>
      </c>
      <c r="G83" s="34" t="s">
        <v>153</v>
      </c>
      <c r="H83" s="36" t="s">
        <v>84</v>
      </c>
    </row>
    <row r="84" spans="2:10" s="18" customFormat="1" ht="91.5" customHeight="1">
      <c r="B84" s="30" t="s">
        <v>120</v>
      </c>
      <c r="C84" s="31" t="s">
        <v>24</v>
      </c>
      <c r="D84" s="31" t="s">
        <v>63</v>
      </c>
      <c r="E84" s="32">
        <v>14167</v>
      </c>
      <c r="F84" s="33" t="s">
        <v>53</v>
      </c>
      <c r="G84" s="34" t="s">
        <v>152</v>
      </c>
      <c r="H84" s="40" t="s">
        <v>154</v>
      </c>
    </row>
    <row r="85" spans="2:10" s="1" customFormat="1" ht="65.25" customHeight="1">
      <c r="B85" s="95" t="s">
        <v>128</v>
      </c>
      <c r="C85" s="96"/>
      <c r="D85" s="96"/>
      <c r="E85" s="16">
        <f>SUM(E86:E90)</f>
        <v>1655642</v>
      </c>
      <c r="F85" s="13"/>
      <c r="G85" s="14"/>
      <c r="H85" s="25"/>
      <c r="I85" s="26"/>
      <c r="J85" s="27"/>
    </row>
    <row r="86" spans="2:10" s="18" customFormat="1" ht="49.5" customHeight="1">
      <c r="B86" s="30" t="s">
        <v>120</v>
      </c>
      <c r="C86" s="31" t="s">
        <v>14</v>
      </c>
      <c r="D86" s="31" t="s">
        <v>15</v>
      </c>
      <c r="E86" s="32">
        <v>25000</v>
      </c>
      <c r="F86" s="33" t="s">
        <v>52</v>
      </c>
      <c r="G86" s="34" t="s">
        <v>114</v>
      </c>
      <c r="H86" s="35"/>
    </row>
    <row r="87" spans="2:10" s="18" customFormat="1" ht="33.75">
      <c r="B87" s="30" t="s">
        <v>120</v>
      </c>
      <c r="C87" s="41">
        <v>33100000</v>
      </c>
      <c r="D87" s="41" t="s">
        <v>28</v>
      </c>
      <c r="E87" s="32">
        <v>410000</v>
      </c>
      <c r="F87" s="42" t="s">
        <v>56</v>
      </c>
      <c r="G87" s="34" t="s">
        <v>114</v>
      </c>
      <c r="H87" s="43"/>
    </row>
    <row r="88" spans="2:10" s="18" customFormat="1" ht="60.75" customHeight="1">
      <c r="B88" s="30" t="s">
        <v>120</v>
      </c>
      <c r="C88" s="31" t="s">
        <v>51</v>
      </c>
      <c r="D88" s="31" t="s">
        <v>36</v>
      </c>
      <c r="E88" s="32">
        <v>15000</v>
      </c>
      <c r="F88" s="33" t="s">
        <v>56</v>
      </c>
      <c r="G88" s="34" t="s">
        <v>114</v>
      </c>
      <c r="H88" s="35"/>
    </row>
    <row r="89" spans="2:10" s="18" customFormat="1" ht="65.25" customHeight="1">
      <c r="B89" s="30" t="s">
        <v>120</v>
      </c>
      <c r="C89" s="31">
        <v>85100000</v>
      </c>
      <c r="D89" s="31" t="s">
        <v>63</v>
      </c>
      <c r="E89" s="32">
        <f>1081996+37800</f>
        <v>1119796</v>
      </c>
      <c r="F89" s="33" t="s">
        <v>53</v>
      </c>
      <c r="G89" s="34" t="s">
        <v>153</v>
      </c>
      <c r="H89" s="36" t="s">
        <v>84</v>
      </c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v>85846</v>
      </c>
      <c r="F90" s="33" t="s">
        <v>53</v>
      </c>
      <c r="G90" s="34" t="s">
        <v>152</v>
      </c>
      <c r="H90" s="40" t="s">
        <v>154</v>
      </c>
    </row>
    <row r="91" spans="2:10" s="1" customFormat="1" ht="80.25" customHeight="1">
      <c r="B91" s="84" t="s">
        <v>129</v>
      </c>
      <c r="C91" s="85"/>
      <c r="D91" s="85"/>
      <c r="E91" s="16">
        <f>SUM(E92:E92)</f>
        <v>1890000</v>
      </c>
      <c r="F91" s="13"/>
      <c r="G91" s="14"/>
      <c r="H91" s="10"/>
      <c r="I91" s="26"/>
      <c r="J91" s="27"/>
    </row>
    <row r="92" spans="2:10" s="18" customFormat="1" ht="84.75" customHeight="1">
      <c r="B92" s="30" t="s">
        <v>120</v>
      </c>
      <c r="C92" s="31" t="s">
        <v>30</v>
      </c>
      <c r="D92" s="31" t="s">
        <v>29</v>
      </c>
      <c r="E92" s="32">
        <v>1890000</v>
      </c>
      <c r="F92" s="33" t="s">
        <v>53</v>
      </c>
      <c r="G92" s="34" t="s">
        <v>114</v>
      </c>
      <c r="H92" s="36" t="s">
        <v>84</v>
      </c>
    </row>
    <row r="93" spans="2:10" s="1" customFormat="1" ht="57.75" customHeight="1">
      <c r="B93" s="93" t="s">
        <v>130</v>
      </c>
      <c r="C93" s="94"/>
      <c r="D93" s="94"/>
      <c r="E93" s="22">
        <f>SUM(E94:E97)</f>
        <v>3317000</v>
      </c>
      <c r="F93" s="23"/>
      <c r="G93" s="23"/>
      <c r="H93" s="24"/>
      <c r="I93" s="26"/>
      <c r="J93" s="27"/>
    </row>
    <row r="94" spans="2:10" s="18" customFormat="1" ht="29.25" customHeight="1">
      <c r="B94" s="30" t="s">
        <v>120</v>
      </c>
      <c r="C94" s="45">
        <v>33100000</v>
      </c>
      <c r="D94" s="31" t="s">
        <v>8</v>
      </c>
      <c r="E94" s="32">
        <v>100000</v>
      </c>
      <c r="F94" s="33" t="s">
        <v>56</v>
      </c>
      <c r="G94" s="34" t="s">
        <v>114</v>
      </c>
      <c r="H94" s="34"/>
    </row>
    <row r="95" spans="2:10" s="18" customFormat="1" ht="33.75">
      <c r="B95" s="30" t="s">
        <v>120</v>
      </c>
      <c r="C95" s="45" t="s">
        <v>30</v>
      </c>
      <c r="D95" s="31" t="s">
        <v>9</v>
      </c>
      <c r="E95" s="32">
        <f>2500000-340000-630198.8</f>
        <v>1529801.2</v>
      </c>
      <c r="F95" s="33" t="s">
        <v>56</v>
      </c>
      <c r="G95" s="34" t="s">
        <v>114</v>
      </c>
      <c r="H95" s="34"/>
      <c r="I95" s="21">
        <f>E93-3317000</f>
        <v>0</v>
      </c>
    </row>
    <row r="96" spans="2:10" s="18" customFormat="1" ht="90.75" customHeight="1">
      <c r="B96" s="30" t="s">
        <v>120</v>
      </c>
      <c r="C96" s="31" t="s">
        <v>24</v>
      </c>
      <c r="D96" s="31" t="s">
        <v>63</v>
      </c>
      <c r="E96" s="32">
        <v>111542</v>
      </c>
      <c r="F96" s="33" t="s">
        <v>77</v>
      </c>
      <c r="G96" s="34" t="s">
        <v>153</v>
      </c>
      <c r="H96" s="40" t="s">
        <v>154</v>
      </c>
      <c r="I96" s="21"/>
    </row>
    <row r="97" spans="2:10" s="18" customFormat="1" ht="75.75" customHeight="1">
      <c r="B97" s="30" t="s">
        <v>120</v>
      </c>
      <c r="C97" s="31" t="s">
        <v>24</v>
      </c>
      <c r="D97" s="31" t="s">
        <v>63</v>
      </c>
      <c r="E97" s="32">
        <f>840656.8+735000</f>
        <v>1575656.8</v>
      </c>
      <c r="F97" s="33" t="s">
        <v>77</v>
      </c>
      <c r="G97" s="34" t="s">
        <v>114</v>
      </c>
      <c r="H97" s="36" t="s">
        <v>84</v>
      </c>
      <c r="I97" s="21"/>
    </row>
    <row r="98" spans="2:10" ht="133.5" customHeight="1">
      <c r="B98" s="84" t="s">
        <v>131</v>
      </c>
      <c r="C98" s="85"/>
      <c r="D98" s="85"/>
      <c r="E98" s="16">
        <f>SUM(E99)</f>
        <v>2420000</v>
      </c>
      <c r="F98" s="13"/>
      <c r="G98" s="14"/>
      <c r="H98" s="10"/>
      <c r="I98" s="26"/>
      <c r="J98" s="28"/>
    </row>
    <row r="99" spans="2:10" s="18" customFormat="1" ht="117.75" customHeight="1">
      <c r="B99" s="30" t="s">
        <v>120</v>
      </c>
      <c r="C99" s="31" t="s">
        <v>30</v>
      </c>
      <c r="D99" s="31" t="s">
        <v>29</v>
      </c>
      <c r="E99" s="32">
        <v>2420000</v>
      </c>
      <c r="F99" s="33" t="s">
        <v>77</v>
      </c>
      <c r="G99" s="34" t="s">
        <v>114</v>
      </c>
      <c r="H99" s="36" t="s">
        <v>84</v>
      </c>
    </row>
    <row r="100" spans="2:10" s="1" customFormat="1" ht="57" customHeight="1">
      <c r="B100" s="95" t="s">
        <v>132</v>
      </c>
      <c r="C100" s="96"/>
      <c r="D100" s="96"/>
      <c r="E100" s="16">
        <f>SUM(E101:E105)</f>
        <v>430000</v>
      </c>
      <c r="F100" s="13"/>
      <c r="G100" s="25"/>
      <c r="H100" s="25"/>
      <c r="I100" s="26"/>
      <c r="J100" s="27"/>
    </row>
    <row r="101" spans="2:10" s="18" customFormat="1" ht="59.25" customHeight="1">
      <c r="B101" s="30" t="s">
        <v>133</v>
      </c>
      <c r="C101" s="31">
        <v>33100000</v>
      </c>
      <c r="D101" s="31" t="s">
        <v>28</v>
      </c>
      <c r="E101" s="32">
        <v>10000</v>
      </c>
      <c r="F101" s="33" t="s">
        <v>56</v>
      </c>
      <c r="G101" s="34" t="s">
        <v>114</v>
      </c>
      <c r="H101" s="35"/>
    </row>
    <row r="102" spans="2:10" s="18" customFormat="1" ht="33.75">
      <c r="B102" s="30" t="s">
        <v>133</v>
      </c>
      <c r="C102" s="37">
        <v>33600000</v>
      </c>
      <c r="D102" s="37" t="s">
        <v>29</v>
      </c>
      <c r="E102" s="32">
        <v>320000</v>
      </c>
      <c r="F102" s="38" t="s">
        <v>56</v>
      </c>
      <c r="G102" s="34" t="s">
        <v>114</v>
      </c>
      <c r="H102" s="39"/>
    </row>
    <row r="103" spans="2:10" s="18" customFormat="1" ht="69" customHeight="1">
      <c r="B103" s="30" t="s">
        <v>120</v>
      </c>
      <c r="C103" s="45" t="s">
        <v>24</v>
      </c>
      <c r="D103" s="31" t="s">
        <v>63</v>
      </c>
      <c r="E103" s="32">
        <f>16450</f>
        <v>16450</v>
      </c>
      <c r="F103" s="33" t="s">
        <v>53</v>
      </c>
      <c r="G103" s="34" t="s">
        <v>114</v>
      </c>
      <c r="H103" s="36" t="s">
        <v>84</v>
      </c>
    </row>
    <row r="104" spans="2:10" s="18" customFormat="1" ht="51" customHeight="1">
      <c r="B104" s="30" t="s">
        <v>120</v>
      </c>
      <c r="C104" s="45" t="s">
        <v>24</v>
      </c>
      <c r="D104" s="31" t="s">
        <v>63</v>
      </c>
      <c r="E104" s="32">
        <f>100000-E103-E105</f>
        <v>75325</v>
      </c>
      <c r="F104" s="33" t="s">
        <v>56</v>
      </c>
      <c r="G104" s="34" t="s">
        <v>114</v>
      </c>
      <c r="H104" s="40"/>
    </row>
    <row r="105" spans="2:10" s="18" customFormat="1" ht="103.5" customHeight="1">
      <c r="B105" s="30" t="s">
        <v>120</v>
      </c>
      <c r="C105" s="45" t="s">
        <v>155</v>
      </c>
      <c r="D105" s="31" t="s">
        <v>63</v>
      </c>
      <c r="E105" s="82">
        <v>8225</v>
      </c>
      <c r="F105" s="33" t="s">
        <v>53</v>
      </c>
      <c r="G105" s="34" t="s">
        <v>153</v>
      </c>
      <c r="H105" s="40" t="s">
        <v>146</v>
      </c>
    </row>
    <row r="106" spans="2:10" ht="59.25" customHeight="1">
      <c r="B106" s="84" t="s">
        <v>134</v>
      </c>
      <c r="C106" s="85"/>
      <c r="D106" s="85"/>
      <c r="E106" s="16">
        <f>SUM(E107:E110)</f>
        <v>1240000</v>
      </c>
      <c r="F106" s="13"/>
      <c r="G106" s="14"/>
      <c r="H106" s="10"/>
      <c r="I106" s="26"/>
      <c r="J106" s="28"/>
    </row>
    <row r="107" spans="2:10" s="18" customFormat="1" ht="42.75" customHeight="1">
      <c r="B107" s="46" t="s">
        <v>120</v>
      </c>
      <c r="C107" s="31" t="s">
        <v>25</v>
      </c>
      <c r="D107" s="31" t="s">
        <v>61</v>
      </c>
      <c r="E107" s="32">
        <f>1500000-170000-260000-90000-86410</f>
        <v>893590</v>
      </c>
      <c r="F107" s="33" t="s">
        <v>56</v>
      </c>
      <c r="G107" s="34" t="s">
        <v>114</v>
      </c>
      <c r="H107" s="47"/>
      <c r="I107" s="21"/>
    </row>
    <row r="108" spans="2:10" s="18" customFormat="1" ht="42.75" customHeight="1">
      <c r="B108" s="46" t="s">
        <v>137</v>
      </c>
      <c r="C108" s="31" t="s">
        <v>135</v>
      </c>
      <c r="D108" s="31" t="s">
        <v>136</v>
      </c>
      <c r="E108" s="32">
        <v>170000</v>
      </c>
      <c r="F108" s="33" t="s">
        <v>56</v>
      </c>
      <c r="G108" s="34" t="s">
        <v>114</v>
      </c>
      <c r="H108" s="47"/>
    </row>
    <row r="109" spans="2:10" s="18" customFormat="1" ht="82.5" customHeight="1">
      <c r="B109" s="30" t="s">
        <v>120</v>
      </c>
      <c r="C109" s="31" t="s">
        <v>156</v>
      </c>
      <c r="D109" s="31" t="s">
        <v>157</v>
      </c>
      <c r="E109" s="32">
        <v>90000</v>
      </c>
      <c r="F109" s="33" t="s">
        <v>53</v>
      </c>
      <c r="G109" s="34" t="s">
        <v>153</v>
      </c>
      <c r="H109" s="36" t="s">
        <v>84</v>
      </c>
    </row>
    <row r="110" spans="2:10" s="19" customFormat="1" ht="81.75" customHeight="1">
      <c r="B110" s="78" t="s">
        <v>120</v>
      </c>
      <c r="C110" s="41" t="s">
        <v>25</v>
      </c>
      <c r="D110" s="41" t="s">
        <v>61</v>
      </c>
      <c r="E110" s="79">
        <v>86410</v>
      </c>
      <c r="F110" s="42" t="s">
        <v>53</v>
      </c>
      <c r="G110" s="80" t="s">
        <v>151</v>
      </c>
      <c r="H110" s="81" t="s">
        <v>84</v>
      </c>
    </row>
    <row r="111" spans="2:10" ht="70.5" customHeight="1">
      <c r="B111" s="84" t="s">
        <v>138</v>
      </c>
      <c r="C111" s="85"/>
      <c r="D111" s="85"/>
      <c r="E111" s="16">
        <f>SUM(E112:E114)</f>
        <v>790000</v>
      </c>
      <c r="F111" s="13"/>
      <c r="G111" s="14"/>
      <c r="H111" s="10"/>
      <c r="I111" s="26"/>
      <c r="J111" s="28"/>
    </row>
    <row r="112" spans="2:10" s="18" customFormat="1" ht="33.75">
      <c r="B112" s="46" t="s">
        <v>120</v>
      </c>
      <c r="C112" s="31" t="s">
        <v>30</v>
      </c>
      <c r="D112" s="31" t="s">
        <v>29</v>
      </c>
      <c r="E112" s="32">
        <f>300000+300000</f>
        <v>600000</v>
      </c>
      <c r="F112" s="31" t="s">
        <v>56</v>
      </c>
      <c r="G112" s="34" t="s">
        <v>114</v>
      </c>
      <c r="H112" s="31"/>
    </row>
    <row r="113" spans="2:8" s="18" customFormat="1" ht="33.75">
      <c r="B113" s="46" t="s">
        <v>120</v>
      </c>
      <c r="C113" s="31" t="s">
        <v>7</v>
      </c>
      <c r="D113" s="31" t="s">
        <v>28</v>
      </c>
      <c r="E113" s="32">
        <f>150000</f>
        <v>150000</v>
      </c>
      <c r="F113" s="31" t="s">
        <v>56</v>
      </c>
      <c r="G113" s="34" t="s">
        <v>114</v>
      </c>
      <c r="H113" s="31"/>
    </row>
    <row r="114" spans="2:8" ht="33.75">
      <c r="B114" s="46" t="s">
        <v>120</v>
      </c>
      <c r="C114" s="31" t="s">
        <v>14</v>
      </c>
      <c r="D114" s="31" t="s">
        <v>32</v>
      </c>
      <c r="E114" s="32">
        <v>40000</v>
      </c>
      <c r="F114" s="31" t="s">
        <v>52</v>
      </c>
      <c r="G114" s="34" t="s">
        <v>124</v>
      </c>
      <c r="H114" s="31"/>
    </row>
    <row r="116" spans="2:8">
      <c r="E116" s="63"/>
    </row>
  </sheetData>
  <autoFilter ref="A8:H114"/>
  <mergeCells count="20">
    <mergeCell ref="B78:D78"/>
    <mergeCell ref="B2:H2"/>
    <mergeCell ref="B3:H3"/>
    <mergeCell ref="B4:E4"/>
    <mergeCell ref="F4:H4"/>
    <mergeCell ref="B5:E5"/>
    <mergeCell ref="F5:H5"/>
    <mergeCell ref="B6:F6"/>
    <mergeCell ref="B9:D9"/>
    <mergeCell ref="B62:D62"/>
    <mergeCell ref="B66:D66"/>
    <mergeCell ref="B72:D72"/>
    <mergeCell ref="B106:D106"/>
    <mergeCell ref="B111:D111"/>
    <mergeCell ref="B82:D82"/>
    <mergeCell ref="B85:D85"/>
    <mergeCell ref="B91:D91"/>
    <mergeCell ref="B93:D93"/>
    <mergeCell ref="B98:D98"/>
    <mergeCell ref="B100:D100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7"/>
  <sheetViews>
    <sheetView topLeftCell="B61" zoomScaleNormal="100" zoomScaleSheetLayoutView="80" workbookViewId="0">
      <selection activeCell="E46" sqref="E46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E9+E63+E67+E73+E79+E83+E86+E92+E94+E99+E101+E107+E112</f>
        <v>47067954.700000003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SUM(E10:E62)</f>
        <v>5082176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31" t="s">
        <v>35</v>
      </c>
      <c r="D22" s="31" t="s">
        <v>34</v>
      </c>
      <c r="E22" s="32">
        <v>20000</v>
      </c>
      <c r="F22" s="33" t="s">
        <v>52</v>
      </c>
      <c r="G22" s="34" t="s">
        <v>114</v>
      </c>
      <c r="H22" s="44"/>
    </row>
    <row r="23" spans="2:14" s="18" customFormat="1" ht="33.75">
      <c r="B23" s="30" t="s">
        <v>120</v>
      </c>
      <c r="C23" s="31" t="s">
        <v>78</v>
      </c>
      <c r="D23" s="31" t="s">
        <v>79</v>
      </c>
      <c r="E23" s="32">
        <v>3000</v>
      </c>
      <c r="F23" s="33" t="s">
        <v>77</v>
      </c>
      <c r="G23" s="34" t="s">
        <v>114</v>
      </c>
      <c r="H23" s="49"/>
    </row>
    <row r="24" spans="2:14" s="18" customFormat="1" ht="33.75">
      <c r="B24" s="30" t="s">
        <v>120</v>
      </c>
      <c r="C24" s="31" t="s">
        <v>80</v>
      </c>
      <c r="D24" s="31" t="s">
        <v>81</v>
      </c>
      <c r="E24" s="32">
        <v>3000</v>
      </c>
      <c r="F24" s="33" t="s">
        <v>77</v>
      </c>
      <c r="G24" s="34" t="s">
        <v>114</v>
      </c>
      <c r="H24" s="49"/>
      <c r="N24" s="18" t="s">
        <v>143</v>
      </c>
    </row>
    <row r="25" spans="2:14" s="18" customFormat="1" ht="33.75">
      <c r="B25" s="30" t="s">
        <v>120</v>
      </c>
      <c r="C25" s="50">
        <v>39800000</v>
      </c>
      <c r="D25" s="50" t="s">
        <v>71</v>
      </c>
      <c r="E25" s="32">
        <v>2000</v>
      </c>
      <c r="F25" s="33" t="s">
        <v>77</v>
      </c>
      <c r="G25" s="34" t="s">
        <v>114</v>
      </c>
      <c r="H25" s="49"/>
    </row>
    <row r="26" spans="2:14" s="18" customFormat="1" ht="51.75" customHeight="1">
      <c r="B26" s="30" t="s">
        <v>120</v>
      </c>
      <c r="C26" s="48">
        <v>45400000</v>
      </c>
      <c r="D26" s="50" t="s">
        <v>88</v>
      </c>
      <c r="E26" s="32">
        <v>300000</v>
      </c>
      <c r="F26" s="33" t="s">
        <v>56</v>
      </c>
      <c r="G26" s="34" t="s">
        <v>114</v>
      </c>
      <c r="H26" s="49"/>
    </row>
    <row r="27" spans="2:14" s="18" customFormat="1" ht="37.5" customHeight="1">
      <c r="B27" s="30" t="s">
        <v>118</v>
      </c>
      <c r="C27" s="48">
        <v>48700000</v>
      </c>
      <c r="D27" s="31" t="s">
        <v>89</v>
      </c>
      <c r="E27" s="32">
        <v>80000</v>
      </c>
      <c r="F27" s="33" t="s">
        <v>56</v>
      </c>
      <c r="G27" s="34" t="s">
        <v>114</v>
      </c>
      <c r="H27" s="49"/>
    </row>
    <row r="28" spans="2:14" s="18" customFormat="1" ht="56.25">
      <c r="B28" s="30" t="s">
        <v>120</v>
      </c>
      <c r="C28" s="31">
        <v>50100000</v>
      </c>
      <c r="D28" s="31" t="s">
        <v>36</v>
      </c>
      <c r="E28" s="32">
        <f>20000+15000+10000</f>
        <v>45000</v>
      </c>
      <c r="F28" s="33" t="s">
        <v>53</v>
      </c>
      <c r="G28" s="34" t="s">
        <v>114</v>
      </c>
      <c r="H28" s="51" t="s">
        <v>58</v>
      </c>
    </row>
    <row r="29" spans="2:14" s="18" customFormat="1" ht="56.25">
      <c r="B29" s="53" t="s">
        <v>120</v>
      </c>
      <c r="C29" s="55">
        <v>50100000</v>
      </c>
      <c r="D29" s="55" t="s">
        <v>36</v>
      </c>
      <c r="E29" s="56">
        <f>2200+420+60</f>
        <v>2680</v>
      </c>
      <c r="F29" s="57" t="s">
        <v>53</v>
      </c>
      <c r="G29" s="58" t="s">
        <v>151</v>
      </c>
      <c r="H29" s="61" t="s">
        <v>72</v>
      </c>
    </row>
    <row r="30" spans="2:14" s="18" customFormat="1" ht="92.25" customHeight="1">
      <c r="B30" s="30" t="s">
        <v>120</v>
      </c>
      <c r="C30" s="31" t="s">
        <v>51</v>
      </c>
      <c r="D30" s="31" t="s">
        <v>54</v>
      </c>
      <c r="E30" s="32">
        <v>140000</v>
      </c>
      <c r="F30" s="33" t="s">
        <v>56</v>
      </c>
      <c r="G30" s="34" t="s">
        <v>114</v>
      </c>
      <c r="H30" s="37"/>
    </row>
    <row r="31" spans="2:14" s="18" customFormat="1" ht="92.25" customHeight="1">
      <c r="B31" s="30" t="s">
        <v>120</v>
      </c>
      <c r="C31" s="31" t="s">
        <v>92</v>
      </c>
      <c r="D31" s="31" t="s">
        <v>93</v>
      </c>
      <c r="E31" s="32">
        <v>60000</v>
      </c>
      <c r="F31" s="33" t="s">
        <v>56</v>
      </c>
      <c r="G31" s="34" t="s">
        <v>114</v>
      </c>
      <c r="H31" s="49"/>
    </row>
    <row r="32" spans="2:14" s="18" customFormat="1" ht="92.25" customHeight="1">
      <c r="B32" s="30" t="s">
        <v>120</v>
      </c>
      <c r="C32" s="31" t="s">
        <v>90</v>
      </c>
      <c r="D32" s="31" t="s">
        <v>91</v>
      </c>
      <c r="E32" s="32">
        <v>210000</v>
      </c>
      <c r="F32" s="33" t="s">
        <v>56</v>
      </c>
      <c r="G32" s="34" t="s">
        <v>114</v>
      </c>
      <c r="H32" s="37"/>
    </row>
    <row r="33" spans="2:10" s="18" customFormat="1" ht="92.25" customHeight="1">
      <c r="B33" s="30" t="s">
        <v>120</v>
      </c>
      <c r="C33" s="31" t="s">
        <v>94</v>
      </c>
      <c r="D33" s="31" t="s">
        <v>95</v>
      </c>
      <c r="E33" s="32">
        <v>90000</v>
      </c>
      <c r="F33" s="33" t="s">
        <v>56</v>
      </c>
      <c r="G33" s="34" t="s">
        <v>114</v>
      </c>
      <c r="H33" s="37"/>
    </row>
    <row r="34" spans="2:10" s="18" customFormat="1" ht="102.75" customHeight="1">
      <c r="B34" s="30" t="s">
        <v>120</v>
      </c>
      <c r="C34" s="31" t="s">
        <v>73</v>
      </c>
      <c r="D34" s="31" t="s">
        <v>74</v>
      </c>
      <c r="E34" s="32">
        <v>25000</v>
      </c>
      <c r="F34" s="33" t="s">
        <v>56</v>
      </c>
      <c r="G34" s="34" t="s">
        <v>114</v>
      </c>
      <c r="H34" s="31"/>
    </row>
    <row r="35" spans="2:10" s="18" customFormat="1" ht="115.5" customHeight="1">
      <c r="B35" s="30" t="s">
        <v>120</v>
      </c>
      <c r="C35" s="31">
        <v>50700000</v>
      </c>
      <c r="D35" s="31" t="s">
        <v>13</v>
      </c>
      <c r="E35" s="32">
        <v>1700000</v>
      </c>
      <c r="F35" s="31" t="s">
        <v>53</v>
      </c>
      <c r="G35" s="34" t="s">
        <v>114</v>
      </c>
      <c r="H35" s="31" t="s">
        <v>85</v>
      </c>
    </row>
    <row r="36" spans="2:10" s="18" customFormat="1" ht="115.5" customHeight="1">
      <c r="B36" s="30" t="s">
        <v>120</v>
      </c>
      <c r="C36" s="31">
        <v>50700000</v>
      </c>
      <c r="D36" s="31" t="s">
        <v>13</v>
      </c>
      <c r="E36" s="32">
        <v>115000</v>
      </c>
      <c r="F36" s="31" t="s">
        <v>56</v>
      </c>
      <c r="G36" s="34" t="s">
        <v>114</v>
      </c>
      <c r="H36" s="31"/>
    </row>
    <row r="37" spans="2:10" s="18" customFormat="1" ht="115.5" customHeight="1">
      <c r="B37" s="30" t="s">
        <v>120</v>
      </c>
      <c r="C37" s="31" t="s">
        <v>102</v>
      </c>
      <c r="D37" s="31" t="s">
        <v>103</v>
      </c>
      <c r="E37" s="32">
        <v>200000</v>
      </c>
      <c r="F37" s="31" t="s">
        <v>56</v>
      </c>
      <c r="G37" s="34" t="s">
        <v>114</v>
      </c>
      <c r="H37" s="31"/>
    </row>
    <row r="38" spans="2:10" s="18" customFormat="1" ht="115.5" customHeight="1">
      <c r="B38" s="30" t="s">
        <v>120</v>
      </c>
      <c r="C38" s="31" t="s">
        <v>96</v>
      </c>
      <c r="D38" s="31" t="s">
        <v>97</v>
      </c>
      <c r="E38" s="32">
        <v>120000</v>
      </c>
      <c r="F38" s="31" t="s">
        <v>56</v>
      </c>
      <c r="G38" s="34" t="s">
        <v>114</v>
      </c>
      <c r="H38" s="31"/>
    </row>
    <row r="39" spans="2:10" s="18" customFormat="1" ht="58.5" customHeight="1">
      <c r="B39" s="30" t="s">
        <v>120</v>
      </c>
      <c r="C39" s="48">
        <v>63700000</v>
      </c>
      <c r="D39" s="31" t="s">
        <v>62</v>
      </c>
      <c r="E39" s="32">
        <v>2000</v>
      </c>
      <c r="F39" s="33" t="s">
        <v>53</v>
      </c>
      <c r="G39" s="34" t="s">
        <v>114</v>
      </c>
      <c r="H39" s="34" t="s">
        <v>72</v>
      </c>
    </row>
    <row r="40" spans="2:10" s="18" customFormat="1" ht="63.75" customHeight="1">
      <c r="B40" s="30" t="s">
        <v>120</v>
      </c>
      <c r="C40" s="31" t="s">
        <v>39</v>
      </c>
      <c r="D40" s="31" t="s">
        <v>40</v>
      </c>
      <c r="E40" s="32">
        <v>10000</v>
      </c>
      <c r="F40" s="33" t="s">
        <v>56</v>
      </c>
      <c r="G40" s="34" t="s">
        <v>114</v>
      </c>
      <c r="H40" s="31"/>
    </row>
    <row r="41" spans="2:10" s="18" customFormat="1" ht="56.25">
      <c r="B41" s="30" t="s">
        <v>120</v>
      </c>
      <c r="C41" s="45" t="s">
        <v>18</v>
      </c>
      <c r="D41" s="31" t="s">
        <v>38</v>
      </c>
      <c r="E41" s="32">
        <v>25000</v>
      </c>
      <c r="F41" s="33" t="s">
        <v>53</v>
      </c>
      <c r="G41" s="34" t="s">
        <v>114</v>
      </c>
      <c r="H41" s="34" t="s">
        <v>82</v>
      </c>
    </row>
    <row r="42" spans="2:10" s="18" customFormat="1" ht="56.25">
      <c r="B42" s="30" t="s">
        <v>120</v>
      </c>
      <c r="C42" s="45" t="s">
        <v>18</v>
      </c>
      <c r="D42" s="31" t="s">
        <v>38</v>
      </c>
      <c r="E42" s="32">
        <v>10000</v>
      </c>
      <c r="F42" s="33" t="s">
        <v>53</v>
      </c>
      <c r="G42" s="34" t="s">
        <v>114</v>
      </c>
      <c r="H42" s="34" t="s">
        <v>111</v>
      </c>
    </row>
    <row r="43" spans="2:10" s="18" customFormat="1" ht="33.7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52</v>
      </c>
      <c r="G43" s="34" t="s">
        <v>114</v>
      </c>
      <c r="H43" s="52"/>
    </row>
    <row r="44" spans="2:10" s="18" customFormat="1" ht="50.25" customHeight="1">
      <c r="B44" s="30" t="s">
        <v>119</v>
      </c>
      <c r="C44" s="45" t="s">
        <v>99</v>
      </c>
      <c r="D44" s="31" t="s">
        <v>98</v>
      </c>
      <c r="E44" s="32">
        <v>30000</v>
      </c>
      <c r="F44" s="33" t="s">
        <v>144</v>
      </c>
      <c r="G44" s="34" t="s">
        <v>114</v>
      </c>
      <c r="H44" s="34"/>
    </row>
    <row r="45" spans="2:10" s="18" customFormat="1" ht="33.75">
      <c r="B45" s="30" t="s">
        <v>120</v>
      </c>
      <c r="C45" s="45" t="s">
        <v>47</v>
      </c>
      <c r="D45" s="31" t="s">
        <v>48</v>
      </c>
      <c r="E45" s="32">
        <v>1680</v>
      </c>
      <c r="F45" s="33" t="s">
        <v>77</v>
      </c>
      <c r="G45" s="34" t="s">
        <v>114</v>
      </c>
      <c r="H45" s="52"/>
    </row>
    <row r="46" spans="2:10" s="18" customFormat="1" ht="57" customHeight="1">
      <c r="B46" s="30" t="s">
        <v>120</v>
      </c>
      <c r="C46" s="45" t="s">
        <v>17</v>
      </c>
      <c r="D46" s="31" t="s">
        <v>16</v>
      </c>
      <c r="E46" s="32">
        <f>124000+28800</f>
        <v>152800</v>
      </c>
      <c r="F46" s="33" t="s">
        <v>53</v>
      </c>
      <c r="G46" s="34" t="s">
        <v>114</v>
      </c>
      <c r="H46" s="34" t="s">
        <v>59</v>
      </c>
    </row>
    <row r="47" spans="2:10" s="18" customFormat="1" ht="65.25" customHeight="1">
      <c r="B47" s="30" t="s">
        <v>120</v>
      </c>
      <c r="C47" s="45" t="s">
        <v>17</v>
      </c>
      <c r="D47" s="31" t="s">
        <v>16</v>
      </c>
      <c r="E47" s="32">
        <v>2000</v>
      </c>
      <c r="F47" s="33" t="s">
        <v>53</v>
      </c>
      <c r="G47" s="34" t="s">
        <v>114</v>
      </c>
      <c r="H47" s="34"/>
      <c r="J47" s="20"/>
    </row>
    <row r="48" spans="2:10" s="18" customFormat="1" ht="56.25">
      <c r="B48" s="30" t="s">
        <v>120</v>
      </c>
      <c r="C48" s="45" t="s">
        <v>64</v>
      </c>
      <c r="D48" s="31" t="s">
        <v>65</v>
      </c>
      <c r="E48" s="32">
        <v>1500</v>
      </c>
      <c r="F48" s="33" t="s">
        <v>53</v>
      </c>
      <c r="G48" s="34" t="s">
        <v>114</v>
      </c>
      <c r="H48" s="34" t="s">
        <v>66</v>
      </c>
    </row>
    <row r="49" spans="2:10" s="18" customFormat="1" ht="75" customHeight="1">
      <c r="B49" s="30" t="s">
        <v>120</v>
      </c>
      <c r="C49" s="45" t="s">
        <v>25</v>
      </c>
      <c r="D49" s="31" t="s">
        <v>104</v>
      </c>
      <c r="E49" s="32">
        <v>100000</v>
      </c>
      <c r="F49" s="33" t="s">
        <v>56</v>
      </c>
      <c r="G49" s="34" t="s">
        <v>114</v>
      </c>
      <c r="H49" s="34"/>
    </row>
    <row r="50" spans="2:10" s="18" customFormat="1" ht="75" customHeight="1">
      <c r="B50" s="30" t="s">
        <v>120</v>
      </c>
      <c r="C50" s="45" t="s">
        <v>112</v>
      </c>
      <c r="D50" s="31" t="s">
        <v>113</v>
      </c>
      <c r="E50" s="32">
        <v>3000</v>
      </c>
      <c r="F50" s="33" t="s">
        <v>53</v>
      </c>
      <c r="G50" s="34" t="s">
        <v>114</v>
      </c>
      <c r="H50" s="34" t="s">
        <v>66</v>
      </c>
    </row>
    <row r="51" spans="2:10" s="18" customFormat="1" ht="63.75" customHeight="1">
      <c r="B51" s="30" t="s">
        <v>120</v>
      </c>
      <c r="C51" s="31" t="s">
        <v>37</v>
      </c>
      <c r="D51" s="31" t="s">
        <v>55</v>
      </c>
      <c r="E51" s="32">
        <f>3950+6000</f>
        <v>9950</v>
      </c>
      <c r="F51" s="33" t="s">
        <v>56</v>
      </c>
      <c r="G51" s="34" t="s">
        <v>114</v>
      </c>
      <c r="H51" s="34"/>
    </row>
    <row r="52" spans="2:10" s="18" customFormat="1" ht="63.75" customHeight="1">
      <c r="B52" s="30" t="s">
        <v>120</v>
      </c>
      <c r="C52" s="31" t="s">
        <v>105</v>
      </c>
      <c r="D52" s="31" t="s">
        <v>106</v>
      </c>
      <c r="E52" s="32">
        <v>450</v>
      </c>
      <c r="F52" s="33" t="s">
        <v>53</v>
      </c>
      <c r="G52" s="34" t="s">
        <v>114</v>
      </c>
      <c r="H52" s="34"/>
    </row>
    <row r="53" spans="2:10" s="18" customFormat="1" ht="77.25" customHeight="1">
      <c r="B53" s="30" t="s">
        <v>120</v>
      </c>
      <c r="C53" s="48">
        <v>79700000</v>
      </c>
      <c r="D53" s="31" t="s">
        <v>27</v>
      </c>
      <c r="E53" s="32">
        <v>520000</v>
      </c>
      <c r="F53" s="33" t="s">
        <v>53</v>
      </c>
      <c r="G53" s="34" t="s">
        <v>114</v>
      </c>
      <c r="H53" s="34" t="s">
        <v>67</v>
      </c>
    </row>
    <row r="54" spans="2:10" s="18" customFormat="1" ht="62.25" customHeight="1">
      <c r="B54" s="30" t="s">
        <v>120</v>
      </c>
      <c r="C54" s="48">
        <v>79800000</v>
      </c>
      <c r="D54" s="31" t="s">
        <v>68</v>
      </c>
      <c r="E54" s="32">
        <f>10000+15000</f>
        <v>25000</v>
      </c>
      <c r="F54" s="33" t="s">
        <v>56</v>
      </c>
      <c r="G54" s="34" t="s">
        <v>114</v>
      </c>
      <c r="H54" s="34"/>
    </row>
    <row r="55" spans="2:10" s="18" customFormat="1" ht="62.25" customHeight="1">
      <c r="B55" s="30" t="s">
        <v>120</v>
      </c>
      <c r="C55" s="31" t="s">
        <v>45</v>
      </c>
      <c r="D55" s="31" t="s">
        <v>57</v>
      </c>
      <c r="E55" s="32">
        <v>25000</v>
      </c>
      <c r="F55" s="33" t="s">
        <v>53</v>
      </c>
      <c r="G55" s="34" t="s">
        <v>114</v>
      </c>
      <c r="H55" s="31" t="s">
        <v>60</v>
      </c>
    </row>
    <row r="56" spans="2:10" s="18" customFormat="1" ht="62.25" customHeight="1">
      <c r="B56" s="30" t="s">
        <v>120</v>
      </c>
      <c r="C56" s="45" t="s">
        <v>24</v>
      </c>
      <c r="D56" s="31" t="s">
        <v>63</v>
      </c>
      <c r="E56" s="32">
        <v>12000</v>
      </c>
      <c r="F56" s="33" t="s">
        <v>56</v>
      </c>
      <c r="G56" s="34" t="s">
        <v>114</v>
      </c>
      <c r="H56" s="31"/>
    </row>
    <row r="57" spans="2:10" s="18" customFormat="1" ht="62.25" customHeight="1">
      <c r="B57" s="30" t="s">
        <v>120</v>
      </c>
      <c r="C57" s="45" t="s">
        <v>107</v>
      </c>
      <c r="D57" s="31" t="s">
        <v>108</v>
      </c>
      <c r="E57" s="32">
        <v>1000</v>
      </c>
      <c r="F57" s="33" t="s">
        <v>53</v>
      </c>
      <c r="G57" s="34" t="s">
        <v>114</v>
      </c>
      <c r="H57" s="31"/>
    </row>
    <row r="58" spans="2:10" s="18" customFormat="1" ht="60.75" customHeight="1">
      <c r="B58" s="30" t="s">
        <v>120</v>
      </c>
      <c r="C58" s="31" t="s">
        <v>69</v>
      </c>
      <c r="D58" s="31" t="s">
        <v>70</v>
      </c>
      <c r="E58" s="32">
        <v>20000</v>
      </c>
      <c r="F58" s="33" t="s">
        <v>56</v>
      </c>
      <c r="G58" s="34" t="s">
        <v>114</v>
      </c>
      <c r="H58" s="49"/>
    </row>
    <row r="59" spans="2:10" s="18" customFormat="1" ht="60.75" customHeight="1">
      <c r="B59" s="30" t="s">
        <v>120</v>
      </c>
      <c r="C59" s="31" t="s">
        <v>69</v>
      </c>
      <c r="D59" s="31" t="s">
        <v>70</v>
      </c>
      <c r="E59" s="32">
        <v>10000</v>
      </c>
      <c r="F59" s="33" t="s">
        <v>77</v>
      </c>
      <c r="G59" s="34" t="s">
        <v>114</v>
      </c>
      <c r="H59" s="34" t="s">
        <v>66</v>
      </c>
    </row>
    <row r="60" spans="2:10" s="18" customFormat="1" ht="36.75" customHeight="1">
      <c r="B60" s="30" t="s">
        <v>120</v>
      </c>
      <c r="C60" s="31" t="s">
        <v>12</v>
      </c>
      <c r="D60" s="31" t="s">
        <v>19</v>
      </c>
      <c r="E60" s="32">
        <f>130000+6600</f>
        <v>136600</v>
      </c>
      <c r="F60" s="33" t="s">
        <v>56</v>
      </c>
      <c r="G60" s="34" t="s">
        <v>114</v>
      </c>
      <c r="H60" s="49"/>
    </row>
    <row r="61" spans="2:10" s="18" customFormat="1" ht="36.75" customHeight="1">
      <c r="B61" s="30" t="s">
        <v>120</v>
      </c>
      <c r="C61" s="31" t="s">
        <v>139</v>
      </c>
      <c r="D61" s="31" t="s">
        <v>140</v>
      </c>
      <c r="E61" s="32">
        <v>4900</v>
      </c>
      <c r="F61" s="33" t="s">
        <v>77</v>
      </c>
      <c r="G61" s="34" t="s">
        <v>114</v>
      </c>
      <c r="H61" s="34" t="s">
        <v>66</v>
      </c>
    </row>
    <row r="62" spans="2:10" s="18" customFormat="1" ht="54.75" customHeight="1">
      <c r="B62" s="30" t="s">
        <v>120</v>
      </c>
      <c r="C62" s="31" t="s">
        <v>100</v>
      </c>
      <c r="D62" s="31" t="s">
        <v>101</v>
      </c>
      <c r="E62" s="32">
        <v>15000</v>
      </c>
      <c r="F62" s="33" t="s">
        <v>53</v>
      </c>
      <c r="G62" s="34" t="s">
        <v>114</v>
      </c>
      <c r="H62" s="34" t="s">
        <v>66</v>
      </c>
    </row>
    <row r="63" spans="2:10" s="1" customFormat="1" ht="75" customHeight="1">
      <c r="B63" s="84" t="s">
        <v>122</v>
      </c>
      <c r="C63" s="85"/>
      <c r="D63" s="85"/>
      <c r="E63" s="16">
        <f>SUM(E64:E66)</f>
        <v>2524191.7000000002</v>
      </c>
      <c r="F63" s="13"/>
      <c r="G63" s="14"/>
      <c r="H63" s="10"/>
      <c r="I63" s="26"/>
      <c r="J63" s="27"/>
    </row>
    <row r="64" spans="2:10" s="18" customFormat="1" ht="59.25" customHeight="1">
      <c r="B64" s="30" t="s">
        <v>120</v>
      </c>
      <c r="C64" s="31" t="s">
        <v>24</v>
      </c>
      <c r="D64" s="31" t="s">
        <v>63</v>
      </c>
      <c r="E64" s="32">
        <v>2000000</v>
      </c>
      <c r="F64" s="33" t="s">
        <v>56</v>
      </c>
      <c r="G64" s="34" t="s">
        <v>114</v>
      </c>
      <c r="H64" s="35"/>
    </row>
    <row r="65" spans="2:14" s="18" customFormat="1" ht="90.75" customHeight="1">
      <c r="B65" s="30" t="s">
        <v>120</v>
      </c>
      <c r="C65" s="31" t="s">
        <v>24</v>
      </c>
      <c r="D65" s="31" t="s">
        <v>63</v>
      </c>
      <c r="E65" s="32">
        <v>121390</v>
      </c>
      <c r="F65" s="33" t="s">
        <v>53</v>
      </c>
      <c r="G65" s="34" t="s">
        <v>145</v>
      </c>
      <c r="H65" s="35" t="s">
        <v>146</v>
      </c>
    </row>
    <row r="66" spans="2:14" s="18" customFormat="1" ht="74.25" customHeight="1">
      <c r="B66" s="30" t="s">
        <v>120</v>
      </c>
      <c r="C66" s="31" t="s">
        <v>24</v>
      </c>
      <c r="D66" s="31" t="s">
        <v>63</v>
      </c>
      <c r="E66" s="32">
        <f>153466.1+13224+53288+19471.6+160022+3330</f>
        <v>402801.7</v>
      </c>
      <c r="F66" s="33" t="s">
        <v>53</v>
      </c>
      <c r="G66" s="34" t="s">
        <v>145</v>
      </c>
      <c r="H66" s="35" t="s">
        <v>147</v>
      </c>
    </row>
    <row r="67" spans="2:14" s="1" customFormat="1" ht="31.5" customHeight="1">
      <c r="B67" s="84" t="s">
        <v>123</v>
      </c>
      <c r="C67" s="85"/>
      <c r="D67" s="85"/>
      <c r="E67" s="16">
        <f>SUM(E68:E72)</f>
        <v>22970000</v>
      </c>
      <c r="F67" s="13"/>
      <c r="G67" s="9"/>
      <c r="H67" s="10"/>
      <c r="I67" s="26"/>
      <c r="J67" s="27"/>
    </row>
    <row r="68" spans="2:14" s="18" customFormat="1" ht="75.75" customHeight="1">
      <c r="B68" s="30" t="s">
        <v>120</v>
      </c>
      <c r="C68" s="31" t="s">
        <v>7</v>
      </c>
      <c r="D68" s="31" t="s">
        <v>49</v>
      </c>
      <c r="E68" s="32">
        <v>500000</v>
      </c>
      <c r="F68" s="33" t="s">
        <v>53</v>
      </c>
      <c r="G68" s="34" t="s">
        <v>114</v>
      </c>
      <c r="H68" s="36" t="s">
        <v>83</v>
      </c>
    </row>
    <row r="69" spans="2:14" s="18" customFormat="1" ht="75.75" customHeight="1">
      <c r="B69" s="30" t="s">
        <v>118</v>
      </c>
      <c r="C69" s="31" t="s">
        <v>7</v>
      </c>
      <c r="D69" s="31" t="s">
        <v>49</v>
      </c>
      <c r="E69" s="32">
        <v>100000</v>
      </c>
      <c r="F69" s="33" t="s">
        <v>53</v>
      </c>
      <c r="G69" s="34" t="s">
        <v>124</v>
      </c>
      <c r="H69" s="36" t="s">
        <v>83</v>
      </c>
    </row>
    <row r="70" spans="2:14" s="18" customFormat="1" ht="121.5" customHeight="1">
      <c r="B70" s="30" t="s">
        <v>120</v>
      </c>
      <c r="C70" s="31">
        <v>33600000</v>
      </c>
      <c r="D70" s="31" t="s">
        <v>29</v>
      </c>
      <c r="E70" s="32">
        <f>5721975+602964+2000000+200000</f>
        <v>8524939</v>
      </c>
      <c r="F70" s="33" t="s">
        <v>56</v>
      </c>
      <c r="G70" s="34" t="s">
        <v>114</v>
      </c>
      <c r="H70" s="35"/>
      <c r="I70" s="21"/>
      <c r="J70" s="29"/>
      <c r="K70" s="29"/>
      <c r="L70" s="29"/>
      <c r="M70" s="29"/>
      <c r="N70" s="29"/>
    </row>
    <row r="71" spans="2:14" s="18" customFormat="1" ht="121.5" customHeight="1">
      <c r="B71" s="30" t="s">
        <v>120</v>
      </c>
      <c r="C71" s="31">
        <v>33600000</v>
      </c>
      <c r="D71" s="31" t="s">
        <v>29</v>
      </c>
      <c r="E71" s="32">
        <v>5546250</v>
      </c>
      <c r="F71" s="33" t="s">
        <v>56</v>
      </c>
      <c r="G71" s="34" t="s">
        <v>114</v>
      </c>
      <c r="H71" s="35" t="s">
        <v>148</v>
      </c>
      <c r="I71" s="21"/>
      <c r="J71" s="29"/>
      <c r="K71" s="29"/>
      <c r="L71" s="29"/>
      <c r="M71" s="29"/>
      <c r="N71" s="29"/>
    </row>
    <row r="72" spans="2:14" s="18" customFormat="1" ht="87.75" customHeight="1">
      <c r="B72" s="30" t="s">
        <v>120</v>
      </c>
      <c r="C72" s="31" t="s">
        <v>30</v>
      </c>
      <c r="D72" s="31" t="s">
        <v>29</v>
      </c>
      <c r="E72" s="32">
        <f>6000000+2328811-30000</f>
        <v>8298811</v>
      </c>
      <c r="F72" s="33" t="s">
        <v>53</v>
      </c>
      <c r="G72" s="34" t="s">
        <v>114</v>
      </c>
      <c r="H72" s="36" t="s">
        <v>84</v>
      </c>
      <c r="J72" s="21"/>
      <c r="K72" s="21"/>
      <c r="N72" s="21"/>
    </row>
    <row r="73" spans="2:14" s="1" customFormat="1" ht="60" customHeight="1">
      <c r="B73" s="84" t="s">
        <v>125</v>
      </c>
      <c r="C73" s="85"/>
      <c r="D73" s="85"/>
      <c r="E73" s="16">
        <f>SUM(E74:E78)</f>
        <v>1700000</v>
      </c>
      <c r="F73" s="13"/>
      <c r="G73" s="14"/>
      <c r="H73" s="10"/>
      <c r="I73" s="26"/>
      <c r="J73" s="27"/>
    </row>
    <row r="74" spans="2:14" s="18" customFormat="1" ht="36.75" customHeight="1">
      <c r="B74" s="30" t="s">
        <v>120</v>
      </c>
      <c r="C74" s="31" t="s">
        <v>7</v>
      </c>
      <c r="D74" s="31" t="s">
        <v>28</v>
      </c>
      <c r="E74" s="32">
        <v>50000</v>
      </c>
      <c r="F74" s="33" t="s">
        <v>56</v>
      </c>
      <c r="G74" s="34" t="s">
        <v>114</v>
      </c>
      <c r="H74" s="35"/>
    </row>
    <row r="75" spans="2:14" s="18" customFormat="1" ht="30.75" customHeight="1">
      <c r="B75" s="30" t="s">
        <v>120</v>
      </c>
      <c r="C75" s="31" t="s">
        <v>30</v>
      </c>
      <c r="D75" s="31" t="s">
        <v>29</v>
      </c>
      <c r="E75" s="32">
        <f>200000-92300-30220</f>
        <v>77480</v>
      </c>
      <c r="F75" s="33" t="s">
        <v>56</v>
      </c>
      <c r="G75" s="34" t="s">
        <v>114</v>
      </c>
      <c r="H75" s="35"/>
    </row>
    <row r="76" spans="2:14" s="18" customFormat="1" ht="45" customHeight="1">
      <c r="B76" s="30" t="s">
        <v>120</v>
      </c>
      <c r="C76" s="31" t="s">
        <v>75</v>
      </c>
      <c r="D76" s="31" t="s">
        <v>76</v>
      </c>
      <c r="E76" s="32">
        <f>620000+92300</f>
        <v>712300</v>
      </c>
      <c r="F76" s="33" t="s">
        <v>56</v>
      </c>
      <c r="G76" s="34" t="s">
        <v>114</v>
      </c>
      <c r="H76" s="36"/>
    </row>
    <row r="77" spans="2:14" s="18" customFormat="1" ht="78" customHeight="1">
      <c r="B77" s="30" t="s">
        <v>120</v>
      </c>
      <c r="C77" s="31" t="s">
        <v>24</v>
      </c>
      <c r="D77" s="31" t="s">
        <v>63</v>
      </c>
      <c r="E77" s="32">
        <v>52208</v>
      </c>
      <c r="F77" s="33" t="s">
        <v>53</v>
      </c>
      <c r="G77" s="34" t="s">
        <v>149</v>
      </c>
      <c r="H77" s="36" t="s">
        <v>150</v>
      </c>
      <c r="J77" s="21"/>
    </row>
    <row r="78" spans="2:14" s="18" customFormat="1" ht="87.75" customHeight="1">
      <c r="B78" s="30" t="s">
        <v>120</v>
      </c>
      <c r="C78" s="31" t="s">
        <v>24</v>
      </c>
      <c r="D78" s="31" t="s">
        <v>63</v>
      </c>
      <c r="E78" s="32">
        <f>577500+171079.6+10376.4+3456+45600</f>
        <v>808012</v>
      </c>
      <c r="F78" s="33" t="s">
        <v>53</v>
      </c>
      <c r="G78" s="34" t="s">
        <v>151</v>
      </c>
      <c r="H78" s="36" t="s">
        <v>84</v>
      </c>
      <c r="J78" s="21"/>
    </row>
    <row r="79" spans="2:14" s="1" customFormat="1" ht="65.25" customHeight="1">
      <c r="B79" s="84" t="s">
        <v>126</v>
      </c>
      <c r="C79" s="85"/>
      <c r="D79" s="85"/>
      <c r="E79" s="16">
        <f>SUM(E80:E82)</f>
        <v>2864778</v>
      </c>
      <c r="F79" s="13"/>
      <c r="G79" s="14"/>
      <c r="H79" s="10"/>
      <c r="I79" s="26"/>
      <c r="J79" s="27"/>
    </row>
    <row r="80" spans="2:14" s="18" customFormat="1" ht="33.75">
      <c r="B80" s="30" t="s">
        <v>120</v>
      </c>
      <c r="C80" s="37" t="s">
        <v>25</v>
      </c>
      <c r="D80" s="37" t="s">
        <v>61</v>
      </c>
      <c r="E80" s="32">
        <v>200000</v>
      </c>
      <c r="F80" s="38" t="s">
        <v>56</v>
      </c>
      <c r="G80" s="34" t="s">
        <v>114</v>
      </c>
      <c r="H80" s="39"/>
    </row>
    <row r="81" spans="2:10" s="18" customFormat="1" ht="87.75" customHeight="1">
      <c r="B81" s="30" t="s">
        <v>120</v>
      </c>
      <c r="C81" s="31">
        <v>85100000</v>
      </c>
      <c r="D81" s="31" t="s">
        <v>63</v>
      </c>
      <c r="E81" s="32">
        <v>203458</v>
      </c>
      <c r="F81" s="33" t="s">
        <v>53</v>
      </c>
      <c r="G81" s="34" t="s">
        <v>152</v>
      </c>
      <c r="H81" s="40" t="s">
        <v>154</v>
      </c>
    </row>
    <row r="82" spans="2:10" s="18" customFormat="1" ht="69.75" customHeight="1">
      <c r="B82" s="30" t="s">
        <v>120</v>
      </c>
      <c r="C82" s="31">
        <v>85100000</v>
      </c>
      <c r="D82" s="31" t="s">
        <v>63</v>
      </c>
      <c r="E82" s="32">
        <v>2461320</v>
      </c>
      <c r="F82" s="33" t="s">
        <v>53</v>
      </c>
      <c r="G82" s="34" t="s">
        <v>153</v>
      </c>
      <c r="H82" s="36" t="s">
        <v>84</v>
      </c>
    </row>
    <row r="83" spans="2:10" s="1" customFormat="1" ht="61.5" customHeight="1">
      <c r="B83" s="84" t="s">
        <v>127</v>
      </c>
      <c r="C83" s="85"/>
      <c r="D83" s="85"/>
      <c r="E83" s="16">
        <f>SUM(E84:E85)</f>
        <v>184167</v>
      </c>
      <c r="F83" s="13"/>
      <c r="G83" s="14"/>
      <c r="H83" s="10"/>
      <c r="I83" s="26"/>
      <c r="J83" s="27"/>
    </row>
    <row r="84" spans="2:10" s="18" customFormat="1" ht="75" customHeight="1">
      <c r="B84" s="30" t="s">
        <v>120</v>
      </c>
      <c r="C84" s="31" t="s">
        <v>24</v>
      </c>
      <c r="D84" s="31" t="s">
        <v>63</v>
      </c>
      <c r="E84" s="32">
        <v>170000</v>
      </c>
      <c r="F84" s="33" t="s">
        <v>53</v>
      </c>
      <c r="G84" s="34" t="s">
        <v>153</v>
      </c>
      <c r="H84" s="36" t="s">
        <v>84</v>
      </c>
    </row>
    <row r="85" spans="2:10" s="18" customFormat="1" ht="91.5" customHeight="1">
      <c r="B85" s="30" t="s">
        <v>120</v>
      </c>
      <c r="C85" s="31" t="s">
        <v>24</v>
      </c>
      <c r="D85" s="31" t="s">
        <v>63</v>
      </c>
      <c r="E85" s="32">
        <v>14167</v>
      </c>
      <c r="F85" s="33" t="s">
        <v>53</v>
      </c>
      <c r="G85" s="34" t="s">
        <v>152</v>
      </c>
      <c r="H85" s="40" t="s">
        <v>154</v>
      </c>
    </row>
    <row r="86" spans="2:10" s="1" customFormat="1" ht="65.25" customHeight="1">
      <c r="B86" s="95" t="s">
        <v>128</v>
      </c>
      <c r="C86" s="96"/>
      <c r="D86" s="96"/>
      <c r="E86" s="16">
        <f>SUM(E87:E91)</f>
        <v>1655642</v>
      </c>
      <c r="F86" s="13"/>
      <c r="G86" s="14"/>
      <c r="H86" s="25"/>
      <c r="I86" s="26"/>
      <c r="J86" s="27"/>
    </row>
    <row r="87" spans="2:10" s="18" customFormat="1" ht="49.5" customHeight="1">
      <c r="B87" s="30" t="s">
        <v>120</v>
      </c>
      <c r="C87" s="31" t="s">
        <v>14</v>
      </c>
      <c r="D87" s="31" t="s">
        <v>15</v>
      </c>
      <c r="E87" s="32">
        <v>25000</v>
      </c>
      <c r="F87" s="33" t="s">
        <v>52</v>
      </c>
      <c r="G87" s="34" t="s">
        <v>114</v>
      </c>
      <c r="H87" s="35"/>
    </row>
    <row r="88" spans="2:10" s="18" customFormat="1" ht="33.75">
      <c r="B88" s="30" t="s">
        <v>120</v>
      </c>
      <c r="C88" s="41">
        <v>33100000</v>
      </c>
      <c r="D88" s="41" t="s">
        <v>28</v>
      </c>
      <c r="E88" s="32">
        <v>410000</v>
      </c>
      <c r="F88" s="42" t="s">
        <v>56</v>
      </c>
      <c r="G88" s="34" t="s">
        <v>114</v>
      </c>
      <c r="H88" s="43"/>
    </row>
    <row r="89" spans="2:10" s="18" customFormat="1" ht="60.75" customHeight="1">
      <c r="B89" s="30" t="s">
        <v>120</v>
      </c>
      <c r="C89" s="31" t="s">
        <v>51</v>
      </c>
      <c r="D89" s="31" t="s">
        <v>36</v>
      </c>
      <c r="E89" s="32">
        <v>15000</v>
      </c>
      <c r="F89" s="33" t="s">
        <v>56</v>
      </c>
      <c r="G89" s="34" t="s">
        <v>114</v>
      </c>
      <c r="H89" s="35"/>
    </row>
    <row r="90" spans="2:10" s="18" customFormat="1" ht="65.25" customHeight="1">
      <c r="B90" s="30" t="s">
        <v>120</v>
      </c>
      <c r="C90" s="31">
        <v>85100000</v>
      </c>
      <c r="D90" s="31" t="s">
        <v>63</v>
      </c>
      <c r="E90" s="32">
        <f>1081996+37800</f>
        <v>1119796</v>
      </c>
      <c r="F90" s="33" t="s">
        <v>53</v>
      </c>
      <c r="G90" s="34" t="s">
        <v>153</v>
      </c>
      <c r="H90" s="36" t="s">
        <v>84</v>
      </c>
    </row>
    <row r="91" spans="2:10" s="18" customFormat="1" ht="65.25" customHeight="1">
      <c r="B91" s="30" t="s">
        <v>120</v>
      </c>
      <c r="C91" s="31">
        <v>85100000</v>
      </c>
      <c r="D91" s="31" t="s">
        <v>63</v>
      </c>
      <c r="E91" s="32">
        <v>85846</v>
      </c>
      <c r="F91" s="33" t="s">
        <v>53</v>
      </c>
      <c r="G91" s="34" t="s">
        <v>152</v>
      </c>
      <c r="H91" s="40" t="s">
        <v>154</v>
      </c>
    </row>
    <row r="92" spans="2:10" s="1" customFormat="1" ht="80.25" customHeight="1">
      <c r="B92" s="84" t="s">
        <v>129</v>
      </c>
      <c r="C92" s="85"/>
      <c r="D92" s="85"/>
      <c r="E92" s="16">
        <f>SUM(E93:E93)</f>
        <v>1890000</v>
      </c>
      <c r="F92" s="13"/>
      <c r="G92" s="14"/>
      <c r="H92" s="10"/>
      <c r="I92" s="26"/>
      <c r="J92" s="27"/>
    </row>
    <row r="93" spans="2:10" s="18" customFormat="1" ht="84.75" customHeight="1">
      <c r="B93" s="30" t="s">
        <v>120</v>
      </c>
      <c r="C93" s="31" t="s">
        <v>30</v>
      </c>
      <c r="D93" s="31" t="s">
        <v>29</v>
      </c>
      <c r="E93" s="32">
        <v>1890000</v>
      </c>
      <c r="F93" s="33" t="s">
        <v>53</v>
      </c>
      <c r="G93" s="34" t="s">
        <v>114</v>
      </c>
      <c r="H93" s="36" t="s">
        <v>84</v>
      </c>
    </row>
    <row r="94" spans="2:10" s="1" customFormat="1" ht="57.75" customHeight="1">
      <c r="B94" s="93" t="s">
        <v>130</v>
      </c>
      <c r="C94" s="94"/>
      <c r="D94" s="94"/>
      <c r="E94" s="22">
        <f>SUM(E95:E98)</f>
        <v>3317000</v>
      </c>
      <c r="F94" s="23"/>
      <c r="G94" s="23"/>
      <c r="H94" s="24"/>
      <c r="I94" s="26"/>
      <c r="J94" s="27"/>
    </row>
    <row r="95" spans="2:10" s="18" customFormat="1" ht="29.25" customHeight="1">
      <c r="B95" s="30" t="s">
        <v>120</v>
      </c>
      <c r="C95" s="45">
        <v>33100000</v>
      </c>
      <c r="D95" s="31" t="s">
        <v>8</v>
      </c>
      <c r="E95" s="32">
        <v>100000</v>
      </c>
      <c r="F95" s="33" t="s">
        <v>56</v>
      </c>
      <c r="G95" s="34" t="s">
        <v>114</v>
      </c>
      <c r="H95" s="34"/>
    </row>
    <row r="96" spans="2:10" s="18" customFormat="1" ht="33.75">
      <c r="B96" s="30" t="s">
        <v>120</v>
      </c>
      <c r="C96" s="45" t="s">
        <v>30</v>
      </c>
      <c r="D96" s="31" t="s">
        <v>9</v>
      </c>
      <c r="E96" s="32">
        <f>2500000-340000-630198.8</f>
        <v>1529801.2</v>
      </c>
      <c r="F96" s="33" t="s">
        <v>56</v>
      </c>
      <c r="G96" s="34" t="s">
        <v>114</v>
      </c>
      <c r="H96" s="34"/>
      <c r="I96" s="21">
        <f>E94-3317000</f>
        <v>0</v>
      </c>
    </row>
    <row r="97" spans="2:10" s="18" customFormat="1" ht="90.75" customHeight="1">
      <c r="B97" s="30" t="s">
        <v>120</v>
      </c>
      <c r="C97" s="31" t="s">
        <v>24</v>
      </c>
      <c r="D97" s="31" t="s">
        <v>63</v>
      </c>
      <c r="E97" s="32">
        <v>111542</v>
      </c>
      <c r="F97" s="33" t="s">
        <v>77</v>
      </c>
      <c r="G97" s="34" t="s">
        <v>153</v>
      </c>
      <c r="H97" s="40" t="s">
        <v>154</v>
      </c>
      <c r="I97" s="21"/>
    </row>
    <row r="98" spans="2:10" s="18" customFormat="1" ht="75.75" customHeight="1">
      <c r="B98" s="30" t="s">
        <v>120</v>
      </c>
      <c r="C98" s="31" t="s">
        <v>24</v>
      </c>
      <c r="D98" s="31" t="s">
        <v>63</v>
      </c>
      <c r="E98" s="32">
        <f>840656.8+735000</f>
        <v>1575656.8</v>
      </c>
      <c r="F98" s="33" t="s">
        <v>77</v>
      </c>
      <c r="G98" s="34" t="s">
        <v>114</v>
      </c>
      <c r="H98" s="36" t="s">
        <v>84</v>
      </c>
      <c r="I98" s="21"/>
    </row>
    <row r="99" spans="2:10" ht="133.5" customHeight="1">
      <c r="B99" s="84" t="s">
        <v>131</v>
      </c>
      <c r="C99" s="85"/>
      <c r="D99" s="85"/>
      <c r="E99" s="16">
        <f>SUM(E100)</f>
        <v>2420000</v>
      </c>
      <c r="F99" s="13"/>
      <c r="G99" s="14"/>
      <c r="H99" s="10"/>
      <c r="I99" s="26"/>
      <c r="J99" s="28"/>
    </row>
    <row r="100" spans="2:10" s="18" customFormat="1" ht="117.75" customHeight="1">
      <c r="B100" s="30" t="s">
        <v>120</v>
      </c>
      <c r="C100" s="31" t="s">
        <v>30</v>
      </c>
      <c r="D100" s="31" t="s">
        <v>29</v>
      </c>
      <c r="E100" s="32">
        <v>2420000</v>
      </c>
      <c r="F100" s="33" t="s">
        <v>77</v>
      </c>
      <c r="G100" s="34" t="s">
        <v>114</v>
      </c>
      <c r="H100" s="36" t="s">
        <v>84</v>
      </c>
    </row>
    <row r="101" spans="2:10" s="1" customFormat="1" ht="57" customHeight="1">
      <c r="B101" s="95" t="s">
        <v>132</v>
      </c>
      <c r="C101" s="96"/>
      <c r="D101" s="96"/>
      <c r="E101" s="16">
        <f>SUM(E102:E106)</f>
        <v>430000</v>
      </c>
      <c r="F101" s="13"/>
      <c r="G101" s="25"/>
      <c r="H101" s="25"/>
      <c r="I101" s="26"/>
      <c r="J101" s="27"/>
    </row>
    <row r="102" spans="2:10" s="18" customFormat="1" ht="59.25" customHeight="1">
      <c r="B102" s="30" t="s">
        <v>133</v>
      </c>
      <c r="C102" s="31">
        <v>33100000</v>
      </c>
      <c r="D102" s="31" t="s">
        <v>28</v>
      </c>
      <c r="E102" s="32">
        <v>10000</v>
      </c>
      <c r="F102" s="33" t="s">
        <v>56</v>
      </c>
      <c r="G102" s="34" t="s">
        <v>114</v>
      </c>
      <c r="H102" s="35"/>
    </row>
    <row r="103" spans="2:10" s="18" customFormat="1" ht="33.75">
      <c r="B103" s="30" t="s">
        <v>133</v>
      </c>
      <c r="C103" s="37">
        <v>33600000</v>
      </c>
      <c r="D103" s="37" t="s">
        <v>29</v>
      </c>
      <c r="E103" s="32">
        <v>320000</v>
      </c>
      <c r="F103" s="38" t="s">
        <v>56</v>
      </c>
      <c r="G103" s="34" t="s">
        <v>114</v>
      </c>
      <c r="H103" s="39"/>
    </row>
    <row r="104" spans="2:10" s="18" customFormat="1" ht="69" customHeight="1">
      <c r="B104" s="30" t="s">
        <v>120</v>
      </c>
      <c r="C104" s="45" t="s">
        <v>24</v>
      </c>
      <c r="D104" s="31" t="s">
        <v>63</v>
      </c>
      <c r="E104" s="32">
        <f>16450</f>
        <v>16450</v>
      </c>
      <c r="F104" s="33" t="s">
        <v>53</v>
      </c>
      <c r="G104" s="34" t="s">
        <v>114</v>
      </c>
      <c r="H104" s="36" t="s">
        <v>84</v>
      </c>
    </row>
    <row r="105" spans="2:10" s="18" customFormat="1" ht="51" customHeight="1">
      <c r="B105" s="30" t="s">
        <v>120</v>
      </c>
      <c r="C105" s="45" t="s">
        <v>24</v>
      </c>
      <c r="D105" s="31" t="s">
        <v>63</v>
      </c>
      <c r="E105" s="32">
        <f>100000-E104-E106</f>
        <v>75325</v>
      </c>
      <c r="F105" s="33" t="s">
        <v>56</v>
      </c>
      <c r="G105" s="34" t="s">
        <v>114</v>
      </c>
      <c r="H105" s="40"/>
    </row>
    <row r="106" spans="2:10" s="18" customFormat="1" ht="103.5" customHeight="1">
      <c r="B106" s="30" t="s">
        <v>120</v>
      </c>
      <c r="C106" s="45" t="s">
        <v>155</v>
      </c>
      <c r="D106" s="31" t="s">
        <v>63</v>
      </c>
      <c r="E106" s="82">
        <v>8225</v>
      </c>
      <c r="F106" s="33" t="s">
        <v>53</v>
      </c>
      <c r="G106" s="34" t="s">
        <v>153</v>
      </c>
      <c r="H106" s="40" t="s">
        <v>146</v>
      </c>
    </row>
    <row r="107" spans="2:10" ht="59.25" customHeight="1">
      <c r="B107" s="84" t="s">
        <v>134</v>
      </c>
      <c r="C107" s="85"/>
      <c r="D107" s="85"/>
      <c r="E107" s="16">
        <f>SUM(E108:E111)</f>
        <v>1240000</v>
      </c>
      <c r="F107" s="13"/>
      <c r="G107" s="14"/>
      <c r="H107" s="10"/>
      <c r="I107" s="26"/>
      <c r="J107" s="28"/>
    </row>
    <row r="108" spans="2:10" s="18" customFormat="1" ht="42.75" customHeight="1">
      <c r="B108" s="46" t="s">
        <v>120</v>
      </c>
      <c r="C108" s="31" t="s">
        <v>25</v>
      </c>
      <c r="D108" s="31" t="s">
        <v>61</v>
      </c>
      <c r="E108" s="32">
        <f>1500000-170000-260000-90000-86410</f>
        <v>893590</v>
      </c>
      <c r="F108" s="33" t="s">
        <v>56</v>
      </c>
      <c r="G108" s="34" t="s">
        <v>114</v>
      </c>
      <c r="H108" s="47"/>
      <c r="I108" s="21"/>
    </row>
    <row r="109" spans="2:10" s="18" customFormat="1" ht="42.75" customHeight="1">
      <c r="B109" s="46" t="s">
        <v>137</v>
      </c>
      <c r="C109" s="31" t="s">
        <v>135</v>
      </c>
      <c r="D109" s="31" t="s">
        <v>136</v>
      </c>
      <c r="E109" s="32">
        <v>170000</v>
      </c>
      <c r="F109" s="33" t="s">
        <v>56</v>
      </c>
      <c r="G109" s="34" t="s">
        <v>114</v>
      </c>
      <c r="H109" s="47"/>
    </row>
    <row r="110" spans="2:10" s="18" customFormat="1" ht="82.5" customHeight="1">
      <c r="B110" s="30" t="s">
        <v>120</v>
      </c>
      <c r="C110" s="31" t="s">
        <v>156</v>
      </c>
      <c r="D110" s="31" t="s">
        <v>157</v>
      </c>
      <c r="E110" s="32">
        <v>90000</v>
      </c>
      <c r="F110" s="33" t="s">
        <v>53</v>
      </c>
      <c r="G110" s="34" t="s">
        <v>153</v>
      </c>
      <c r="H110" s="36" t="s">
        <v>84</v>
      </c>
    </row>
    <row r="111" spans="2:10" s="19" customFormat="1" ht="81.75" customHeight="1">
      <c r="B111" s="78" t="s">
        <v>120</v>
      </c>
      <c r="C111" s="41" t="s">
        <v>25</v>
      </c>
      <c r="D111" s="41" t="s">
        <v>61</v>
      </c>
      <c r="E111" s="79">
        <v>86410</v>
      </c>
      <c r="F111" s="42" t="s">
        <v>53</v>
      </c>
      <c r="G111" s="80" t="s">
        <v>151</v>
      </c>
      <c r="H111" s="81" t="s">
        <v>84</v>
      </c>
    </row>
    <row r="112" spans="2:10" ht="70.5" customHeight="1">
      <c r="B112" s="84" t="s">
        <v>138</v>
      </c>
      <c r="C112" s="85"/>
      <c r="D112" s="85"/>
      <c r="E112" s="16">
        <f>SUM(E113:E115)</f>
        <v>790000</v>
      </c>
      <c r="F112" s="13"/>
      <c r="G112" s="14"/>
      <c r="H112" s="10"/>
      <c r="I112" s="26"/>
      <c r="J112" s="28"/>
    </row>
    <row r="113" spans="2:8" s="18" customFormat="1" ht="33.75">
      <c r="B113" s="46" t="s">
        <v>120</v>
      </c>
      <c r="C113" s="31" t="s">
        <v>30</v>
      </c>
      <c r="D113" s="31" t="s">
        <v>29</v>
      </c>
      <c r="E113" s="32">
        <f>300000+300000</f>
        <v>600000</v>
      </c>
      <c r="F113" s="31" t="s">
        <v>56</v>
      </c>
      <c r="G113" s="34" t="s">
        <v>114</v>
      </c>
      <c r="H113" s="31"/>
    </row>
    <row r="114" spans="2:8" s="18" customFormat="1" ht="33.75">
      <c r="B114" s="46" t="s">
        <v>120</v>
      </c>
      <c r="C114" s="31" t="s">
        <v>7</v>
      </c>
      <c r="D114" s="31" t="s">
        <v>28</v>
      </c>
      <c r="E114" s="32">
        <f>150000</f>
        <v>150000</v>
      </c>
      <c r="F114" s="31" t="s">
        <v>56</v>
      </c>
      <c r="G114" s="34" t="s">
        <v>114</v>
      </c>
      <c r="H114" s="31"/>
    </row>
    <row r="115" spans="2:8" ht="33.75">
      <c r="B115" s="46" t="s">
        <v>120</v>
      </c>
      <c r="C115" s="31" t="s">
        <v>14</v>
      </c>
      <c r="D115" s="31" t="s">
        <v>32</v>
      </c>
      <c r="E115" s="32">
        <v>40000</v>
      </c>
      <c r="F115" s="31" t="s">
        <v>52</v>
      </c>
      <c r="G115" s="34" t="s">
        <v>124</v>
      </c>
      <c r="H115" s="31"/>
    </row>
    <row r="117" spans="2:8">
      <c r="E117" s="63"/>
    </row>
  </sheetData>
  <autoFilter ref="A8:H115"/>
  <mergeCells count="20">
    <mergeCell ref="B107:D107"/>
    <mergeCell ref="B112:D112"/>
    <mergeCell ref="B83:D83"/>
    <mergeCell ref="B86:D86"/>
    <mergeCell ref="B92:D92"/>
    <mergeCell ref="B94:D94"/>
    <mergeCell ref="B99:D99"/>
    <mergeCell ref="B101:D101"/>
    <mergeCell ref="B79:D79"/>
    <mergeCell ref="B2:H2"/>
    <mergeCell ref="B3:H3"/>
    <mergeCell ref="B4:E4"/>
    <mergeCell ref="F4:H4"/>
    <mergeCell ref="B5:E5"/>
    <mergeCell ref="F5:H5"/>
    <mergeCell ref="B6:F6"/>
    <mergeCell ref="B9:D9"/>
    <mergeCell ref="B63:D63"/>
    <mergeCell ref="B67:D67"/>
    <mergeCell ref="B73:D7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19"/>
  <sheetViews>
    <sheetView topLeftCell="B49" zoomScaleNormal="100" zoomScaleSheetLayoutView="80" workbookViewId="0">
      <selection activeCell="G57" sqref="G57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E9+E65+E69+E75+E81+E85+E88+E94+E96+E101+E103+E109+E114</f>
        <v>47077854.700000003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SUM(E10:E64)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53" t="s">
        <v>120</v>
      </c>
      <c r="C22" s="54">
        <v>41100000</v>
      </c>
      <c r="D22" s="55" t="s">
        <v>142</v>
      </c>
      <c r="E22" s="56">
        <v>9900</v>
      </c>
      <c r="F22" s="57" t="s">
        <v>52</v>
      </c>
      <c r="G22" s="58" t="s">
        <v>151</v>
      </c>
      <c r="H22" s="55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51.75" customHeight="1">
      <c r="B27" s="53" t="s">
        <v>120</v>
      </c>
      <c r="C27" s="54">
        <v>45400000</v>
      </c>
      <c r="D27" s="83" t="s">
        <v>88</v>
      </c>
      <c r="E27" s="56">
        <f>300000-91000</f>
        <v>209000</v>
      </c>
      <c r="F27" s="57" t="s">
        <v>56</v>
      </c>
      <c r="G27" s="58" t="s">
        <v>114</v>
      </c>
      <c r="H27" s="60"/>
    </row>
    <row r="28" spans="2:14" s="18" customFormat="1" ht="37.5" customHeight="1">
      <c r="B28" s="30" t="s">
        <v>118</v>
      </c>
      <c r="C28" s="48">
        <v>48700000</v>
      </c>
      <c r="D28" s="31" t="s">
        <v>89</v>
      </c>
      <c r="E28" s="32">
        <v>80000</v>
      </c>
      <c r="F28" s="33" t="s">
        <v>56</v>
      </c>
      <c r="G28" s="34" t="s">
        <v>114</v>
      </c>
      <c r="H28" s="49"/>
    </row>
    <row r="29" spans="2:14" s="18" customFormat="1" ht="56.25">
      <c r="B29" s="30" t="s">
        <v>120</v>
      </c>
      <c r="C29" s="31">
        <v>50100000</v>
      </c>
      <c r="D29" s="31" t="s">
        <v>36</v>
      </c>
      <c r="E29" s="32">
        <f>20000+15000+10000</f>
        <v>45000</v>
      </c>
      <c r="F29" s="33" t="s">
        <v>53</v>
      </c>
      <c r="G29" s="34" t="s">
        <v>114</v>
      </c>
      <c r="H29" s="51" t="s">
        <v>58</v>
      </c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2200+420+60</f>
        <v>2680</v>
      </c>
      <c r="F30" s="33" t="s">
        <v>53</v>
      </c>
      <c r="G30" s="34" t="s">
        <v>151</v>
      </c>
      <c r="H30" s="51" t="s">
        <v>72</v>
      </c>
    </row>
    <row r="31" spans="2:14" s="18" customFormat="1" ht="92.25" customHeight="1">
      <c r="B31" s="30" t="s">
        <v>120</v>
      </c>
      <c r="C31" s="31" t="s">
        <v>51</v>
      </c>
      <c r="D31" s="31" t="s">
        <v>54</v>
      </c>
      <c r="E31" s="32">
        <v>140000</v>
      </c>
      <c r="F31" s="33" t="s">
        <v>56</v>
      </c>
      <c r="G31" s="34" t="s">
        <v>114</v>
      </c>
      <c r="H31" s="37"/>
    </row>
    <row r="32" spans="2:14" s="18" customFormat="1" ht="92.25" customHeight="1">
      <c r="B32" s="30" t="s">
        <v>120</v>
      </c>
      <c r="C32" s="31" t="s">
        <v>92</v>
      </c>
      <c r="D32" s="31" t="s">
        <v>93</v>
      </c>
      <c r="E32" s="32">
        <v>60000</v>
      </c>
      <c r="F32" s="33" t="s">
        <v>56</v>
      </c>
      <c r="G32" s="34" t="s">
        <v>114</v>
      </c>
      <c r="H32" s="49"/>
    </row>
    <row r="33" spans="2:8" s="18" customFormat="1" ht="92.25" customHeight="1">
      <c r="B33" s="30" t="s">
        <v>120</v>
      </c>
      <c r="C33" s="31" t="s">
        <v>90</v>
      </c>
      <c r="D33" s="31" t="s">
        <v>91</v>
      </c>
      <c r="E33" s="32">
        <v>210000</v>
      </c>
      <c r="F33" s="33" t="s">
        <v>56</v>
      </c>
      <c r="G33" s="34" t="s">
        <v>114</v>
      </c>
      <c r="H33" s="37"/>
    </row>
    <row r="34" spans="2:8" s="18" customFormat="1" ht="92.25" customHeight="1">
      <c r="B34" s="30" t="s">
        <v>120</v>
      </c>
      <c r="C34" s="31" t="s">
        <v>94</v>
      </c>
      <c r="D34" s="31" t="s">
        <v>95</v>
      </c>
      <c r="E34" s="32">
        <v>90000</v>
      </c>
      <c r="F34" s="33" t="s">
        <v>56</v>
      </c>
      <c r="G34" s="34" t="s">
        <v>114</v>
      </c>
      <c r="H34" s="37"/>
    </row>
    <row r="35" spans="2:8" s="18" customFormat="1" ht="102.75" customHeight="1">
      <c r="B35" s="30" t="s">
        <v>120</v>
      </c>
      <c r="C35" s="31" t="s">
        <v>73</v>
      </c>
      <c r="D35" s="31" t="s">
        <v>74</v>
      </c>
      <c r="E35" s="32">
        <v>25000</v>
      </c>
      <c r="F35" s="33" t="s">
        <v>56</v>
      </c>
      <c r="G35" s="34" t="s">
        <v>114</v>
      </c>
      <c r="H35" s="31"/>
    </row>
    <row r="36" spans="2:8" s="18" customFormat="1" ht="115.5" customHeight="1">
      <c r="B36" s="30" t="s">
        <v>120</v>
      </c>
      <c r="C36" s="31">
        <v>50700000</v>
      </c>
      <c r="D36" s="31" t="s">
        <v>13</v>
      </c>
      <c r="E36" s="32">
        <v>1700000</v>
      </c>
      <c r="F36" s="31" t="s">
        <v>53</v>
      </c>
      <c r="G36" s="34" t="s">
        <v>114</v>
      </c>
      <c r="H36" s="31" t="s">
        <v>85</v>
      </c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115000</v>
      </c>
      <c r="F37" s="31" t="s">
        <v>56</v>
      </c>
      <c r="G37" s="34" t="s">
        <v>114</v>
      </c>
      <c r="H37" s="31"/>
    </row>
    <row r="38" spans="2:8" s="18" customFormat="1" ht="115.5" customHeight="1">
      <c r="B38" s="53" t="s">
        <v>120</v>
      </c>
      <c r="C38" s="55" t="s">
        <v>161</v>
      </c>
      <c r="D38" s="55" t="s">
        <v>162</v>
      </c>
      <c r="E38" s="56">
        <v>91000</v>
      </c>
      <c r="F38" s="57" t="s">
        <v>56</v>
      </c>
      <c r="G38" s="58" t="s">
        <v>151</v>
      </c>
      <c r="H38" s="60"/>
    </row>
    <row r="39" spans="2:8" s="18" customFormat="1" ht="115.5" customHeight="1">
      <c r="B39" s="30" t="s">
        <v>120</v>
      </c>
      <c r="C39" s="31" t="s">
        <v>102</v>
      </c>
      <c r="D39" s="31" t="s">
        <v>103</v>
      </c>
      <c r="E39" s="32">
        <v>200000</v>
      </c>
      <c r="F39" s="31" t="s">
        <v>56</v>
      </c>
      <c r="G39" s="34" t="s">
        <v>114</v>
      </c>
      <c r="H39" s="31"/>
    </row>
    <row r="40" spans="2:8" s="18" customFormat="1" ht="115.5" customHeight="1">
      <c r="B40" s="30" t="s">
        <v>120</v>
      </c>
      <c r="C40" s="31" t="s">
        <v>96</v>
      </c>
      <c r="D40" s="31" t="s">
        <v>97</v>
      </c>
      <c r="E40" s="32">
        <v>120000</v>
      </c>
      <c r="F40" s="31" t="s">
        <v>56</v>
      </c>
      <c r="G40" s="34" t="s">
        <v>114</v>
      </c>
      <c r="H40" s="31"/>
    </row>
    <row r="41" spans="2:8" s="18" customFormat="1" ht="58.5" customHeight="1">
      <c r="B41" s="30" t="s">
        <v>120</v>
      </c>
      <c r="C41" s="48">
        <v>63700000</v>
      </c>
      <c r="D41" s="31" t="s">
        <v>62</v>
      </c>
      <c r="E41" s="32">
        <v>2000</v>
      </c>
      <c r="F41" s="33" t="s">
        <v>53</v>
      </c>
      <c r="G41" s="34" t="s">
        <v>114</v>
      </c>
      <c r="H41" s="34" t="s">
        <v>72</v>
      </c>
    </row>
    <row r="42" spans="2:8" s="18" customFormat="1" ht="63.75" customHeight="1">
      <c r="B42" s="30" t="s">
        <v>120</v>
      </c>
      <c r="C42" s="31" t="s">
        <v>39</v>
      </c>
      <c r="D42" s="31" t="s">
        <v>40</v>
      </c>
      <c r="E42" s="32">
        <v>10000</v>
      </c>
      <c r="F42" s="33" t="s">
        <v>56</v>
      </c>
      <c r="G42" s="34" t="s">
        <v>114</v>
      </c>
      <c r="H42" s="31"/>
    </row>
    <row r="43" spans="2:8" s="18" customFormat="1" ht="56.25">
      <c r="B43" s="30" t="s">
        <v>120</v>
      </c>
      <c r="C43" s="45" t="s">
        <v>18</v>
      </c>
      <c r="D43" s="31" t="s">
        <v>38</v>
      </c>
      <c r="E43" s="32">
        <v>25000</v>
      </c>
      <c r="F43" s="33" t="s">
        <v>53</v>
      </c>
      <c r="G43" s="34" t="s">
        <v>114</v>
      </c>
      <c r="H43" s="34" t="s">
        <v>82</v>
      </c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10000</v>
      </c>
      <c r="F44" s="33" t="s">
        <v>53</v>
      </c>
      <c r="G44" s="34" t="s">
        <v>114</v>
      </c>
      <c r="H44" s="34" t="s">
        <v>111</v>
      </c>
    </row>
    <row r="45" spans="2:8" s="18" customFormat="1" ht="33.75">
      <c r="B45" s="30" t="s">
        <v>120</v>
      </c>
      <c r="C45" s="45" t="s">
        <v>18</v>
      </c>
      <c r="D45" s="31" t="s">
        <v>38</v>
      </c>
      <c r="E45" s="32">
        <v>25000</v>
      </c>
      <c r="F45" s="33" t="s">
        <v>52</v>
      </c>
      <c r="G45" s="34" t="s">
        <v>114</v>
      </c>
      <c r="H45" s="52"/>
    </row>
    <row r="46" spans="2:8" s="18" customFormat="1" ht="50.25" customHeight="1">
      <c r="B46" s="30" t="s">
        <v>119</v>
      </c>
      <c r="C46" s="45" t="s">
        <v>99</v>
      </c>
      <c r="D46" s="31" t="s">
        <v>98</v>
      </c>
      <c r="E46" s="32">
        <v>30000</v>
      </c>
      <c r="F46" s="33" t="s">
        <v>144</v>
      </c>
      <c r="G46" s="34" t="s">
        <v>114</v>
      </c>
      <c r="H46" s="34"/>
    </row>
    <row r="47" spans="2:8" s="18" customFormat="1" ht="33.75">
      <c r="B47" s="30" t="s">
        <v>120</v>
      </c>
      <c r="C47" s="45" t="s">
        <v>47</v>
      </c>
      <c r="D47" s="31" t="s">
        <v>48</v>
      </c>
      <c r="E47" s="32">
        <v>1680</v>
      </c>
      <c r="F47" s="33" t="s">
        <v>77</v>
      </c>
      <c r="G47" s="34" t="s">
        <v>114</v>
      </c>
      <c r="H47" s="52"/>
    </row>
    <row r="48" spans="2:8" s="18" customFormat="1" ht="57" customHeight="1">
      <c r="B48" s="30" t="s">
        <v>120</v>
      </c>
      <c r="C48" s="45" t="s">
        <v>17</v>
      </c>
      <c r="D48" s="31" t="s">
        <v>16</v>
      </c>
      <c r="E48" s="32">
        <f>124000+28800</f>
        <v>152800</v>
      </c>
      <c r="F48" s="33" t="s">
        <v>53</v>
      </c>
      <c r="G48" s="34" t="s">
        <v>114</v>
      </c>
      <c r="H48" s="34" t="s">
        <v>59</v>
      </c>
    </row>
    <row r="49" spans="2:10" s="18" customFormat="1" ht="65.25" customHeight="1">
      <c r="B49" s="30" t="s">
        <v>120</v>
      </c>
      <c r="C49" s="45" t="s">
        <v>17</v>
      </c>
      <c r="D49" s="31" t="s">
        <v>16</v>
      </c>
      <c r="E49" s="32">
        <v>2000</v>
      </c>
      <c r="F49" s="33" t="s">
        <v>53</v>
      </c>
      <c r="G49" s="34" t="s">
        <v>114</v>
      </c>
      <c r="H49" s="34"/>
      <c r="J49" s="20"/>
    </row>
    <row r="50" spans="2:10" s="18" customFormat="1" ht="56.25">
      <c r="B50" s="30" t="s">
        <v>120</v>
      </c>
      <c r="C50" s="45" t="s">
        <v>64</v>
      </c>
      <c r="D50" s="31" t="s">
        <v>65</v>
      </c>
      <c r="E50" s="32">
        <v>1500</v>
      </c>
      <c r="F50" s="33" t="s">
        <v>53</v>
      </c>
      <c r="G50" s="34" t="s">
        <v>114</v>
      </c>
      <c r="H50" s="34" t="s">
        <v>66</v>
      </c>
    </row>
    <row r="51" spans="2:10" s="18" customFormat="1" ht="75" customHeight="1">
      <c r="B51" s="30" t="s">
        <v>120</v>
      </c>
      <c r="C51" s="45" t="s">
        <v>25</v>
      </c>
      <c r="D51" s="31" t="s">
        <v>104</v>
      </c>
      <c r="E51" s="32">
        <v>100000</v>
      </c>
      <c r="F51" s="33" t="s">
        <v>56</v>
      </c>
      <c r="G51" s="34" t="s">
        <v>114</v>
      </c>
      <c r="H51" s="34"/>
    </row>
    <row r="52" spans="2:10" s="18" customFormat="1" ht="75" customHeight="1">
      <c r="B52" s="30" t="s">
        <v>120</v>
      </c>
      <c r="C52" s="45" t="s">
        <v>112</v>
      </c>
      <c r="D52" s="31" t="s">
        <v>113</v>
      </c>
      <c r="E52" s="32">
        <v>3000</v>
      </c>
      <c r="F52" s="33" t="s">
        <v>53</v>
      </c>
      <c r="G52" s="34" t="s">
        <v>114</v>
      </c>
      <c r="H52" s="34" t="s">
        <v>66</v>
      </c>
    </row>
    <row r="53" spans="2:10" s="18" customFormat="1" ht="63.75" customHeight="1">
      <c r="B53" s="30" t="s">
        <v>120</v>
      </c>
      <c r="C53" s="31" t="s">
        <v>37</v>
      </c>
      <c r="D53" s="31" t="s">
        <v>55</v>
      </c>
      <c r="E53" s="32">
        <f>3950+6000</f>
        <v>9950</v>
      </c>
      <c r="F53" s="33" t="s">
        <v>56</v>
      </c>
      <c r="G53" s="34" t="s">
        <v>114</v>
      </c>
      <c r="H53" s="34"/>
    </row>
    <row r="54" spans="2:10" s="18" customFormat="1" ht="63.75" customHeight="1">
      <c r="B54" s="30" t="s">
        <v>120</v>
      </c>
      <c r="C54" s="31" t="s">
        <v>105</v>
      </c>
      <c r="D54" s="31" t="s">
        <v>106</v>
      </c>
      <c r="E54" s="32">
        <v>450</v>
      </c>
      <c r="F54" s="33" t="s">
        <v>53</v>
      </c>
      <c r="G54" s="34" t="s">
        <v>114</v>
      </c>
      <c r="H54" s="34"/>
    </row>
    <row r="55" spans="2:10" s="18" customFormat="1" ht="77.25" customHeight="1">
      <c r="B55" s="30" t="s">
        <v>120</v>
      </c>
      <c r="C55" s="48">
        <v>79700000</v>
      </c>
      <c r="D55" s="31" t="s">
        <v>27</v>
      </c>
      <c r="E55" s="32">
        <v>520000</v>
      </c>
      <c r="F55" s="33" t="s">
        <v>53</v>
      </c>
      <c r="G55" s="34" t="s">
        <v>114</v>
      </c>
      <c r="H55" s="34" t="s">
        <v>67</v>
      </c>
    </row>
    <row r="56" spans="2:10" s="18" customFormat="1" ht="62.25" customHeight="1">
      <c r="B56" s="30" t="s">
        <v>120</v>
      </c>
      <c r="C56" s="48">
        <v>79800000</v>
      </c>
      <c r="D56" s="31" t="s">
        <v>68</v>
      </c>
      <c r="E56" s="32">
        <f>10000+15000</f>
        <v>25000</v>
      </c>
      <c r="F56" s="33" t="s">
        <v>56</v>
      </c>
      <c r="G56" s="34" t="s">
        <v>114</v>
      </c>
      <c r="H56" s="34"/>
    </row>
    <row r="57" spans="2:10" s="18" customFormat="1" ht="62.25" customHeight="1">
      <c r="B57" s="30" t="s">
        <v>120</v>
      </c>
      <c r="C57" s="31" t="s">
        <v>45</v>
      </c>
      <c r="D57" s="31" t="s">
        <v>57</v>
      </c>
      <c r="E57" s="32">
        <v>25000</v>
      </c>
      <c r="F57" s="33" t="s">
        <v>53</v>
      </c>
      <c r="G57" s="34" t="s">
        <v>114</v>
      </c>
      <c r="H57" s="31" t="s">
        <v>60</v>
      </c>
    </row>
    <row r="58" spans="2:10" s="18" customFormat="1" ht="62.25" customHeight="1">
      <c r="B58" s="30" t="s">
        <v>120</v>
      </c>
      <c r="C58" s="45" t="s">
        <v>24</v>
      </c>
      <c r="D58" s="31" t="s">
        <v>63</v>
      </c>
      <c r="E58" s="32">
        <v>12000</v>
      </c>
      <c r="F58" s="33" t="s">
        <v>56</v>
      </c>
      <c r="G58" s="34" t="s">
        <v>114</v>
      </c>
      <c r="H58" s="31"/>
    </row>
    <row r="59" spans="2:10" s="18" customFormat="1" ht="62.25" customHeight="1">
      <c r="B59" s="30" t="s">
        <v>120</v>
      </c>
      <c r="C59" s="45" t="s">
        <v>107</v>
      </c>
      <c r="D59" s="31" t="s">
        <v>108</v>
      </c>
      <c r="E59" s="32">
        <v>1000</v>
      </c>
      <c r="F59" s="33" t="s">
        <v>53</v>
      </c>
      <c r="G59" s="34" t="s">
        <v>114</v>
      </c>
      <c r="H59" s="31"/>
    </row>
    <row r="60" spans="2:10" s="18" customFormat="1" ht="60.75" customHeight="1">
      <c r="B60" s="30" t="s">
        <v>120</v>
      </c>
      <c r="C60" s="31" t="s">
        <v>69</v>
      </c>
      <c r="D60" s="31" t="s">
        <v>70</v>
      </c>
      <c r="E60" s="32">
        <v>20000</v>
      </c>
      <c r="F60" s="33" t="s">
        <v>56</v>
      </c>
      <c r="G60" s="34" t="s">
        <v>114</v>
      </c>
      <c r="H60" s="49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10000</v>
      </c>
      <c r="F61" s="33" t="s">
        <v>77</v>
      </c>
      <c r="G61" s="34" t="s">
        <v>114</v>
      </c>
      <c r="H61" s="34" t="s">
        <v>66</v>
      </c>
    </row>
    <row r="62" spans="2:10" s="18" customFormat="1" ht="36.75" customHeight="1">
      <c r="B62" s="30" t="s">
        <v>120</v>
      </c>
      <c r="C62" s="31" t="s">
        <v>12</v>
      </c>
      <c r="D62" s="31" t="s">
        <v>19</v>
      </c>
      <c r="E62" s="32">
        <f>130000+6600</f>
        <v>136600</v>
      </c>
      <c r="F62" s="33" t="s">
        <v>56</v>
      </c>
      <c r="G62" s="34" t="s">
        <v>114</v>
      </c>
      <c r="H62" s="49"/>
    </row>
    <row r="63" spans="2:10" s="18" customFormat="1" ht="36.75" customHeight="1">
      <c r="B63" s="30" t="s">
        <v>120</v>
      </c>
      <c r="C63" s="31" t="s">
        <v>139</v>
      </c>
      <c r="D63" s="31" t="s">
        <v>140</v>
      </c>
      <c r="E63" s="32">
        <v>4900</v>
      </c>
      <c r="F63" s="33" t="s">
        <v>77</v>
      </c>
      <c r="G63" s="34" t="s">
        <v>114</v>
      </c>
      <c r="H63" s="34" t="s">
        <v>66</v>
      </c>
    </row>
    <row r="64" spans="2:10" s="18" customFormat="1" ht="54.75" customHeight="1">
      <c r="B64" s="30" t="s">
        <v>120</v>
      </c>
      <c r="C64" s="31" t="s">
        <v>100</v>
      </c>
      <c r="D64" s="31" t="s">
        <v>101</v>
      </c>
      <c r="E64" s="32">
        <v>15000</v>
      </c>
      <c r="F64" s="33" t="s">
        <v>53</v>
      </c>
      <c r="G64" s="34" t="s">
        <v>114</v>
      </c>
      <c r="H64" s="34" t="s">
        <v>66</v>
      </c>
    </row>
    <row r="65" spans="2:14" s="1" customFormat="1" ht="75" customHeight="1">
      <c r="B65" s="84" t="s">
        <v>122</v>
      </c>
      <c r="C65" s="85"/>
      <c r="D65" s="85"/>
      <c r="E65" s="16">
        <f>SUM(E66:E68)</f>
        <v>2524191.7000000002</v>
      </c>
      <c r="F65" s="13"/>
      <c r="G65" s="14"/>
      <c r="H65" s="10"/>
      <c r="I65" s="26"/>
      <c r="J65" s="27"/>
    </row>
    <row r="66" spans="2:14" s="18" customFormat="1" ht="59.25" customHeight="1">
      <c r="B66" s="30" t="s">
        <v>120</v>
      </c>
      <c r="C66" s="31" t="s">
        <v>24</v>
      </c>
      <c r="D66" s="31" t="s">
        <v>63</v>
      </c>
      <c r="E66" s="32">
        <v>2000000</v>
      </c>
      <c r="F66" s="33" t="s">
        <v>56</v>
      </c>
      <c r="G66" s="34" t="s">
        <v>114</v>
      </c>
      <c r="H66" s="35"/>
    </row>
    <row r="67" spans="2:14" s="18" customFormat="1" ht="90.75" customHeight="1">
      <c r="B67" s="30" t="s">
        <v>120</v>
      </c>
      <c r="C67" s="31" t="s">
        <v>24</v>
      </c>
      <c r="D67" s="31" t="s">
        <v>63</v>
      </c>
      <c r="E67" s="32">
        <v>121390</v>
      </c>
      <c r="F67" s="33" t="s">
        <v>53</v>
      </c>
      <c r="G67" s="34" t="s">
        <v>145</v>
      </c>
      <c r="H67" s="35" t="s">
        <v>146</v>
      </c>
    </row>
    <row r="68" spans="2:14" s="18" customFormat="1" ht="74.25" customHeight="1">
      <c r="B68" s="30" t="s">
        <v>120</v>
      </c>
      <c r="C68" s="31" t="s">
        <v>24</v>
      </c>
      <c r="D68" s="31" t="s">
        <v>63</v>
      </c>
      <c r="E68" s="32">
        <f>153466.1+13224+53288+19471.6+160022+3330</f>
        <v>402801.7</v>
      </c>
      <c r="F68" s="33" t="s">
        <v>53</v>
      </c>
      <c r="G68" s="34" t="s">
        <v>145</v>
      </c>
      <c r="H68" s="35" t="s">
        <v>147</v>
      </c>
    </row>
    <row r="69" spans="2:14" s="1" customFormat="1" ht="31.5" customHeight="1">
      <c r="B69" s="84" t="s">
        <v>123</v>
      </c>
      <c r="C69" s="85"/>
      <c r="D69" s="85"/>
      <c r="E69" s="16">
        <f>SUM(E70:E74)</f>
        <v>22970000</v>
      </c>
      <c r="F69" s="13"/>
      <c r="G69" s="9"/>
      <c r="H69" s="10"/>
      <c r="I69" s="26"/>
      <c r="J69" s="27"/>
    </row>
    <row r="70" spans="2:14" s="18" customFormat="1" ht="75.75" customHeight="1">
      <c r="B70" s="30" t="s">
        <v>120</v>
      </c>
      <c r="C70" s="31" t="s">
        <v>7</v>
      </c>
      <c r="D70" s="31" t="s">
        <v>49</v>
      </c>
      <c r="E70" s="32">
        <v>500000</v>
      </c>
      <c r="F70" s="33" t="s">
        <v>53</v>
      </c>
      <c r="G70" s="34" t="s">
        <v>114</v>
      </c>
      <c r="H70" s="36" t="s">
        <v>83</v>
      </c>
    </row>
    <row r="71" spans="2:14" s="18" customFormat="1" ht="75.75" customHeight="1">
      <c r="B71" s="30" t="s">
        <v>118</v>
      </c>
      <c r="C71" s="31" t="s">
        <v>7</v>
      </c>
      <c r="D71" s="31" t="s">
        <v>49</v>
      </c>
      <c r="E71" s="32">
        <v>100000</v>
      </c>
      <c r="F71" s="33" t="s">
        <v>53</v>
      </c>
      <c r="G71" s="34" t="s">
        <v>124</v>
      </c>
      <c r="H71" s="36" t="s">
        <v>83</v>
      </c>
    </row>
    <row r="72" spans="2:14" s="18" customFormat="1" ht="121.5" customHeight="1">
      <c r="B72" s="30" t="s">
        <v>120</v>
      </c>
      <c r="C72" s="31">
        <v>33600000</v>
      </c>
      <c r="D72" s="31" t="s">
        <v>29</v>
      </c>
      <c r="E72" s="32">
        <f>5721975+602964+2000000+200000</f>
        <v>8524939</v>
      </c>
      <c r="F72" s="33" t="s">
        <v>56</v>
      </c>
      <c r="G72" s="34" t="s">
        <v>114</v>
      </c>
      <c r="H72" s="35"/>
      <c r="I72" s="21"/>
      <c r="J72" s="29"/>
      <c r="K72" s="29"/>
      <c r="L72" s="29"/>
      <c r="M72" s="29"/>
      <c r="N72" s="29"/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v>5546250</v>
      </c>
      <c r="F73" s="33" t="s">
        <v>56</v>
      </c>
      <c r="G73" s="34" t="s">
        <v>114</v>
      </c>
      <c r="H73" s="35" t="s">
        <v>148</v>
      </c>
      <c r="I73" s="21"/>
      <c r="J73" s="29"/>
      <c r="K73" s="29"/>
      <c r="L73" s="29"/>
      <c r="M73" s="29"/>
      <c r="N73" s="29"/>
    </row>
    <row r="74" spans="2:14" s="18" customFormat="1" ht="87.75" customHeight="1">
      <c r="B74" s="30" t="s">
        <v>120</v>
      </c>
      <c r="C74" s="31" t="s">
        <v>30</v>
      </c>
      <c r="D74" s="31" t="s">
        <v>29</v>
      </c>
      <c r="E74" s="32">
        <f>6000000+2328811-30000</f>
        <v>8298811</v>
      </c>
      <c r="F74" s="33" t="s">
        <v>53</v>
      </c>
      <c r="G74" s="34" t="s">
        <v>114</v>
      </c>
      <c r="H74" s="36" t="s">
        <v>84</v>
      </c>
      <c r="J74" s="21"/>
      <c r="K74" s="21"/>
      <c r="N74" s="21"/>
    </row>
    <row r="75" spans="2:14" s="1" customFormat="1" ht="60" customHeight="1">
      <c r="B75" s="84" t="s">
        <v>125</v>
      </c>
      <c r="C75" s="85"/>
      <c r="D75" s="85"/>
      <c r="E75" s="16">
        <f>SUM(E76:E80)</f>
        <v>1700000</v>
      </c>
      <c r="F75" s="13"/>
      <c r="G75" s="14"/>
      <c r="H75" s="10"/>
      <c r="I75" s="26"/>
      <c r="J75" s="27"/>
    </row>
    <row r="76" spans="2:14" s="18" customFormat="1" ht="36.75" customHeight="1">
      <c r="B76" s="30" t="s">
        <v>120</v>
      </c>
      <c r="C76" s="31" t="s">
        <v>7</v>
      </c>
      <c r="D76" s="31" t="s">
        <v>28</v>
      </c>
      <c r="E76" s="32">
        <v>50000</v>
      </c>
      <c r="F76" s="33" t="s">
        <v>56</v>
      </c>
      <c r="G76" s="34" t="s">
        <v>114</v>
      </c>
      <c r="H76" s="35"/>
    </row>
    <row r="77" spans="2:14" s="18" customFormat="1" ht="30.75" customHeight="1">
      <c r="B77" s="30" t="s">
        <v>120</v>
      </c>
      <c r="C77" s="31" t="s">
        <v>30</v>
      </c>
      <c r="D77" s="31" t="s">
        <v>29</v>
      </c>
      <c r="E77" s="32">
        <f>200000-92300-30220</f>
        <v>77480</v>
      </c>
      <c r="F77" s="33" t="s">
        <v>56</v>
      </c>
      <c r="G77" s="34" t="s">
        <v>114</v>
      </c>
      <c r="H77" s="35"/>
    </row>
    <row r="78" spans="2:14" s="18" customFormat="1" ht="45" customHeight="1">
      <c r="B78" s="30" t="s">
        <v>120</v>
      </c>
      <c r="C78" s="31" t="s">
        <v>75</v>
      </c>
      <c r="D78" s="31" t="s">
        <v>76</v>
      </c>
      <c r="E78" s="32">
        <f>620000+92300</f>
        <v>712300</v>
      </c>
      <c r="F78" s="33" t="s">
        <v>56</v>
      </c>
      <c r="G78" s="34" t="s">
        <v>114</v>
      </c>
      <c r="H78" s="36"/>
    </row>
    <row r="79" spans="2:14" s="18" customFormat="1" ht="78" customHeight="1">
      <c r="B79" s="30" t="s">
        <v>120</v>
      </c>
      <c r="C79" s="31" t="s">
        <v>24</v>
      </c>
      <c r="D79" s="31" t="s">
        <v>63</v>
      </c>
      <c r="E79" s="32">
        <v>52208</v>
      </c>
      <c r="F79" s="33" t="s">
        <v>53</v>
      </c>
      <c r="G79" s="34" t="s">
        <v>149</v>
      </c>
      <c r="H79" s="36" t="s">
        <v>150</v>
      </c>
      <c r="J79" s="21"/>
    </row>
    <row r="80" spans="2:14" s="18" customFormat="1" ht="87.75" customHeight="1">
      <c r="B80" s="30" t="s">
        <v>120</v>
      </c>
      <c r="C80" s="31" t="s">
        <v>24</v>
      </c>
      <c r="D80" s="31" t="s">
        <v>63</v>
      </c>
      <c r="E80" s="32">
        <f>577500+171079.6+10376.4+3456+45600</f>
        <v>808012</v>
      </c>
      <c r="F80" s="33" t="s">
        <v>53</v>
      </c>
      <c r="G80" s="34" t="s">
        <v>151</v>
      </c>
      <c r="H80" s="36" t="s">
        <v>84</v>
      </c>
      <c r="J80" s="21"/>
    </row>
    <row r="81" spans="2:10" s="1" customFormat="1" ht="65.25" customHeight="1">
      <c r="B81" s="84" t="s">
        <v>126</v>
      </c>
      <c r="C81" s="85"/>
      <c r="D81" s="85"/>
      <c r="E81" s="16">
        <f>SUM(E82:E84)</f>
        <v>2864778</v>
      </c>
      <c r="F81" s="13"/>
      <c r="G81" s="14"/>
      <c r="H81" s="10"/>
      <c r="I81" s="26"/>
      <c r="J81" s="27"/>
    </row>
    <row r="82" spans="2:10" s="18" customFormat="1" ht="33.75">
      <c r="B82" s="30" t="s">
        <v>120</v>
      </c>
      <c r="C82" s="37" t="s">
        <v>25</v>
      </c>
      <c r="D82" s="37" t="s">
        <v>61</v>
      </c>
      <c r="E82" s="32">
        <v>200000</v>
      </c>
      <c r="F82" s="38" t="s">
        <v>56</v>
      </c>
      <c r="G82" s="34" t="s">
        <v>114</v>
      </c>
      <c r="H82" s="39"/>
    </row>
    <row r="83" spans="2:10" s="18" customFormat="1" ht="87.75" customHeight="1">
      <c r="B83" s="30" t="s">
        <v>120</v>
      </c>
      <c r="C83" s="31">
        <v>85100000</v>
      </c>
      <c r="D83" s="31" t="s">
        <v>63</v>
      </c>
      <c r="E83" s="32">
        <v>203458</v>
      </c>
      <c r="F83" s="33" t="s">
        <v>53</v>
      </c>
      <c r="G83" s="34" t="s">
        <v>152</v>
      </c>
      <c r="H83" s="40" t="s">
        <v>154</v>
      </c>
    </row>
    <row r="84" spans="2:10" s="18" customFormat="1" ht="69.75" customHeight="1">
      <c r="B84" s="30" t="s">
        <v>120</v>
      </c>
      <c r="C84" s="31">
        <v>85100000</v>
      </c>
      <c r="D84" s="31" t="s">
        <v>63</v>
      </c>
      <c r="E84" s="32">
        <v>2461320</v>
      </c>
      <c r="F84" s="33" t="s">
        <v>53</v>
      </c>
      <c r="G84" s="34" t="s">
        <v>153</v>
      </c>
      <c r="H84" s="36" t="s">
        <v>84</v>
      </c>
    </row>
    <row r="85" spans="2:10" s="1" customFormat="1" ht="61.5" customHeight="1">
      <c r="B85" s="84" t="s">
        <v>127</v>
      </c>
      <c r="C85" s="85"/>
      <c r="D85" s="85"/>
      <c r="E85" s="16">
        <f>SUM(E86:E87)</f>
        <v>184167</v>
      </c>
      <c r="F85" s="13"/>
      <c r="G85" s="14"/>
      <c r="H85" s="10"/>
      <c r="I85" s="26"/>
      <c r="J85" s="27"/>
    </row>
    <row r="86" spans="2:10" s="18" customFormat="1" ht="75" customHeight="1">
      <c r="B86" s="30" t="s">
        <v>120</v>
      </c>
      <c r="C86" s="31" t="s">
        <v>24</v>
      </c>
      <c r="D86" s="31" t="s">
        <v>63</v>
      </c>
      <c r="E86" s="32">
        <v>170000</v>
      </c>
      <c r="F86" s="33" t="s">
        <v>53</v>
      </c>
      <c r="G86" s="34" t="s">
        <v>153</v>
      </c>
      <c r="H86" s="36" t="s">
        <v>84</v>
      </c>
    </row>
    <row r="87" spans="2:10" s="18" customFormat="1" ht="91.5" customHeight="1">
      <c r="B87" s="30" t="s">
        <v>120</v>
      </c>
      <c r="C87" s="31" t="s">
        <v>24</v>
      </c>
      <c r="D87" s="31" t="s">
        <v>63</v>
      </c>
      <c r="E87" s="32">
        <v>14167</v>
      </c>
      <c r="F87" s="33" t="s">
        <v>53</v>
      </c>
      <c r="G87" s="34" t="s">
        <v>152</v>
      </c>
      <c r="H87" s="40" t="s">
        <v>154</v>
      </c>
    </row>
    <row r="88" spans="2:10" s="1" customFormat="1" ht="65.25" customHeight="1">
      <c r="B88" s="95" t="s">
        <v>128</v>
      </c>
      <c r="C88" s="96"/>
      <c r="D88" s="96"/>
      <c r="E88" s="16">
        <f>SUM(E89:E93)</f>
        <v>1655642</v>
      </c>
      <c r="F88" s="13"/>
      <c r="G88" s="14"/>
      <c r="H88" s="25"/>
      <c r="I88" s="26"/>
      <c r="J88" s="27"/>
    </row>
    <row r="89" spans="2:10" s="18" customFormat="1" ht="49.5" customHeight="1">
      <c r="B89" s="30" t="s">
        <v>120</v>
      </c>
      <c r="C89" s="31" t="s">
        <v>14</v>
      </c>
      <c r="D89" s="31" t="s">
        <v>15</v>
      </c>
      <c r="E89" s="32">
        <v>25000</v>
      </c>
      <c r="F89" s="33" t="s">
        <v>52</v>
      </c>
      <c r="G89" s="34" t="s">
        <v>114</v>
      </c>
      <c r="H89" s="35"/>
    </row>
    <row r="90" spans="2:10" s="18" customFormat="1" ht="33.75">
      <c r="B90" s="30" t="s">
        <v>120</v>
      </c>
      <c r="C90" s="41">
        <v>33100000</v>
      </c>
      <c r="D90" s="41" t="s">
        <v>28</v>
      </c>
      <c r="E90" s="32">
        <v>410000</v>
      </c>
      <c r="F90" s="42" t="s">
        <v>56</v>
      </c>
      <c r="G90" s="34" t="s">
        <v>114</v>
      </c>
      <c r="H90" s="43"/>
    </row>
    <row r="91" spans="2:10" s="18" customFormat="1" ht="60.75" customHeight="1">
      <c r="B91" s="30" t="s">
        <v>120</v>
      </c>
      <c r="C91" s="31" t="s">
        <v>51</v>
      </c>
      <c r="D91" s="31" t="s">
        <v>36</v>
      </c>
      <c r="E91" s="32">
        <v>15000</v>
      </c>
      <c r="F91" s="33" t="s">
        <v>56</v>
      </c>
      <c r="G91" s="34" t="s">
        <v>114</v>
      </c>
      <c r="H91" s="35"/>
    </row>
    <row r="92" spans="2:10" s="18" customFormat="1" ht="65.25" customHeight="1">
      <c r="B92" s="30" t="s">
        <v>120</v>
      </c>
      <c r="C92" s="31">
        <v>85100000</v>
      </c>
      <c r="D92" s="31" t="s">
        <v>63</v>
      </c>
      <c r="E92" s="32">
        <f>1081996+37800</f>
        <v>1119796</v>
      </c>
      <c r="F92" s="33" t="s">
        <v>53</v>
      </c>
      <c r="G92" s="34" t="s">
        <v>153</v>
      </c>
      <c r="H92" s="36" t="s">
        <v>84</v>
      </c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v>85846</v>
      </c>
      <c r="F93" s="33" t="s">
        <v>53</v>
      </c>
      <c r="G93" s="34" t="s">
        <v>152</v>
      </c>
      <c r="H93" s="40" t="s">
        <v>154</v>
      </c>
    </row>
    <row r="94" spans="2:10" s="1" customFormat="1" ht="80.25" customHeight="1">
      <c r="B94" s="84" t="s">
        <v>129</v>
      </c>
      <c r="C94" s="85"/>
      <c r="D94" s="85"/>
      <c r="E94" s="16">
        <f>SUM(E95:E95)</f>
        <v>1890000</v>
      </c>
      <c r="F94" s="13"/>
      <c r="G94" s="14"/>
      <c r="H94" s="10"/>
      <c r="I94" s="26"/>
      <c r="J94" s="27"/>
    </row>
    <row r="95" spans="2:10" s="18" customFormat="1" ht="84.75" customHeight="1">
      <c r="B95" s="30" t="s">
        <v>120</v>
      </c>
      <c r="C95" s="31" t="s">
        <v>30</v>
      </c>
      <c r="D95" s="31" t="s">
        <v>29</v>
      </c>
      <c r="E95" s="32">
        <v>1890000</v>
      </c>
      <c r="F95" s="33" t="s">
        <v>53</v>
      </c>
      <c r="G95" s="34" t="s">
        <v>114</v>
      </c>
      <c r="H95" s="36" t="s">
        <v>84</v>
      </c>
    </row>
    <row r="96" spans="2:10" s="1" customFormat="1" ht="57.75" customHeight="1">
      <c r="B96" s="93" t="s">
        <v>130</v>
      </c>
      <c r="C96" s="94"/>
      <c r="D96" s="94"/>
      <c r="E96" s="22">
        <f>SUM(E97:E100)</f>
        <v>3317000</v>
      </c>
      <c r="F96" s="23"/>
      <c r="G96" s="23"/>
      <c r="H96" s="24"/>
      <c r="I96" s="26"/>
      <c r="J96" s="27"/>
    </row>
    <row r="97" spans="2:10" s="18" customFormat="1" ht="29.25" customHeight="1">
      <c r="B97" s="30" t="s">
        <v>120</v>
      </c>
      <c r="C97" s="45">
        <v>33100000</v>
      </c>
      <c r="D97" s="31" t="s">
        <v>8</v>
      </c>
      <c r="E97" s="32">
        <v>100000</v>
      </c>
      <c r="F97" s="33" t="s">
        <v>56</v>
      </c>
      <c r="G97" s="34" t="s">
        <v>114</v>
      </c>
      <c r="H97" s="34"/>
    </row>
    <row r="98" spans="2:10" s="18" customFormat="1" ht="33.75">
      <c r="B98" s="30" t="s">
        <v>120</v>
      </c>
      <c r="C98" s="45" t="s">
        <v>30</v>
      </c>
      <c r="D98" s="31" t="s">
        <v>9</v>
      </c>
      <c r="E98" s="32">
        <f>2500000-340000-630198.8</f>
        <v>1529801.2</v>
      </c>
      <c r="F98" s="33" t="s">
        <v>56</v>
      </c>
      <c r="G98" s="34" t="s">
        <v>114</v>
      </c>
      <c r="H98" s="34"/>
      <c r="I98" s="21">
        <f>E96-3317000</f>
        <v>0</v>
      </c>
    </row>
    <row r="99" spans="2:10" s="18" customFormat="1" ht="90.75" customHeight="1">
      <c r="B99" s="30" t="s">
        <v>120</v>
      </c>
      <c r="C99" s="31" t="s">
        <v>24</v>
      </c>
      <c r="D99" s="31" t="s">
        <v>63</v>
      </c>
      <c r="E99" s="32">
        <v>111542</v>
      </c>
      <c r="F99" s="33" t="s">
        <v>77</v>
      </c>
      <c r="G99" s="34" t="s">
        <v>153</v>
      </c>
      <c r="H99" s="40" t="s">
        <v>154</v>
      </c>
      <c r="I99" s="21"/>
    </row>
    <row r="100" spans="2:10" s="18" customFormat="1" ht="75.75" customHeight="1">
      <c r="B100" s="30" t="s">
        <v>120</v>
      </c>
      <c r="C100" s="31" t="s">
        <v>24</v>
      </c>
      <c r="D100" s="31" t="s">
        <v>63</v>
      </c>
      <c r="E100" s="32">
        <f>840656.8+735000</f>
        <v>1575656.8</v>
      </c>
      <c r="F100" s="33" t="s">
        <v>77</v>
      </c>
      <c r="G100" s="34" t="s">
        <v>114</v>
      </c>
      <c r="H100" s="36" t="s">
        <v>84</v>
      </c>
      <c r="I100" s="21"/>
    </row>
    <row r="101" spans="2:10" ht="133.5" customHeight="1">
      <c r="B101" s="84" t="s">
        <v>131</v>
      </c>
      <c r="C101" s="85"/>
      <c r="D101" s="85"/>
      <c r="E101" s="16">
        <f>SUM(E102)</f>
        <v>2420000</v>
      </c>
      <c r="F101" s="13"/>
      <c r="G101" s="14"/>
      <c r="H101" s="10"/>
      <c r="I101" s="26"/>
      <c r="J101" s="28"/>
    </row>
    <row r="102" spans="2:10" s="18" customFormat="1" ht="117.75" customHeight="1">
      <c r="B102" s="30" t="s">
        <v>120</v>
      </c>
      <c r="C102" s="31" t="s">
        <v>30</v>
      </c>
      <c r="D102" s="31" t="s">
        <v>29</v>
      </c>
      <c r="E102" s="32">
        <v>2420000</v>
      </c>
      <c r="F102" s="33" t="s">
        <v>77</v>
      </c>
      <c r="G102" s="34" t="s">
        <v>114</v>
      </c>
      <c r="H102" s="36" t="s">
        <v>84</v>
      </c>
    </row>
    <row r="103" spans="2:10" s="1" customFormat="1" ht="57" customHeight="1">
      <c r="B103" s="95" t="s">
        <v>132</v>
      </c>
      <c r="C103" s="96"/>
      <c r="D103" s="96"/>
      <c r="E103" s="16">
        <f>SUM(E104:E108)</f>
        <v>430000</v>
      </c>
      <c r="F103" s="13"/>
      <c r="G103" s="25"/>
      <c r="H103" s="25"/>
      <c r="I103" s="26"/>
      <c r="J103" s="27"/>
    </row>
    <row r="104" spans="2:10" s="18" customFormat="1" ht="59.25" customHeight="1">
      <c r="B104" s="30" t="s">
        <v>133</v>
      </c>
      <c r="C104" s="31">
        <v>33100000</v>
      </c>
      <c r="D104" s="31" t="s">
        <v>28</v>
      </c>
      <c r="E104" s="32">
        <v>10000</v>
      </c>
      <c r="F104" s="33" t="s">
        <v>56</v>
      </c>
      <c r="G104" s="34" t="s">
        <v>114</v>
      </c>
      <c r="H104" s="35"/>
    </row>
    <row r="105" spans="2:10" s="18" customFormat="1" ht="33.75">
      <c r="B105" s="30" t="s">
        <v>133</v>
      </c>
      <c r="C105" s="37">
        <v>33600000</v>
      </c>
      <c r="D105" s="37" t="s">
        <v>29</v>
      </c>
      <c r="E105" s="32">
        <v>320000</v>
      </c>
      <c r="F105" s="38" t="s">
        <v>56</v>
      </c>
      <c r="G105" s="34" t="s">
        <v>114</v>
      </c>
      <c r="H105" s="39"/>
    </row>
    <row r="106" spans="2:10" s="18" customFormat="1" ht="69" customHeight="1">
      <c r="B106" s="30" t="s">
        <v>120</v>
      </c>
      <c r="C106" s="45" t="s">
        <v>24</v>
      </c>
      <c r="D106" s="31" t="s">
        <v>63</v>
      </c>
      <c r="E106" s="32">
        <f>16450</f>
        <v>16450</v>
      </c>
      <c r="F106" s="33" t="s">
        <v>53</v>
      </c>
      <c r="G106" s="34" t="s">
        <v>114</v>
      </c>
      <c r="H106" s="36" t="s">
        <v>84</v>
      </c>
    </row>
    <row r="107" spans="2:10" s="18" customFormat="1" ht="51" customHeight="1">
      <c r="B107" s="30" t="s">
        <v>120</v>
      </c>
      <c r="C107" s="45" t="s">
        <v>24</v>
      </c>
      <c r="D107" s="31" t="s">
        <v>63</v>
      </c>
      <c r="E107" s="32">
        <f>100000-E106-E108</f>
        <v>75325</v>
      </c>
      <c r="F107" s="33" t="s">
        <v>56</v>
      </c>
      <c r="G107" s="34" t="s">
        <v>114</v>
      </c>
      <c r="H107" s="40"/>
    </row>
    <row r="108" spans="2:10" s="18" customFormat="1" ht="103.5" customHeight="1">
      <c r="B108" s="30" t="s">
        <v>120</v>
      </c>
      <c r="C108" s="45" t="s">
        <v>155</v>
      </c>
      <c r="D108" s="31" t="s">
        <v>63</v>
      </c>
      <c r="E108" s="82">
        <v>8225</v>
      </c>
      <c r="F108" s="33" t="s">
        <v>53</v>
      </c>
      <c r="G108" s="34" t="s">
        <v>153</v>
      </c>
      <c r="H108" s="40" t="s">
        <v>146</v>
      </c>
    </row>
    <row r="109" spans="2:10" ht="59.25" customHeight="1">
      <c r="B109" s="84" t="s">
        <v>134</v>
      </c>
      <c r="C109" s="85"/>
      <c r="D109" s="85"/>
      <c r="E109" s="16">
        <f>SUM(E110:E113)</f>
        <v>1240000</v>
      </c>
      <c r="F109" s="13"/>
      <c r="G109" s="14"/>
      <c r="H109" s="10"/>
      <c r="I109" s="26"/>
      <c r="J109" s="28"/>
    </row>
    <row r="110" spans="2:10" s="18" customFormat="1" ht="42.75" customHeight="1">
      <c r="B110" s="46" t="s">
        <v>120</v>
      </c>
      <c r="C110" s="31" t="s">
        <v>25</v>
      </c>
      <c r="D110" s="31" t="s">
        <v>61</v>
      </c>
      <c r="E110" s="32">
        <f>1500000-170000-260000-90000-86410</f>
        <v>893590</v>
      </c>
      <c r="F110" s="33" t="s">
        <v>56</v>
      </c>
      <c r="G110" s="34" t="s">
        <v>114</v>
      </c>
      <c r="H110" s="47"/>
      <c r="I110" s="21"/>
    </row>
    <row r="111" spans="2:10" s="18" customFormat="1" ht="42.75" customHeight="1">
      <c r="B111" s="46" t="s">
        <v>137</v>
      </c>
      <c r="C111" s="31" t="s">
        <v>135</v>
      </c>
      <c r="D111" s="31" t="s">
        <v>136</v>
      </c>
      <c r="E111" s="32">
        <v>170000</v>
      </c>
      <c r="F111" s="33" t="s">
        <v>56</v>
      </c>
      <c r="G111" s="34" t="s">
        <v>114</v>
      </c>
      <c r="H111" s="47"/>
    </row>
    <row r="112" spans="2:10" s="18" customFormat="1" ht="82.5" customHeight="1">
      <c r="B112" s="30" t="s">
        <v>120</v>
      </c>
      <c r="C112" s="31" t="s">
        <v>156</v>
      </c>
      <c r="D112" s="31" t="s">
        <v>157</v>
      </c>
      <c r="E112" s="32">
        <v>90000</v>
      </c>
      <c r="F112" s="33" t="s">
        <v>53</v>
      </c>
      <c r="G112" s="34" t="s">
        <v>153</v>
      </c>
      <c r="H112" s="36" t="s">
        <v>84</v>
      </c>
    </row>
    <row r="113" spans="2:10" s="19" customFormat="1" ht="81.75" customHeight="1">
      <c r="B113" s="78" t="s">
        <v>120</v>
      </c>
      <c r="C113" s="41" t="s">
        <v>25</v>
      </c>
      <c r="D113" s="41" t="s">
        <v>61</v>
      </c>
      <c r="E113" s="79">
        <v>86410</v>
      </c>
      <c r="F113" s="42" t="s">
        <v>53</v>
      </c>
      <c r="G113" s="80" t="s">
        <v>151</v>
      </c>
      <c r="H113" s="81" t="s">
        <v>84</v>
      </c>
    </row>
    <row r="114" spans="2:10" ht="70.5" customHeight="1">
      <c r="B114" s="84" t="s">
        <v>138</v>
      </c>
      <c r="C114" s="85"/>
      <c r="D114" s="85"/>
      <c r="E114" s="16">
        <f>SUM(E115:E117)</f>
        <v>790000</v>
      </c>
      <c r="F114" s="13"/>
      <c r="G114" s="14"/>
      <c r="H114" s="10"/>
      <c r="I114" s="26"/>
      <c r="J114" s="28"/>
    </row>
    <row r="115" spans="2:10" s="18" customFormat="1" ht="33.75">
      <c r="B115" s="46" t="s">
        <v>120</v>
      </c>
      <c r="C115" s="31" t="s">
        <v>30</v>
      </c>
      <c r="D115" s="31" t="s">
        <v>29</v>
      </c>
      <c r="E115" s="32">
        <f>300000+300000</f>
        <v>600000</v>
      </c>
      <c r="F115" s="31" t="s">
        <v>56</v>
      </c>
      <c r="G115" s="34" t="s">
        <v>114</v>
      </c>
      <c r="H115" s="31"/>
    </row>
    <row r="116" spans="2:10" s="18" customFormat="1" ht="33.75">
      <c r="B116" s="46" t="s">
        <v>120</v>
      </c>
      <c r="C116" s="31" t="s">
        <v>7</v>
      </c>
      <c r="D116" s="31" t="s">
        <v>28</v>
      </c>
      <c r="E116" s="32">
        <f>150000</f>
        <v>150000</v>
      </c>
      <c r="F116" s="31" t="s">
        <v>56</v>
      </c>
      <c r="G116" s="34" t="s">
        <v>114</v>
      </c>
      <c r="H116" s="31"/>
    </row>
    <row r="117" spans="2:10" ht="33.75">
      <c r="B117" s="46" t="s">
        <v>120</v>
      </c>
      <c r="C117" s="31" t="s">
        <v>14</v>
      </c>
      <c r="D117" s="31" t="s">
        <v>32</v>
      </c>
      <c r="E117" s="32">
        <v>40000</v>
      </c>
      <c r="F117" s="31" t="s">
        <v>52</v>
      </c>
      <c r="G117" s="34" t="s">
        <v>124</v>
      </c>
      <c r="H117" s="31"/>
    </row>
    <row r="119" spans="2:10">
      <c r="E119" s="63"/>
    </row>
  </sheetData>
  <autoFilter ref="A8:H117"/>
  <mergeCells count="20">
    <mergeCell ref="B81:D81"/>
    <mergeCell ref="B2:H2"/>
    <mergeCell ref="B3:H3"/>
    <mergeCell ref="B4:E4"/>
    <mergeCell ref="F4:H4"/>
    <mergeCell ref="B5:E5"/>
    <mergeCell ref="F5:H5"/>
    <mergeCell ref="B6:F6"/>
    <mergeCell ref="B9:D9"/>
    <mergeCell ref="B65:D65"/>
    <mergeCell ref="B69:D69"/>
    <mergeCell ref="B75:D75"/>
    <mergeCell ref="B109:D109"/>
    <mergeCell ref="B114:D114"/>
    <mergeCell ref="B85:D85"/>
    <mergeCell ref="B88:D88"/>
    <mergeCell ref="B94:D94"/>
    <mergeCell ref="B96:D96"/>
    <mergeCell ref="B101:D101"/>
    <mergeCell ref="B103:D103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1"/>
  <sheetViews>
    <sheetView topLeftCell="B16" zoomScaleNormal="100" zoomScaleSheetLayoutView="80" workbookViewId="0">
      <selection activeCell="E28" sqref="E28"/>
    </sheetView>
  </sheetViews>
  <sheetFormatPr defaultRowHeight="15"/>
  <cols>
    <col min="1" max="1" width="9.140625" hidden="1" customWidth="1"/>
    <col min="2" max="2" width="17" customWidth="1"/>
    <col min="3" max="3" width="11.5703125" bestFit="1" customWidth="1"/>
    <col min="4" max="4" width="29.5703125" customWidth="1"/>
    <col min="5" max="5" width="19" style="17" customWidth="1"/>
    <col min="6" max="6" width="16.140625" style="12" customWidth="1"/>
    <col min="7" max="7" width="18" customWidth="1"/>
    <col min="8" max="8" width="19.7109375" customWidth="1"/>
    <col min="9" max="9" width="16.85546875" customWidth="1"/>
    <col min="10" max="10" width="18" customWidth="1"/>
    <col min="11" max="11" width="12.140625" bestFit="1" customWidth="1"/>
    <col min="12" max="12" width="13.42578125" bestFit="1" customWidth="1"/>
    <col min="13" max="13" width="11.5703125" bestFit="1" customWidth="1"/>
    <col min="14" max="14" width="14.42578125" bestFit="1" customWidth="1"/>
  </cols>
  <sheetData>
    <row r="2" spans="2:8" ht="18.75">
      <c r="B2" s="86" t="s">
        <v>33</v>
      </c>
      <c r="C2" s="86"/>
      <c r="D2" s="86"/>
      <c r="E2" s="86"/>
      <c r="F2" s="86"/>
      <c r="G2" s="86"/>
      <c r="H2" s="86"/>
    </row>
    <row r="3" spans="2:8" ht="18.75">
      <c r="B3" s="87" t="s">
        <v>4</v>
      </c>
      <c r="C3" s="87"/>
      <c r="D3" s="87"/>
      <c r="E3" s="87"/>
      <c r="F3" s="87"/>
      <c r="G3" s="87"/>
      <c r="H3" s="87"/>
    </row>
    <row r="4" spans="2:8">
      <c r="B4" s="88" t="s">
        <v>46</v>
      </c>
      <c r="C4" s="88"/>
      <c r="D4" s="88"/>
      <c r="E4" s="88"/>
      <c r="F4" s="88" t="s">
        <v>21</v>
      </c>
      <c r="G4" s="88"/>
      <c r="H4" s="88"/>
    </row>
    <row r="5" spans="2:8">
      <c r="B5" s="88" t="s">
        <v>20</v>
      </c>
      <c r="C5" s="88"/>
      <c r="D5" s="88"/>
      <c r="E5" s="88"/>
      <c r="F5" s="88" t="s">
        <v>10</v>
      </c>
      <c r="G5" s="88"/>
      <c r="H5" s="88"/>
    </row>
    <row r="6" spans="2:8" ht="24.75" customHeight="1">
      <c r="B6" s="89" t="s">
        <v>22</v>
      </c>
      <c r="C6" s="90"/>
      <c r="D6" s="90"/>
      <c r="E6" s="90"/>
      <c r="F6" s="90"/>
      <c r="G6" s="2">
        <f>E9+E66+E70+E76+E82+E86+E89+E95+E97+E102+E104+E110+E115</f>
        <v>47122854.700000003</v>
      </c>
      <c r="H6" s="3" t="s">
        <v>23</v>
      </c>
    </row>
    <row r="7" spans="2:8" ht="25.5">
      <c r="B7" s="4" t="s">
        <v>0</v>
      </c>
      <c r="C7" s="5" t="s">
        <v>2</v>
      </c>
      <c r="D7" s="5" t="s">
        <v>5</v>
      </c>
      <c r="E7" s="6" t="s">
        <v>6</v>
      </c>
      <c r="F7" s="5" t="s">
        <v>1</v>
      </c>
      <c r="G7" s="5" t="s">
        <v>26</v>
      </c>
      <c r="H7" s="5" t="s">
        <v>3</v>
      </c>
    </row>
    <row r="8" spans="2:8">
      <c r="B8" s="7">
        <v>1</v>
      </c>
      <c r="C8" s="7">
        <f t="shared" ref="C8:H8" si="0">B8+1</f>
        <v>2</v>
      </c>
      <c r="D8" s="7">
        <f t="shared" si="0"/>
        <v>3</v>
      </c>
      <c r="E8" s="8">
        <f t="shared" si="0"/>
        <v>4</v>
      </c>
      <c r="F8" s="7">
        <f t="shared" si="0"/>
        <v>5</v>
      </c>
      <c r="G8" s="7">
        <f t="shared" si="0"/>
        <v>6</v>
      </c>
      <c r="H8" s="7">
        <f t="shared" si="0"/>
        <v>7</v>
      </c>
    </row>
    <row r="9" spans="2:8" ht="60.75" customHeight="1">
      <c r="B9" s="91" t="s">
        <v>121</v>
      </c>
      <c r="C9" s="92"/>
      <c r="D9" s="92"/>
      <c r="E9" s="15">
        <f>SUM(E10:E65)</f>
        <v>5092076</v>
      </c>
      <c r="F9" s="11"/>
      <c r="G9" s="9"/>
      <c r="H9" s="10"/>
    </row>
    <row r="10" spans="2:8" s="18" customFormat="1" ht="33.75">
      <c r="B10" s="30" t="s">
        <v>120</v>
      </c>
      <c r="C10" s="31" t="s">
        <v>41</v>
      </c>
      <c r="D10" s="31" t="s">
        <v>43</v>
      </c>
      <c r="E10" s="32">
        <v>500</v>
      </c>
      <c r="F10" s="33" t="s">
        <v>53</v>
      </c>
      <c r="G10" s="34" t="s">
        <v>114</v>
      </c>
      <c r="H10" s="31"/>
    </row>
    <row r="11" spans="2:8" s="18" customFormat="1" ht="33.75">
      <c r="B11" s="30" t="s">
        <v>120</v>
      </c>
      <c r="C11" s="31" t="s">
        <v>14</v>
      </c>
      <c r="D11" s="31" t="s">
        <v>32</v>
      </c>
      <c r="E11" s="32">
        <v>230000</v>
      </c>
      <c r="F11" s="33" t="s">
        <v>52</v>
      </c>
      <c r="G11" s="34" t="s">
        <v>114</v>
      </c>
      <c r="H11" s="31"/>
    </row>
    <row r="12" spans="2:8" s="18" customFormat="1" ht="33.75">
      <c r="B12" s="30" t="s">
        <v>120</v>
      </c>
      <c r="C12" s="31" t="s">
        <v>86</v>
      </c>
      <c r="D12" s="31" t="s">
        <v>87</v>
      </c>
      <c r="E12" s="32">
        <v>500</v>
      </c>
      <c r="F12" s="33" t="s">
        <v>53</v>
      </c>
      <c r="G12" s="34" t="s">
        <v>114</v>
      </c>
      <c r="H12" s="31"/>
    </row>
    <row r="13" spans="2:8" s="19" customFormat="1" ht="33.75">
      <c r="B13" s="30" t="s">
        <v>120</v>
      </c>
      <c r="C13" s="41" t="s">
        <v>42</v>
      </c>
      <c r="D13" s="41" t="s">
        <v>44</v>
      </c>
      <c r="E13" s="32">
        <v>1500</v>
      </c>
      <c r="F13" s="42" t="s">
        <v>53</v>
      </c>
      <c r="G13" s="34" t="s">
        <v>114</v>
      </c>
      <c r="H13" s="41"/>
    </row>
    <row r="14" spans="2:8" s="19" customFormat="1" ht="25.5">
      <c r="B14" s="30" t="s">
        <v>120</v>
      </c>
      <c r="C14" s="41" t="s">
        <v>158</v>
      </c>
      <c r="D14" s="41" t="s">
        <v>159</v>
      </c>
      <c r="E14" s="32">
        <v>2316</v>
      </c>
      <c r="F14" s="42" t="s">
        <v>53</v>
      </c>
      <c r="G14" s="34" t="s">
        <v>160</v>
      </c>
      <c r="H14" s="41"/>
    </row>
    <row r="15" spans="2:8" s="18" customFormat="1" ht="49.5" customHeight="1">
      <c r="B15" s="30" t="s">
        <v>120</v>
      </c>
      <c r="C15" s="31" t="s">
        <v>31</v>
      </c>
      <c r="D15" s="31" t="s">
        <v>50</v>
      </c>
      <c r="E15" s="32">
        <v>25000</v>
      </c>
      <c r="F15" s="33" t="s">
        <v>52</v>
      </c>
      <c r="G15" s="34" t="s">
        <v>114</v>
      </c>
      <c r="H15" s="31"/>
    </row>
    <row r="16" spans="2:8" s="18" customFormat="1" ht="49.5" customHeight="1">
      <c r="B16" s="30" t="s">
        <v>120</v>
      </c>
      <c r="C16" s="31" t="s">
        <v>31</v>
      </c>
      <c r="D16" s="31" t="s">
        <v>50</v>
      </c>
      <c r="E16" s="32">
        <v>80000</v>
      </c>
      <c r="F16" s="33" t="s">
        <v>56</v>
      </c>
      <c r="G16" s="34" t="s">
        <v>114</v>
      </c>
      <c r="H16" s="31"/>
    </row>
    <row r="17" spans="2:14" s="18" customFormat="1" ht="49.5" customHeight="1">
      <c r="B17" s="30" t="s">
        <v>120</v>
      </c>
      <c r="C17" s="31" t="s">
        <v>109</v>
      </c>
      <c r="D17" s="31" t="s">
        <v>115</v>
      </c>
      <c r="E17" s="32">
        <v>120000</v>
      </c>
      <c r="F17" s="33" t="s">
        <v>56</v>
      </c>
      <c r="G17" s="34" t="s">
        <v>114</v>
      </c>
      <c r="H17" s="31"/>
    </row>
    <row r="18" spans="2:14" s="18" customFormat="1" ht="49.5" customHeight="1">
      <c r="B18" s="30" t="s">
        <v>120</v>
      </c>
      <c r="C18" s="31" t="s">
        <v>7</v>
      </c>
      <c r="D18" s="31" t="s">
        <v>117</v>
      </c>
      <c r="E18" s="32">
        <v>100000</v>
      </c>
      <c r="F18" s="33" t="s">
        <v>56</v>
      </c>
      <c r="G18" s="34" t="s">
        <v>114</v>
      </c>
      <c r="H18" s="31"/>
    </row>
    <row r="19" spans="2:14" s="18" customFormat="1" ht="49.5" customHeight="1">
      <c r="B19" s="30" t="s">
        <v>120</v>
      </c>
      <c r="C19" s="31" t="s">
        <v>110</v>
      </c>
      <c r="D19" s="31" t="s">
        <v>116</v>
      </c>
      <c r="E19" s="32">
        <v>250000</v>
      </c>
      <c r="F19" s="33" t="s">
        <v>56</v>
      </c>
      <c r="G19" s="34" t="s">
        <v>114</v>
      </c>
      <c r="H19" s="31"/>
    </row>
    <row r="20" spans="2:14" s="18" customFormat="1" ht="38.25" customHeight="1">
      <c r="B20" s="30" t="s">
        <v>120</v>
      </c>
      <c r="C20" s="48">
        <v>31400000</v>
      </c>
      <c r="D20" s="31" t="s">
        <v>11</v>
      </c>
      <c r="E20" s="32">
        <v>3000</v>
      </c>
      <c r="F20" s="33" t="s">
        <v>53</v>
      </c>
      <c r="G20" s="34" t="s">
        <v>114</v>
      </c>
      <c r="H20" s="49"/>
    </row>
    <row r="21" spans="2:14" s="18" customFormat="1" ht="38.25" customHeight="1">
      <c r="B21" s="30" t="s">
        <v>120</v>
      </c>
      <c r="C21" s="48">
        <v>41100000</v>
      </c>
      <c r="D21" s="31" t="s">
        <v>142</v>
      </c>
      <c r="E21" s="32">
        <v>10800</v>
      </c>
      <c r="F21" s="33" t="s">
        <v>56</v>
      </c>
      <c r="G21" s="34" t="s">
        <v>114</v>
      </c>
      <c r="H21" s="31"/>
    </row>
    <row r="22" spans="2:14" s="18" customFormat="1" ht="38.25" customHeight="1">
      <c r="B22" s="30" t="s">
        <v>120</v>
      </c>
      <c r="C22" s="48">
        <v>41100000</v>
      </c>
      <c r="D22" s="31" t="s">
        <v>142</v>
      </c>
      <c r="E22" s="32">
        <v>9900</v>
      </c>
      <c r="F22" s="33" t="s">
        <v>52</v>
      </c>
      <c r="G22" s="34" t="s">
        <v>151</v>
      </c>
      <c r="H22" s="31"/>
    </row>
    <row r="23" spans="2:14" s="18" customFormat="1" ht="38.25" customHeight="1">
      <c r="B23" s="30" t="s">
        <v>120</v>
      </c>
      <c r="C23" s="31" t="s">
        <v>35</v>
      </c>
      <c r="D23" s="31" t="s">
        <v>34</v>
      </c>
      <c r="E23" s="32">
        <v>20000</v>
      </c>
      <c r="F23" s="33" t="s">
        <v>52</v>
      </c>
      <c r="G23" s="34" t="s">
        <v>114</v>
      </c>
      <c r="H23" s="44"/>
    </row>
    <row r="24" spans="2:14" s="18" customFormat="1" ht="33.75">
      <c r="B24" s="30" t="s">
        <v>120</v>
      </c>
      <c r="C24" s="31" t="s">
        <v>78</v>
      </c>
      <c r="D24" s="31" t="s">
        <v>79</v>
      </c>
      <c r="E24" s="32">
        <v>3000</v>
      </c>
      <c r="F24" s="33" t="s">
        <v>77</v>
      </c>
      <c r="G24" s="34" t="s">
        <v>114</v>
      </c>
      <c r="H24" s="49"/>
    </row>
    <row r="25" spans="2:14" s="18" customFormat="1" ht="33.75">
      <c r="B25" s="30" t="s">
        <v>120</v>
      </c>
      <c r="C25" s="31" t="s">
        <v>80</v>
      </c>
      <c r="D25" s="31" t="s">
        <v>81</v>
      </c>
      <c r="E25" s="32">
        <v>3000</v>
      </c>
      <c r="F25" s="33" t="s">
        <v>77</v>
      </c>
      <c r="G25" s="34" t="s">
        <v>114</v>
      </c>
      <c r="H25" s="49"/>
      <c r="N25" s="18" t="s">
        <v>143</v>
      </c>
    </row>
    <row r="26" spans="2:14" s="18" customFormat="1" ht="33.75">
      <c r="B26" s="30" t="s">
        <v>120</v>
      </c>
      <c r="C26" s="50">
        <v>39800000</v>
      </c>
      <c r="D26" s="50" t="s">
        <v>71</v>
      </c>
      <c r="E26" s="32">
        <v>2000</v>
      </c>
      <c r="F26" s="33" t="s">
        <v>77</v>
      </c>
      <c r="G26" s="34" t="s">
        <v>114</v>
      </c>
      <c r="H26" s="49"/>
    </row>
    <row r="27" spans="2:14" s="18" customFormat="1" ht="45">
      <c r="B27" s="53" t="s">
        <v>118</v>
      </c>
      <c r="C27" s="83">
        <v>45200000</v>
      </c>
      <c r="D27" s="83" t="s">
        <v>164</v>
      </c>
      <c r="E27" s="56">
        <v>105010</v>
      </c>
      <c r="F27" s="57" t="s">
        <v>56</v>
      </c>
      <c r="G27" s="58" t="s">
        <v>151</v>
      </c>
      <c r="H27" s="60"/>
    </row>
    <row r="28" spans="2:14" s="18" customFormat="1" ht="51.75" customHeight="1">
      <c r="B28" s="53" t="s">
        <v>120</v>
      </c>
      <c r="C28" s="54">
        <v>45400000</v>
      </c>
      <c r="D28" s="83" t="s">
        <v>88</v>
      </c>
      <c r="E28" s="56">
        <f>300000-91000-105010</f>
        <v>103990</v>
      </c>
      <c r="F28" s="57" t="s">
        <v>56</v>
      </c>
      <c r="G28" s="58" t="s">
        <v>114</v>
      </c>
      <c r="H28" s="60"/>
    </row>
    <row r="29" spans="2:14" s="18" customFormat="1" ht="37.5" customHeight="1">
      <c r="B29" s="30" t="s">
        <v>118</v>
      </c>
      <c r="C29" s="48">
        <v>48700000</v>
      </c>
      <c r="D29" s="31" t="s">
        <v>89</v>
      </c>
      <c r="E29" s="32">
        <v>80000</v>
      </c>
      <c r="F29" s="33" t="s">
        <v>56</v>
      </c>
      <c r="G29" s="34" t="s">
        <v>114</v>
      </c>
      <c r="H29" s="49"/>
    </row>
    <row r="30" spans="2:14" s="18" customFormat="1" ht="56.25">
      <c r="B30" s="30" t="s">
        <v>120</v>
      </c>
      <c r="C30" s="31">
        <v>50100000</v>
      </c>
      <c r="D30" s="31" t="s">
        <v>36</v>
      </c>
      <c r="E30" s="32">
        <f>20000+15000+10000</f>
        <v>45000</v>
      </c>
      <c r="F30" s="33" t="s">
        <v>53</v>
      </c>
      <c r="G30" s="34" t="s">
        <v>114</v>
      </c>
      <c r="H30" s="51" t="s">
        <v>58</v>
      </c>
    </row>
    <row r="31" spans="2:14" s="18" customFormat="1" ht="56.25">
      <c r="B31" s="30" t="s">
        <v>120</v>
      </c>
      <c r="C31" s="31">
        <v>50100000</v>
      </c>
      <c r="D31" s="31" t="s">
        <v>36</v>
      </c>
      <c r="E31" s="32">
        <f>2200+420+60</f>
        <v>2680</v>
      </c>
      <c r="F31" s="33" t="s">
        <v>53</v>
      </c>
      <c r="G31" s="34" t="s">
        <v>151</v>
      </c>
      <c r="H31" s="51" t="s">
        <v>72</v>
      </c>
    </row>
    <row r="32" spans="2:14" s="18" customFormat="1" ht="92.25" customHeight="1">
      <c r="B32" s="30" t="s">
        <v>120</v>
      </c>
      <c r="C32" s="31" t="s">
        <v>51</v>
      </c>
      <c r="D32" s="31" t="s">
        <v>54</v>
      </c>
      <c r="E32" s="32">
        <v>140000</v>
      </c>
      <c r="F32" s="33" t="s">
        <v>56</v>
      </c>
      <c r="G32" s="34" t="s">
        <v>114</v>
      </c>
      <c r="H32" s="37"/>
    </row>
    <row r="33" spans="2:8" s="18" customFormat="1" ht="92.25" customHeight="1">
      <c r="B33" s="30" t="s">
        <v>120</v>
      </c>
      <c r="C33" s="31" t="s">
        <v>92</v>
      </c>
      <c r="D33" s="31" t="s">
        <v>93</v>
      </c>
      <c r="E33" s="32">
        <v>60000</v>
      </c>
      <c r="F33" s="33" t="s">
        <v>56</v>
      </c>
      <c r="G33" s="34" t="s">
        <v>114</v>
      </c>
      <c r="H33" s="49"/>
    </row>
    <row r="34" spans="2:8" s="18" customFormat="1" ht="92.25" customHeight="1">
      <c r="B34" s="30" t="s">
        <v>120</v>
      </c>
      <c r="C34" s="31" t="s">
        <v>90</v>
      </c>
      <c r="D34" s="31" t="s">
        <v>91</v>
      </c>
      <c r="E34" s="32">
        <v>210000</v>
      </c>
      <c r="F34" s="33" t="s">
        <v>56</v>
      </c>
      <c r="G34" s="34" t="s">
        <v>114</v>
      </c>
      <c r="H34" s="37"/>
    </row>
    <row r="35" spans="2:8" s="18" customFormat="1" ht="92.25" customHeight="1">
      <c r="B35" s="30" t="s">
        <v>120</v>
      </c>
      <c r="C35" s="31" t="s">
        <v>94</v>
      </c>
      <c r="D35" s="31" t="s">
        <v>95</v>
      </c>
      <c r="E35" s="32">
        <v>90000</v>
      </c>
      <c r="F35" s="33" t="s">
        <v>56</v>
      </c>
      <c r="G35" s="34" t="s">
        <v>114</v>
      </c>
      <c r="H35" s="37"/>
    </row>
    <row r="36" spans="2:8" s="18" customFormat="1" ht="102.75" customHeight="1">
      <c r="B36" s="30" t="s">
        <v>120</v>
      </c>
      <c r="C36" s="31" t="s">
        <v>73</v>
      </c>
      <c r="D36" s="31" t="s">
        <v>74</v>
      </c>
      <c r="E36" s="32">
        <v>25000</v>
      </c>
      <c r="F36" s="33" t="s">
        <v>56</v>
      </c>
      <c r="G36" s="34" t="s">
        <v>114</v>
      </c>
      <c r="H36" s="31"/>
    </row>
    <row r="37" spans="2:8" s="18" customFormat="1" ht="115.5" customHeight="1">
      <c r="B37" s="30" t="s">
        <v>120</v>
      </c>
      <c r="C37" s="31">
        <v>50700000</v>
      </c>
      <c r="D37" s="31" t="s">
        <v>13</v>
      </c>
      <c r="E37" s="32">
        <v>1700000</v>
      </c>
      <c r="F37" s="31" t="s">
        <v>53</v>
      </c>
      <c r="G37" s="34" t="s">
        <v>114</v>
      </c>
      <c r="H37" s="31" t="s">
        <v>85</v>
      </c>
    </row>
    <row r="38" spans="2:8" s="18" customFormat="1" ht="115.5" customHeight="1">
      <c r="B38" s="30" t="s">
        <v>120</v>
      </c>
      <c r="C38" s="31">
        <v>50700000</v>
      </c>
      <c r="D38" s="31" t="s">
        <v>13</v>
      </c>
      <c r="E38" s="32">
        <v>115000</v>
      </c>
      <c r="F38" s="31" t="s">
        <v>56</v>
      </c>
      <c r="G38" s="34" t="s">
        <v>114</v>
      </c>
      <c r="H38" s="31"/>
    </row>
    <row r="39" spans="2:8" s="18" customFormat="1" ht="115.5" customHeight="1">
      <c r="B39" s="30" t="s">
        <v>120</v>
      </c>
      <c r="C39" s="31" t="s">
        <v>161</v>
      </c>
      <c r="D39" s="31" t="s">
        <v>162</v>
      </c>
      <c r="E39" s="32">
        <v>91000</v>
      </c>
      <c r="F39" s="33" t="s">
        <v>56</v>
      </c>
      <c r="G39" s="34" t="s">
        <v>151</v>
      </c>
      <c r="H39" s="49"/>
    </row>
    <row r="40" spans="2:8" s="18" customFormat="1" ht="115.5" customHeight="1">
      <c r="B40" s="30" t="s">
        <v>120</v>
      </c>
      <c r="C40" s="31" t="s">
        <v>102</v>
      </c>
      <c r="D40" s="31" t="s">
        <v>103</v>
      </c>
      <c r="E40" s="32">
        <v>200000</v>
      </c>
      <c r="F40" s="31" t="s">
        <v>56</v>
      </c>
      <c r="G40" s="34" t="s">
        <v>114</v>
      </c>
      <c r="H40" s="31"/>
    </row>
    <row r="41" spans="2:8" s="18" customFormat="1" ht="115.5" customHeight="1">
      <c r="B41" s="30" t="s">
        <v>120</v>
      </c>
      <c r="C41" s="31" t="s">
        <v>96</v>
      </c>
      <c r="D41" s="31" t="s">
        <v>97</v>
      </c>
      <c r="E41" s="32">
        <v>120000</v>
      </c>
      <c r="F41" s="31" t="s">
        <v>56</v>
      </c>
      <c r="G41" s="34" t="s">
        <v>114</v>
      </c>
      <c r="H41" s="31"/>
    </row>
    <row r="42" spans="2:8" s="18" customFormat="1" ht="58.5" customHeight="1">
      <c r="B42" s="30" t="s">
        <v>120</v>
      </c>
      <c r="C42" s="48">
        <v>63700000</v>
      </c>
      <c r="D42" s="31" t="s">
        <v>62</v>
      </c>
      <c r="E42" s="32">
        <v>2000</v>
      </c>
      <c r="F42" s="33" t="s">
        <v>53</v>
      </c>
      <c r="G42" s="34" t="s">
        <v>114</v>
      </c>
      <c r="H42" s="34" t="s">
        <v>72</v>
      </c>
    </row>
    <row r="43" spans="2:8" s="18" customFormat="1" ht="63.75" customHeight="1">
      <c r="B43" s="30" t="s">
        <v>120</v>
      </c>
      <c r="C43" s="31" t="s">
        <v>39</v>
      </c>
      <c r="D43" s="31" t="s">
        <v>40</v>
      </c>
      <c r="E43" s="32">
        <v>10000</v>
      </c>
      <c r="F43" s="33" t="s">
        <v>56</v>
      </c>
      <c r="G43" s="34" t="s">
        <v>114</v>
      </c>
      <c r="H43" s="31"/>
    </row>
    <row r="44" spans="2:8" s="18" customFormat="1" ht="56.25">
      <c r="B44" s="30" t="s">
        <v>120</v>
      </c>
      <c r="C44" s="45" t="s">
        <v>18</v>
      </c>
      <c r="D44" s="31" t="s">
        <v>38</v>
      </c>
      <c r="E44" s="32">
        <v>25000</v>
      </c>
      <c r="F44" s="33" t="s">
        <v>53</v>
      </c>
      <c r="G44" s="34" t="s">
        <v>114</v>
      </c>
      <c r="H44" s="34" t="s">
        <v>82</v>
      </c>
    </row>
    <row r="45" spans="2:8" s="18" customFormat="1" ht="56.25">
      <c r="B45" s="30" t="s">
        <v>120</v>
      </c>
      <c r="C45" s="45" t="s">
        <v>18</v>
      </c>
      <c r="D45" s="31" t="s">
        <v>38</v>
      </c>
      <c r="E45" s="32">
        <v>10000</v>
      </c>
      <c r="F45" s="33" t="s">
        <v>53</v>
      </c>
      <c r="G45" s="34" t="s">
        <v>114</v>
      </c>
      <c r="H45" s="34" t="s">
        <v>111</v>
      </c>
    </row>
    <row r="46" spans="2:8" s="18" customFormat="1" ht="33.75">
      <c r="B46" s="30" t="s">
        <v>120</v>
      </c>
      <c r="C46" s="45" t="s">
        <v>18</v>
      </c>
      <c r="D46" s="31" t="s">
        <v>38</v>
      </c>
      <c r="E46" s="32">
        <v>25000</v>
      </c>
      <c r="F46" s="33" t="s">
        <v>52</v>
      </c>
      <c r="G46" s="34" t="s">
        <v>114</v>
      </c>
      <c r="H46" s="52"/>
    </row>
    <row r="47" spans="2:8" s="18" customFormat="1" ht="50.25" customHeight="1">
      <c r="B47" s="30" t="s">
        <v>119</v>
      </c>
      <c r="C47" s="45" t="s">
        <v>99</v>
      </c>
      <c r="D47" s="31" t="s">
        <v>98</v>
      </c>
      <c r="E47" s="32">
        <v>30000</v>
      </c>
      <c r="F47" s="33" t="s">
        <v>144</v>
      </c>
      <c r="G47" s="34" t="s">
        <v>114</v>
      </c>
      <c r="H47" s="34"/>
    </row>
    <row r="48" spans="2:8" s="18" customFormat="1" ht="33.75">
      <c r="B48" s="30" t="s">
        <v>120</v>
      </c>
      <c r="C48" s="45" t="s">
        <v>47</v>
      </c>
      <c r="D48" s="31" t="s">
        <v>48</v>
      </c>
      <c r="E48" s="32">
        <v>1680</v>
      </c>
      <c r="F48" s="33" t="s">
        <v>77</v>
      </c>
      <c r="G48" s="34" t="s">
        <v>114</v>
      </c>
      <c r="H48" s="52"/>
    </row>
    <row r="49" spans="2:10" s="18" customFormat="1" ht="57" customHeight="1">
      <c r="B49" s="30" t="s">
        <v>120</v>
      </c>
      <c r="C49" s="45" t="s">
        <v>17</v>
      </c>
      <c r="D49" s="31" t="s">
        <v>16</v>
      </c>
      <c r="E49" s="32">
        <f>124000+28800</f>
        <v>152800</v>
      </c>
      <c r="F49" s="33" t="s">
        <v>53</v>
      </c>
      <c r="G49" s="34" t="s">
        <v>114</v>
      </c>
      <c r="H49" s="34" t="s">
        <v>59</v>
      </c>
    </row>
    <row r="50" spans="2:10" s="18" customFormat="1" ht="65.25" customHeight="1">
      <c r="B50" s="30" t="s">
        <v>120</v>
      </c>
      <c r="C50" s="45" t="s">
        <v>17</v>
      </c>
      <c r="D50" s="31" t="s">
        <v>16</v>
      </c>
      <c r="E50" s="32">
        <v>2000</v>
      </c>
      <c r="F50" s="33" t="s">
        <v>53</v>
      </c>
      <c r="G50" s="34" t="s">
        <v>114</v>
      </c>
      <c r="H50" s="34"/>
      <c r="J50" s="20"/>
    </row>
    <row r="51" spans="2:10" s="18" customFormat="1" ht="56.25">
      <c r="B51" s="30" t="s">
        <v>120</v>
      </c>
      <c r="C51" s="45" t="s">
        <v>64</v>
      </c>
      <c r="D51" s="31" t="s">
        <v>65</v>
      </c>
      <c r="E51" s="32">
        <v>1500</v>
      </c>
      <c r="F51" s="33" t="s">
        <v>53</v>
      </c>
      <c r="G51" s="34" t="s">
        <v>114</v>
      </c>
      <c r="H51" s="34" t="s">
        <v>66</v>
      </c>
    </row>
    <row r="52" spans="2:10" s="18" customFormat="1" ht="75" customHeight="1">
      <c r="B52" s="30" t="s">
        <v>120</v>
      </c>
      <c r="C52" s="45" t="s">
        <v>25</v>
      </c>
      <c r="D52" s="31" t="s">
        <v>104</v>
      </c>
      <c r="E52" s="32">
        <v>100000</v>
      </c>
      <c r="F52" s="33" t="s">
        <v>56</v>
      </c>
      <c r="G52" s="34" t="s">
        <v>114</v>
      </c>
      <c r="H52" s="34"/>
    </row>
    <row r="53" spans="2:10" s="18" customFormat="1" ht="75" customHeight="1">
      <c r="B53" s="30" t="s">
        <v>120</v>
      </c>
      <c r="C53" s="45" t="s">
        <v>112</v>
      </c>
      <c r="D53" s="31" t="s">
        <v>113</v>
      </c>
      <c r="E53" s="32">
        <v>3000</v>
      </c>
      <c r="F53" s="33" t="s">
        <v>53</v>
      </c>
      <c r="G53" s="34" t="s">
        <v>114</v>
      </c>
      <c r="H53" s="34" t="s">
        <v>66</v>
      </c>
    </row>
    <row r="54" spans="2:10" s="18" customFormat="1" ht="63.75" customHeight="1">
      <c r="B54" s="30" t="s">
        <v>120</v>
      </c>
      <c r="C54" s="31" t="s">
        <v>37</v>
      </c>
      <c r="D54" s="31" t="s">
        <v>55</v>
      </c>
      <c r="E54" s="32">
        <f>3950+6000</f>
        <v>9950</v>
      </c>
      <c r="F54" s="33" t="s">
        <v>56</v>
      </c>
      <c r="G54" s="34" t="s">
        <v>114</v>
      </c>
      <c r="H54" s="34"/>
    </row>
    <row r="55" spans="2:10" s="18" customFormat="1" ht="63.75" customHeight="1">
      <c r="B55" s="30" t="s">
        <v>120</v>
      </c>
      <c r="C55" s="31" t="s">
        <v>105</v>
      </c>
      <c r="D55" s="31" t="s">
        <v>106</v>
      </c>
      <c r="E55" s="32">
        <v>450</v>
      </c>
      <c r="F55" s="33" t="s">
        <v>53</v>
      </c>
      <c r="G55" s="34" t="s">
        <v>114</v>
      </c>
      <c r="H55" s="34"/>
    </row>
    <row r="56" spans="2:10" s="18" customFormat="1" ht="77.25" customHeight="1">
      <c r="B56" s="30" t="s">
        <v>120</v>
      </c>
      <c r="C56" s="48">
        <v>79700000</v>
      </c>
      <c r="D56" s="31" t="s">
        <v>27</v>
      </c>
      <c r="E56" s="32">
        <v>520000</v>
      </c>
      <c r="F56" s="33" t="s">
        <v>53</v>
      </c>
      <c r="G56" s="34" t="s">
        <v>114</v>
      </c>
      <c r="H56" s="34" t="s">
        <v>67</v>
      </c>
    </row>
    <row r="57" spans="2:10" s="18" customFormat="1" ht="62.25" customHeight="1">
      <c r="B57" s="30" t="s">
        <v>120</v>
      </c>
      <c r="C57" s="48">
        <v>79800000</v>
      </c>
      <c r="D57" s="31" t="s">
        <v>68</v>
      </c>
      <c r="E57" s="32">
        <f>10000+15000</f>
        <v>25000</v>
      </c>
      <c r="F57" s="33" t="s">
        <v>56</v>
      </c>
      <c r="G57" s="34" t="s">
        <v>114</v>
      </c>
      <c r="H57" s="34"/>
    </row>
    <row r="58" spans="2:10" s="18" customFormat="1" ht="62.25" customHeight="1">
      <c r="B58" s="30" t="s">
        <v>120</v>
      </c>
      <c r="C58" s="31" t="s">
        <v>45</v>
      </c>
      <c r="D58" s="31" t="s">
        <v>57</v>
      </c>
      <c r="E58" s="32">
        <v>25000</v>
      </c>
      <c r="F58" s="33" t="s">
        <v>53</v>
      </c>
      <c r="G58" s="34" t="s">
        <v>114</v>
      </c>
      <c r="H58" s="31" t="s">
        <v>60</v>
      </c>
    </row>
    <row r="59" spans="2:10" s="18" customFormat="1" ht="62.25" customHeight="1">
      <c r="B59" s="30" t="s">
        <v>120</v>
      </c>
      <c r="C59" s="45" t="s">
        <v>24</v>
      </c>
      <c r="D59" s="31" t="s">
        <v>63</v>
      </c>
      <c r="E59" s="32">
        <v>12000</v>
      </c>
      <c r="F59" s="33" t="s">
        <v>56</v>
      </c>
      <c r="G59" s="34" t="s">
        <v>114</v>
      </c>
      <c r="H59" s="31"/>
    </row>
    <row r="60" spans="2:10" s="18" customFormat="1" ht="62.25" customHeight="1">
      <c r="B60" s="30" t="s">
        <v>120</v>
      </c>
      <c r="C60" s="45" t="s">
        <v>107</v>
      </c>
      <c r="D60" s="31" t="s">
        <v>108</v>
      </c>
      <c r="E60" s="32">
        <v>1000</v>
      </c>
      <c r="F60" s="33" t="s">
        <v>53</v>
      </c>
      <c r="G60" s="34" t="s">
        <v>114</v>
      </c>
      <c r="H60" s="31"/>
    </row>
    <row r="61" spans="2:10" s="18" customFormat="1" ht="60.75" customHeight="1">
      <c r="B61" s="30" t="s">
        <v>120</v>
      </c>
      <c r="C61" s="31" t="s">
        <v>69</v>
      </c>
      <c r="D61" s="31" t="s">
        <v>70</v>
      </c>
      <c r="E61" s="32">
        <v>20000</v>
      </c>
      <c r="F61" s="33" t="s">
        <v>56</v>
      </c>
      <c r="G61" s="34" t="s">
        <v>114</v>
      </c>
      <c r="H61" s="49"/>
    </row>
    <row r="62" spans="2:10" s="18" customFormat="1" ht="60.75" customHeight="1">
      <c r="B62" s="30" t="s">
        <v>120</v>
      </c>
      <c r="C62" s="31" t="s">
        <v>69</v>
      </c>
      <c r="D62" s="31" t="s">
        <v>70</v>
      </c>
      <c r="E62" s="32">
        <v>10000</v>
      </c>
      <c r="F62" s="33" t="s">
        <v>77</v>
      </c>
      <c r="G62" s="34" t="s">
        <v>114</v>
      </c>
      <c r="H62" s="34" t="s">
        <v>66</v>
      </c>
    </row>
    <row r="63" spans="2:10" s="18" customFormat="1" ht="36.75" customHeight="1">
      <c r="B63" s="30" t="s">
        <v>120</v>
      </c>
      <c r="C63" s="31" t="s">
        <v>12</v>
      </c>
      <c r="D63" s="31" t="s">
        <v>19</v>
      </c>
      <c r="E63" s="32">
        <f>130000+6600</f>
        <v>136600</v>
      </c>
      <c r="F63" s="33" t="s">
        <v>56</v>
      </c>
      <c r="G63" s="34" t="s">
        <v>114</v>
      </c>
      <c r="H63" s="49"/>
    </row>
    <row r="64" spans="2:10" s="18" customFormat="1" ht="36.75" customHeight="1">
      <c r="B64" s="30" t="s">
        <v>120</v>
      </c>
      <c r="C64" s="31" t="s">
        <v>139</v>
      </c>
      <c r="D64" s="31" t="s">
        <v>140</v>
      </c>
      <c r="E64" s="32">
        <v>4900</v>
      </c>
      <c r="F64" s="33" t="s">
        <v>77</v>
      </c>
      <c r="G64" s="34" t="s">
        <v>114</v>
      </c>
      <c r="H64" s="34" t="s">
        <v>66</v>
      </c>
    </row>
    <row r="65" spans="2:14" s="18" customFormat="1" ht="54.75" customHeight="1">
      <c r="B65" s="30" t="s">
        <v>120</v>
      </c>
      <c r="C65" s="31" t="s">
        <v>100</v>
      </c>
      <c r="D65" s="31" t="s">
        <v>101</v>
      </c>
      <c r="E65" s="32">
        <v>15000</v>
      </c>
      <c r="F65" s="33" t="s">
        <v>53</v>
      </c>
      <c r="G65" s="34" t="s">
        <v>114</v>
      </c>
      <c r="H65" s="34" t="s">
        <v>66</v>
      </c>
    </row>
    <row r="66" spans="2:14" s="1" customFormat="1" ht="75" customHeight="1">
      <c r="B66" s="84" t="s">
        <v>122</v>
      </c>
      <c r="C66" s="85"/>
      <c r="D66" s="85"/>
      <c r="E66" s="16">
        <f>SUM(E67:E69)</f>
        <v>2524191.7000000002</v>
      </c>
      <c r="F66" s="13"/>
      <c r="G66" s="14"/>
      <c r="H66" s="10"/>
      <c r="I66" s="26"/>
      <c r="J66" s="27"/>
    </row>
    <row r="67" spans="2:14" s="18" customFormat="1" ht="59.25" customHeight="1">
      <c r="B67" s="30" t="s">
        <v>120</v>
      </c>
      <c r="C67" s="31" t="s">
        <v>24</v>
      </c>
      <c r="D67" s="31" t="s">
        <v>63</v>
      </c>
      <c r="E67" s="32">
        <v>2000000</v>
      </c>
      <c r="F67" s="33" t="s">
        <v>56</v>
      </c>
      <c r="G67" s="34" t="s">
        <v>114</v>
      </c>
      <c r="H67" s="35"/>
    </row>
    <row r="68" spans="2:14" s="18" customFormat="1" ht="90.75" customHeight="1">
      <c r="B68" s="30" t="s">
        <v>120</v>
      </c>
      <c r="C68" s="31" t="s">
        <v>24</v>
      </c>
      <c r="D68" s="31" t="s">
        <v>63</v>
      </c>
      <c r="E68" s="32">
        <v>121390</v>
      </c>
      <c r="F68" s="33" t="s">
        <v>53</v>
      </c>
      <c r="G68" s="34" t="s">
        <v>145</v>
      </c>
      <c r="H68" s="35" t="s">
        <v>146</v>
      </c>
    </row>
    <row r="69" spans="2:14" s="18" customFormat="1" ht="74.25" customHeight="1">
      <c r="B69" s="30" t="s">
        <v>120</v>
      </c>
      <c r="C69" s="31" t="s">
        <v>24</v>
      </c>
      <c r="D69" s="31" t="s">
        <v>63</v>
      </c>
      <c r="E69" s="32">
        <f>153466.1+13224+53288+19471.6+160022+3330</f>
        <v>402801.7</v>
      </c>
      <c r="F69" s="33" t="s">
        <v>53</v>
      </c>
      <c r="G69" s="34" t="s">
        <v>145</v>
      </c>
      <c r="H69" s="35" t="s">
        <v>147</v>
      </c>
    </row>
    <row r="70" spans="2:14" s="1" customFormat="1" ht="31.5" customHeight="1">
      <c r="B70" s="84" t="s">
        <v>123</v>
      </c>
      <c r="C70" s="85"/>
      <c r="D70" s="85"/>
      <c r="E70" s="16">
        <f>SUM(E71:E75)</f>
        <v>22970000</v>
      </c>
      <c r="F70" s="13"/>
      <c r="G70" s="9"/>
      <c r="H70" s="10"/>
      <c r="I70" s="26"/>
      <c r="J70" s="27"/>
    </row>
    <row r="71" spans="2:14" s="18" customFormat="1" ht="75.75" customHeight="1">
      <c r="B71" s="30" t="s">
        <v>120</v>
      </c>
      <c r="C71" s="31" t="s">
        <v>7</v>
      </c>
      <c r="D71" s="31" t="s">
        <v>49</v>
      </c>
      <c r="E71" s="32">
        <v>500000</v>
      </c>
      <c r="F71" s="33" t="s">
        <v>53</v>
      </c>
      <c r="G71" s="34" t="s">
        <v>114</v>
      </c>
      <c r="H71" s="36" t="s">
        <v>83</v>
      </c>
    </row>
    <row r="72" spans="2:14" s="18" customFormat="1" ht="75.75" customHeight="1">
      <c r="B72" s="30" t="s">
        <v>118</v>
      </c>
      <c r="C72" s="31" t="s">
        <v>7</v>
      </c>
      <c r="D72" s="31" t="s">
        <v>49</v>
      </c>
      <c r="E72" s="32">
        <v>100000</v>
      </c>
      <c r="F72" s="33" t="s">
        <v>53</v>
      </c>
      <c r="G72" s="34" t="s">
        <v>124</v>
      </c>
      <c r="H72" s="36" t="s">
        <v>83</v>
      </c>
    </row>
    <row r="73" spans="2:14" s="18" customFormat="1" ht="121.5" customHeight="1">
      <c r="B73" s="30" t="s">
        <v>120</v>
      </c>
      <c r="C73" s="31">
        <v>33600000</v>
      </c>
      <c r="D73" s="31" t="s">
        <v>29</v>
      </c>
      <c r="E73" s="32">
        <f>5721975+602964+2000000+200000</f>
        <v>8524939</v>
      </c>
      <c r="F73" s="33" t="s">
        <v>56</v>
      </c>
      <c r="G73" s="34" t="s">
        <v>114</v>
      </c>
      <c r="H73" s="35"/>
      <c r="I73" s="21"/>
      <c r="J73" s="29"/>
      <c r="K73" s="29"/>
      <c r="L73" s="29"/>
      <c r="M73" s="29"/>
      <c r="N73" s="29"/>
    </row>
    <row r="74" spans="2:14" s="18" customFormat="1" ht="121.5" customHeight="1">
      <c r="B74" s="30" t="s">
        <v>120</v>
      </c>
      <c r="C74" s="31">
        <v>33600000</v>
      </c>
      <c r="D74" s="31" t="s">
        <v>29</v>
      </c>
      <c r="E74" s="32">
        <v>5546250</v>
      </c>
      <c r="F74" s="33" t="s">
        <v>56</v>
      </c>
      <c r="G74" s="34" t="s">
        <v>114</v>
      </c>
      <c r="H74" s="35" t="s">
        <v>148</v>
      </c>
      <c r="I74" s="21"/>
      <c r="J74" s="29"/>
      <c r="K74" s="29"/>
      <c r="L74" s="29"/>
      <c r="M74" s="29"/>
      <c r="N74" s="29"/>
    </row>
    <row r="75" spans="2:14" s="18" customFormat="1" ht="87.75" customHeight="1">
      <c r="B75" s="30" t="s">
        <v>120</v>
      </c>
      <c r="C75" s="31" t="s">
        <v>30</v>
      </c>
      <c r="D75" s="31" t="s">
        <v>29</v>
      </c>
      <c r="E75" s="32">
        <f>6000000+2328811-30000</f>
        <v>8298811</v>
      </c>
      <c r="F75" s="33" t="s">
        <v>53</v>
      </c>
      <c r="G75" s="34" t="s">
        <v>114</v>
      </c>
      <c r="H75" s="36" t="s">
        <v>84</v>
      </c>
      <c r="J75" s="21"/>
      <c r="K75" s="21"/>
      <c r="N75" s="21"/>
    </row>
    <row r="76" spans="2:14" s="1" customFormat="1" ht="60" customHeight="1">
      <c r="B76" s="84" t="s">
        <v>125</v>
      </c>
      <c r="C76" s="85"/>
      <c r="D76" s="85"/>
      <c r="E76" s="16">
        <f>SUM(E77:E81)</f>
        <v>1700000</v>
      </c>
      <c r="F76" s="13"/>
      <c r="G76" s="14"/>
      <c r="H76" s="10"/>
      <c r="I76" s="26"/>
      <c r="J76" s="27"/>
    </row>
    <row r="77" spans="2:14" s="18" customFormat="1" ht="36.75" customHeight="1">
      <c r="B77" s="30" t="s">
        <v>120</v>
      </c>
      <c r="C77" s="31" t="s">
        <v>7</v>
      </c>
      <c r="D77" s="31" t="s">
        <v>28</v>
      </c>
      <c r="E77" s="32">
        <v>50000</v>
      </c>
      <c r="F77" s="33" t="s">
        <v>56</v>
      </c>
      <c r="G77" s="34" t="s">
        <v>114</v>
      </c>
      <c r="H77" s="35"/>
    </row>
    <row r="78" spans="2:14" s="18" customFormat="1" ht="30.75" customHeight="1">
      <c r="B78" s="30" t="s">
        <v>120</v>
      </c>
      <c r="C78" s="31" t="s">
        <v>30</v>
      </c>
      <c r="D78" s="31" t="s">
        <v>29</v>
      </c>
      <c r="E78" s="32">
        <f>200000-92300-30220</f>
        <v>77480</v>
      </c>
      <c r="F78" s="33" t="s">
        <v>56</v>
      </c>
      <c r="G78" s="34" t="s">
        <v>114</v>
      </c>
      <c r="H78" s="35"/>
    </row>
    <row r="79" spans="2:14" s="18" customFormat="1" ht="45" customHeight="1">
      <c r="B79" s="30" t="s">
        <v>120</v>
      </c>
      <c r="C79" s="31" t="s">
        <v>75</v>
      </c>
      <c r="D79" s="31" t="s">
        <v>76</v>
      </c>
      <c r="E79" s="32">
        <f>620000+92300</f>
        <v>712300</v>
      </c>
      <c r="F79" s="33" t="s">
        <v>56</v>
      </c>
      <c r="G79" s="34" t="s">
        <v>114</v>
      </c>
      <c r="H79" s="36"/>
    </row>
    <row r="80" spans="2:14" s="18" customFormat="1" ht="78" customHeight="1">
      <c r="B80" s="30" t="s">
        <v>120</v>
      </c>
      <c r="C80" s="31" t="s">
        <v>24</v>
      </c>
      <c r="D80" s="31" t="s">
        <v>63</v>
      </c>
      <c r="E80" s="32">
        <v>52208</v>
      </c>
      <c r="F80" s="33" t="s">
        <v>53</v>
      </c>
      <c r="G80" s="34" t="s">
        <v>149</v>
      </c>
      <c r="H80" s="36" t="s">
        <v>150</v>
      </c>
      <c r="J80" s="21"/>
    </row>
    <row r="81" spans="2:10" s="18" customFormat="1" ht="87.75" customHeight="1">
      <c r="B81" s="30" t="s">
        <v>120</v>
      </c>
      <c r="C81" s="31" t="s">
        <v>24</v>
      </c>
      <c r="D81" s="31" t="s">
        <v>63</v>
      </c>
      <c r="E81" s="32">
        <f>577500+171079.6+10376.4+3456+45600</f>
        <v>808012</v>
      </c>
      <c r="F81" s="33" t="s">
        <v>53</v>
      </c>
      <c r="G81" s="34" t="s">
        <v>151</v>
      </c>
      <c r="H81" s="36" t="s">
        <v>84</v>
      </c>
      <c r="J81" s="21"/>
    </row>
    <row r="82" spans="2:10" s="1" customFormat="1" ht="65.25" customHeight="1">
      <c r="B82" s="84" t="s">
        <v>126</v>
      </c>
      <c r="C82" s="85"/>
      <c r="D82" s="85"/>
      <c r="E82" s="16">
        <f>SUM(E83:E85)</f>
        <v>2864778</v>
      </c>
      <c r="F82" s="13"/>
      <c r="G82" s="14"/>
      <c r="H82" s="10"/>
      <c r="I82" s="26"/>
      <c r="J82" s="27"/>
    </row>
    <row r="83" spans="2:10" s="18" customFormat="1" ht="33.75">
      <c r="B83" s="30" t="s">
        <v>120</v>
      </c>
      <c r="C83" s="37" t="s">
        <v>25</v>
      </c>
      <c r="D83" s="37" t="s">
        <v>61</v>
      </c>
      <c r="E83" s="32">
        <v>200000</v>
      </c>
      <c r="F83" s="38" t="s">
        <v>56</v>
      </c>
      <c r="G83" s="34" t="s">
        <v>114</v>
      </c>
      <c r="H83" s="39"/>
    </row>
    <row r="84" spans="2:10" s="18" customFormat="1" ht="87.75" customHeight="1">
      <c r="B84" s="30" t="s">
        <v>120</v>
      </c>
      <c r="C84" s="31">
        <v>85100000</v>
      </c>
      <c r="D84" s="31" t="s">
        <v>63</v>
      </c>
      <c r="E84" s="32">
        <v>203458</v>
      </c>
      <c r="F84" s="33" t="s">
        <v>53</v>
      </c>
      <c r="G84" s="34" t="s">
        <v>152</v>
      </c>
      <c r="H84" s="40" t="s">
        <v>154</v>
      </c>
    </row>
    <row r="85" spans="2:10" s="18" customFormat="1" ht="69.75" customHeight="1">
      <c r="B85" s="30" t="s">
        <v>120</v>
      </c>
      <c r="C85" s="31">
        <v>85100000</v>
      </c>
      <c r="D85" s="31" t="s">
        <v>63</v>
      </c>
      <c r="E85" s="32">
        <v>2461320</v>
      </c>
      <c r="F85" s="33" t="s">
        <v>53</v>
      </c>
      <c r="G85" s="34" t="s">
        <v>153</v>
      </c>
      <c r="H85" s="36" t="s">
        <v>84</v>
      </c>
    </row>
    <row r="86" spans="2:10" s="1" customFormat="1" ht="61.5" customHeight="1">
      <c r="B86" s="84" t="s">
        <v>127</v>
      </c>
      <c r="C86" s="85"/>
      <c r="D86" s="85"/>
      <c r="E86" s="16">
        <f>SUM(E87:E88)</f>
        <v>184167</v>
      </c>
      <c r="F86" s="13"/>
      <c r="G86" s="14"/>
      <c r="H86" s="10"/>
      <c r="I86" s="26"/>
      <c r="J86" s="27"/>
    </row>
    <row r="87" spans="2:10" s="18" customFormat="1" ht="75" customHeight="1">
      <c r="B87" s="30" t="s">
        <v>120</v>
      </c>
      <c r="C87" s="31" t="s">
        <v>24</v>
      </c>
      <c r="D87" s="31" t="s">
        <v>63</v>
      </c>
      <c r="E87" s="32">
        <v>170000</v>
      </c>
      <c r="F87" s="33" t="s">
        <v>53</v>
      </c>
      <c r="G87" s="34" t="s">
        <v>153</v>
      </c>
      <c r="H87" s="36" t="s">
        <v>84</v>
      </c>
    </row>
    <row r="88" spans="2:10" s="18" customFormat="1" ht="91.5" customHeight="1">
      <c r="B88" s="30" t="s">
        <v>120</v>
      </c>
      <c r="C88" s="31" t="s">
        <v>24</v>
      </c>
      <c r="D88" s="31" t="s">
        <v>63</v>
      </c>
      <c r="E88" s="32">
        <v>14167</v>
      </c>
      <c r="F88" s="33" t="s">
        <v>53</v>
      </c>
      <c r="G88" s="34" t="s">
        <v>152</v>
      </c>
      <c r="H88" s="40" t="s">
        <v>154</v>
      </c>
    </row>
    <row r="89" spans="2:10" s="1" customFormat="1" ht="65.25" customHeight="1">
      <c r="B89" s="95" t="s">
        <v>128</v>
      </c>
      <c r="C89" s="96"/>
      <c r="D89" s="96"/>
      <c r="E89" s="16">
        <f>SUM(E90:E94)</f>
        <v>1655642</v>
      </c>
      <c r="F89" s="13"/>
      <c r="G89" s="14"/>
      <c r="H89" s="25"/>
      <c r="I89" s="26"/>
      <c r="J89" s="27"/>
    </row>
    <row r="90" spans="2:10" s="18" customFormat="1" ht="49.5" customHeight="1">
      <c r="B90" s="30" t="s">
        <v>120</v>
      </c>
      <c r="C90" s="31" t="s">
        <v>14</v>
      </c>
      <c r="D90" s="31" t="s">
        <v>15</v>
      </c>
      <c r="E90" s="32">
        <v>25000</v>
      </c>
      <c r="F90" s="33" t="s">
        <v>52</v>
      </c>
      <c r="G90" s="34" t="s">
        <v>114</v>
      </c>
      <c r="H90" s="35"/>
    </row>
    <row r="91" spans="2:10" s="18" customFormat="1" ht="33.75">
      <c r="B91" s="30" t="s">
        <v>120</v>
      </c>
      <c r="C91" s="41">
        <v>33100000</v>
      </c>
      <c r="D91" s="41" t="s">
        <v>28</v>
      </c>
      <c r="E91" s="32">
        <v>410000</v>
      </c>
      <c r="F91" s="42" t="s">
        <v>56</v>
      </c>
      <c r="G91" s="34" t="s">
        <v>114</v>
      </c>
      <c r="H91" s="43"/>
    </row>
    <row r="92" spans="2:10" s="18" customFormat="1" ht="60.75" customHeight="1">
      <c r="B92" s="30" t="s">
        <v>120</v>
      </c>
      <c r="C92" s="31" t="s">
        <v>51</v>
      </c>
      <c r="D92" s="31" t="s">
        <v>36</v>
      </c>
      <c r="E92" s="32">
        <v>15000</v>
      </c>
      <c r="F92" s="33" t="s">
        <v>56</v>
      </c>
      <c r="G92" s="34" t="s">
        <v>114</v>
      </c>
      <c r="H92" s="35"/>
    </row>
    <row r="93" spans="2:10" s="18" customFormat="1" ht="65.25" customHeight="1">
      <c r="B93" s="30" t="s">
        <v>120</v>
      </c>
      <c r="C93" s="31">
        <v>85100000</v>
      </c>
      <c r="D93" s="31" t="s">
        <v>63</v>
      </c>
      <c r="E93" s="32">
        <f>1081996+37800</f>
        <v>1119796</v>
      </c>
      <c r="F93" s="33" t="s">
        <v>53</v>
      </c>
      <c r="G93" s="34" t="s">
        <v>153</v>
      </c>
      <c r="H93" s="36" t="s">
        <v>84</v>
      </c>
    </row>
    <row r="94" spans="2:10" s="18" customFormat="1" ht="65.25" customHeight="1">
      <c r="B94" s="30" t="s">
        <v>120</v>
      </c>
      <c r="C94" s="31">
        <v>85100000</v>
      </c>
      <c r="D94" s="31" t="s">
        <v>63</v>
      </c>
      <c r="E94" s="32">
        <v>85846</v>
      </c>
      <c r="F94" s="33" t="s">
        <v>53</v>
      </c>
      <c r="G94" s="34" t="s">
        <v>152</v>
      </c>
      <c r="H94" s="40" t="s">
        <v>154</v>
      </c>
    </row>
    <row r="95" spans="2:10" s="1" customFormat="1" ht="80.25" customHeight="1">
      <c r="B95" s="84" t="s">
        <v>129</v>
      </c>
      <c r="C95" s="85"/>
      <c r="D95" s="85"/>
      <c r="E95" s="16">
        <f>SUM(E96:E96)</f>
        <v>1890000</v>
      </c>
      <c r="F95" s="13"/>
      <c r="G95" s="14"/>
      <c r="H95" s="10"/>
      <c r="I95" s="26"/>
      <c r="J95" s="27"/>
    </row>
    <row r="96" spans="2:10" s="18" customFormat="1" ht="84.75" customHeight="1">
      <c r="B96" s="30" t="s">
        <v>120</v>
      </c>
      <c r="C96" s="31" t="s">
        <v>30</v>
      </c>
      <c r="D96" s="31" t="s">
        <v>29</v>
      </c>
      <c r="E96" s="32">
        <v>1890000</v>
      </c>
      <c r="F96" s="33" t="s">
        <v>53</v>
      </c>
      <c r="G96" s="34" t="s">
        <v>114</v>
      </c>
      <c r="H96" s="36" t="s">
        <v>84</v>
      </c>
    </row>
    <row r="97" spans="2:10" s="1" customFormat="1" ht="57.75" customHeight="1">
      <c r="B97" s="93" t="s">
        <v>130</v>
      </c>
      <c r="C97" s="94"/>
      <c r="D97" s="94"/>
      <c r="E97" s="22">
        <f>SUM(E98:E101)</f>
        <v>3317000</v>
      </c>
      <c r="F97" s="23"/>
      <c r="G97" s="23"/>
      <c r="H97" s="24"/>
      <c r="I97" s="26"/>
      <c r="J97" s="27"/>
    </row>
    <row r="98" spans="2:10" s="18" customFormat="1" ht="29.25" customHeight="1">
      <c r="B98" s="30" t="s">
        <v>120</v>
      </c>
      <c r="C98" s="45">
        <v>33100000</v>
      </c>
      <c r="D98" s="31" t="s">
        <v>8</v>
      </c>
      <c r="E98" s="32">
        <v>100000</v>
      </c>
      <c r="F98" s="33" t="s">
        <v>56</v>
      </c>
      <c r="G98" s="34" t="s">
        <v>114</v>
      </c>
      <c r="H98" s="34"/>
    </row>
    <row r="99" spans="2:10" s="18" customFormat="1" ht="33.75">
      <c r="B99" s="30" t="s">
        <v>120</v>
      </c>
      <c r="C99" s="45" t="s">
        <v>30</v>
      </c>
      <c r="D99" s="31" t="s">
        <v>9</v>
      </c>
      <c r="E99" s="32">
        <f>2500000-340000-630198.8</f>
        <v>1529801.2</v>
      </c>
      <c r="F99" s="33" t="s">
        <v>56</v>
      </c>
      <c r="G99" s="34" t="s">
        <v>114</v>
      </c>
      <c r="H99" s="34"/>
      <c r="I99" s="21">
        <f>E97-3317000</f>
        <v>0</v>
      </c>
    </row>
    <row r="100" spans="2:10" s="18" customFormat="1" ht="90.75" customHeight="1">
      <c r="B100" s="30" t="s">
        <v>120</v>
      </c>
      <c r="C100" s="31" t="s">
        <v>24</v>
      </c>
      <c r="D100" s="31" t="s">
        <v>63</v>
      </c>
      <c r="E100" s="32">
        <v>111542</v>
      </c>
      <c r="F100" s="33" t="s">
        <v>77</v>
      </c>
      <c r="G100" s="34" t="s">
        <v>153</v>
      </c>
      <c r="H100" s="40" t="s">
        <v>154</v>
      </c>
      <c r="I100" s="21"/>
    </row>
    <row r="101" spans="2:10" s="18" customFormat="1" ht="75.75" customHeight="1">
      <c r="B101" s="30" t="s">
        <v>120</v>
      </c>
      <c r="C101" s="31" t="s">
        <v>24</v>
      </c>
      <c r="D101" s="31" t="s">
        <v>63</v>
      </c>
      <c r="E101" s="32">
        <f>840656.8+735000</f>
        <v>1575656.8</v>
      </c>
      <c r="F101" s="33" t="s">
        <v>77</v>
      </c>
      <c r="G101" s="34" t="s">
        <v>114</v>
      </c>
      <c r="H101" s="36" t="s">
        <v>84</v>
      </c>
      <c r="I101" s="21"/>
    </row>
    <row r="102" spans="2:10" ht="133.5" customHeight="1">
      <c r="B102" s="84" t="s">
        <v>131</v>
      </c>
      <c r="C102" s="85"/>
      <c r="D102" s="85"/>
      <c r="E102" s="16">
        <f>SUM(E103)</f>
        <v>2420000</v>
      </c>
      <c r="F102" s="13"/>
      <c r="G102" s="14"/>
      <c r="H102" s="10"/>
      <c r="I102" s="26"/>
      <c r="J102" s="28"/>
    </row>
    <row r="103" spans="2:10" s="18" customFormat="1" ht="117.75" customHeight="1">
      <c r="B103" s="30" t="s">
        <v>120</v>
      </c>
      <c r="C103" s="31" t="s">
        <v>30</v>
      </c>
      <c r="D103" s="31" t="s">
        <v>29</v>
      </c>
      <c r="E103" s="32">
        <v>2420000</v>
      </c>
      <c r="F103" s="33" t="s">
        <v>77</v>
      </c>
      <c r="G103" s="34" t="s">
        <v>114</v>
      </c>
      <c r="H103" s="36" t="s">
        <v>84</v>
      </c>
    </row>
    <row r="104" spans="2:10" s="1" customFormat="1" ht="57" customHeight="1">
      <c r="B104" s="95" t="s">
        <v>132</v>
      </c>
      <c r="C104" s="96"/>
      <c r="D104" s="96"/>
      <c r="E104" s="16">
        <f>SUM(E105:E109)</f>
        <v>430000</v>
      </c>
      <c r="F104" s="13"/>
      <c r="G104" s="25"/>
      <c r="H104" s="25"/>
      <c r="I104" s="26"/>
      <c r="J104" s="27"/>
    </row>
    <row r="105" spans="2:10" s="18" customFormat="1" ht="59.25" customHeight="1">
      <c r="B105" s="30" t="s">
        <v>133</v>
      </c>
      <c r="C105" s="31">
        <v>33100000</v>
      </c>
      <c r="D105" s="31" t="s">
        <v>28</v>
      </c>
      <c r="E105" s="32">
        <v>10000</v>
      </c>
      <c r="F105" s="33" t="s">
        <v>56</v>
      </c>
      <c r="G105" s="34" t="s">
        <v>114</v>
      </c>
      <c r="H105" s="35"/>
    </row>
    <row r="106" spans="2:10" s="18" customFormat="1" ht="33.75">
      <c r="B106" s="30" t="s">
        <v>133</v>
      </c>
      <c r="C106" s="37">
        <v>33600000</v>
      </c>
      <c r="D106" s="37" t="s">
        <v>29</v>
      </c>
      <c r="E106" s="32">
        <v>320000</v>
      </c>
      <c r="F106" s="38" t="s">
        <v>56</v>
      </c>
      <c r="G106" s="34" t="s">
        <v>114</v>
      </c>
      <c r="H106" s="39"/>
    </row>
    <row r="107" spans="2:10" s="18" customFormat="1" ht="69" customHeight="1">
      <c r="B107" s="30" t="s">
        <v>120</v>
      </c>
      <c r="C107" s="45" t="s">
        <v>24</v>
      </c>
      <c r="D107" s="31" t="s">
        <v>63</v>
      </c>
      <c r="E107" s="32">
        <f>16450</f>
        <v>16450</v>
      </c>
      <c r="F107" s="33" t="s">
        <v>53</v>
      </c>
      <c r="G107" s="34" t="s">
        <v>114</v>
      </c>
      <c r="H107" s="36" t="s">
        <v>84</v>
      </c>
    </row>
    <row r="108" spans="2:10" s="18" customFormat="1" ht="51" customHeight="1">
      <c r="B108" s="30" t="s">
        <v>120</v>
      </c>
      <c r="C108" s="45" t="s">
        <v>24</v>
      </c>
      <c r="D108" s="31" t="s">
        <v>63</v>
      </c>
      <c r="E108" s="32">
        <f>100000-E107-E109</f>
        <v>75325</v>
      </c>
      <c r="F108" s="33" t="s">
        <v>56</v>
      </c>
      <c r="G108" s="34" t="s">
        <v>114</v>
      </c>
      <c r="H108" s="40"/>
    </row>
    <row r="109" spans="2:10" s="18" customFormat="1" ht="103.5" customHeight="1">
      <c r="B109" s="30" t="s">
        <v>120</v>
      </c>
      <c r="C109" s="45" t="s">
        <v>155</v>
      </c>
      <c r="D109" s="31" t="s">
        <v>63</v>
      </c>
      <c r="E109" s="82">
        <v>8225</v>
      </c>
      <c r="F109" s="33" t="s">
        <v>53</v>
      </c>
      <c r="G109" s="34" t="s">
        <v>153</v>
      </c>
      <c r="H109" s="40" t="s">
        <v>146</v>
      </c>
    </row>
    <row r="110" spans="2:10" ht="59.25" customHeight="1">
      <c r="B110" s="84" t="s">
        <v>134</v>
      </c>
      <c r="C110" s="85"/>
      <c r="D110" s="85"/>
      <c r="E110" s="16">
        <f>SUM(E111:E114)</f>
        <v>1240000</v>
      </c>
      <c r="F110" s="13"/>
      <c r="G110" s="14"/>
      <c r="H110" s="10"/>
      <c r="I110" s="26"/>
      <c r="J110" s="28"/>
    </row>
    <row r="111" spans="2:10" s="18" customFormat="1" ht="42.75" customHeight="1">
      <c r="B111" s="46" t="s">
        <v>120</v>
      </c>
      <c r="C111" s="31" t="s">
        <v>25</v>
      </c>
      <c r="D111" s="31" t="s">
        <v>61</v>
      </c>
      <c r="E111" s="32">
        <f>1500000-170000-260000-90000-86410</f>
        <v>893590</v>
      </c>
      <c r="F111" s="33" t="s">
        <v>56</v>
      </c>
      <c r="G111" s="34" t="s">
        <v>114</v>
      </c>
      <c r="H111" s="47"/>
      <c r="I111" s="21"/>
    </row>
    <row r="112" spans="2:10" s="18" customFormat="1" ht="42.75" customHeight="1">
      <c r="B112" s="46" t="s">
        <v>137</v>
      </c>
      <c r="C112" s="31" t="s">
        <v>135</v>
      </c>
      <c r="D112" s="31" t="s">
        <v>136</v>
      </c>
      <c r="E112" s="32">
        <v>170000</v>
      </c>
      <c r="F112" s="33" t="s">
        <v>56</v>
      </c>
      <c r="G112" s="34" t="s">
        <v>114</v>
      </c>
      <c r="H112" s="47"/>
    </row>
    <row r="113" spans="2:10" s="18" customFormat="1" ht="82.5" customHeight="1">
      <c r="B113" s="30" t="s">
        <v>120</v>
      </c>
      <c r="C113" s="31" t="s">
        <v>156</v>
      </c>
      <c r="D113" s="31" t="s">
        <v>157</v>
      </c>
      <c r="E113" s="32">
        <v>90000</v>
      </c>
      <c r="F113" s="33" t="s">
        <v>53</v>
      </c>
      <c r="G113" s="34" t="s">
        <v>153</v>
      </c>
      <c r="H113" s="36" t="s">
        <v>84</v>
      </c>
    </row>
    <row r="114" spans="2:10" s="19" customFormat="1" ht="81.75" customHeight="1">
      <c r="B114" s="78" t="s">
        <v>120</v>
      </c>
      <c r="C114" s="41" t="s">
        <v>25</v>
      </c>
      <c r="D114" s="41" t="s">
        <v>61</v>
      </c>
      <c r="E114" s="79">
        <v>86410</v>
      </c>
      <c r="F114" s="42" t="s">
        <v>53</v>
      </c>
      <c r="G114" s="80" t="s">
        <v>151</v>
      </c>
      <c r="H114" s="81" t="s">
        <v>84</v>
      </c>
    </row>
    <row r="115" spans="2:10" ht="70.5" customHeight="1">
      <c r="B115" s="84" t="s">
        <v>138</v>
      </c>
      <c r="C115" s="85"/>
      <c r="D115" s="85"/>
      <c r="E115" s="16">
        <f>SUM(E116:E119)</f>
        <v>835000</v>
      </c>
      <c r="F115" s="13"/>
      <c r="G115" s="14"/>
      <c r="H115" s="10"/>
      <c r="I115" s="26"/>
      <c r="J115" s="28"/>
    </row>
    <row r="116" spans="2:10" s="18" customFormat="1" ht="33.75">
      <c r="B116" s="46" t="s">
        <v>120</v>
      </c>
      <c r="C116" s="31" t="s">
        <v>30</v>
      </c>
      <c r="D116" s="31" t="s">
        <v>29</v>
      </c>
      <c r="E116" s="32">
        <f>300000+300000</f>
        <v>600000</v>
      </c>
      <c r="F116" s="31" t="s">
        <v>56</v>
      </c>
      <c r="G116" s="34" t="s">
        <v>114</v>
      </c>
      <c r="H116" s="31"/>
    </row>
    <row r="117" spans="2:10" s="18" customFormat="1" ht="33.75">
      <c r="B117" s="46" t="s">
        <v>120</v>
      </c>
      <c r="C117" s="31" t="s">
        <v>7</v>
      </c>
      <c r="D117" s="31" t="s">
        <v>28</v>
      </c>
      <c r="E117" s="32">
        <f>150000</f>
        <v>150000</v>
      </c>
      <c r="F117" s="31" t="s">
        <v>56</v>
      </c>
      <c r="G117" s="34" t="s">
        <v>114</v>
      </c>
      <c r="H117" s="31"/>
    </row>
    <row r="118" spans="2:10" s="18" customFormat="1" ht="25.5">
      <c r="B118" s="64" t="s">
        <v>120</v>
      </c>
      <c r="C118" s="55" t="s">
        <v>7</v>
      </c>
      <c r="D118" s="55" t="s">
        <v>28</v>
      </c>
      <c r="E118" s="56">
        <v>45000</v>
      </c>
      <c r="F118" s="55" t="s">
        <v>144</v>
      </c>
      <c r="G118" s="58" t="s">
        <v>160</v>
      </c>
      <c r="H118" s="55"/>
    </row>
    <row r="119" spans="2:10" ht="33.75">
      <c r="B119" s="46" t="s">
        <v>120</v>
      </c>
      <c r="C119" s="31" t="s">
        <v>14</v>
      </c>
      <c r="D119" s="31" t="s">
        <v>32</v>
      </c>
      <c r="E119" s="32">
        <v>40000</v>
      </c>
      <c r="F119" s="31" t="s">
        <v>52</v>
      </c>
      <c r="G119" s="34" t="s">
        <v>163</v>
      </c>
      <c r="H119" s="31"/>
    </row>
    <row r="121" spans="2:10">
      <c r="E121" s="63"/>
    </row>
  </sheetData>
  <autoFilter ref="A8:H119"/>
  <mergeCells count="20">
    <mergeCell ref="B110:D110"/>
    <mergeCell ref="B115:D115"/>
    <mergeCell ref="B86:D86"/>
    <mergeCell ref="B89:D89"/>
    <mergeCell ref="B95:D95"/>
    <mergeCell ref="B97:D97"/>
    <mergeCell ref="B102:D102"/>
    <mergeCell ref="B104:D104"/>
    <mergeCell ref="B82:D82"/>
    <mergeCell ref="B2:H2"/>
    <mergeCell ref="B3:H3"/>
    <mergeCell ref="B4:E4"/>
    <mergeCell ref="F4:H4"/>
    <mergeCell ref="B5:E5"/>
    <mergeCell ref="F5:H5"/>
    <mergeCell ref="B6:F6"/>
    <mergeCell ref="B9:D9"/>
    <mergeCell ref="B66:D66"/>
    <mergeCell ref="B70:D70"/>
    <mergeCell ref="B76:D76"/>
  </mergeCells>
  <pageMargins left="0.70866141732283472" right="0.70866141732283472" top="0.74803149606299213" bottom="0.74803149606299213" header="0.31496062992125984" footer="0.31496062992125984"/>
  <pageSetup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23</vt:i4>
      </vt:variant>
    </vt:vector>
  </HeadingPairs>
  <TitlesOfParts>
    <vt:vector size="46" baseType="lpstr">
      <vt:lpstr>04.11.2019...</vt:lpstr>
      <vt:lpstr>09.12.2019...</vt:lpstr>
      <vt:lpstr>17.12.2019...</vt:lpstr>
      <vt:lpstr>24.12.2019....</vt:lpstr>
      <vt:lpstr>06.01.2020...</vt:lpstr>
      <vt:lpstr>10.01.2020...</vt:lpstr>
      <vt:lpstr>15.01.2020...</vt:lpstr>
      <vt:lpstr>21.01.2020...</vt:lpstr>
      <vt:lpstr>28.01.2020....</vt:lpstr>
      <vt:lpstr>30.01.2020....</vt:lpstr>
      <vt:lpstr>03.02.2020...</vt:lpstr>
      <vt:lpstr>17.02.2020...</vt:lpstr>
      <vt:lpstr>20.02.2020..</vt:lpstr>
      <vt:lpstr>04.03.2020...</vt:lpstr>
      <vt:lpstr>09.03.2020...</vt:lpstr>
      <vt:lpstr>12.03.2020...</vt:lpstr>
      <vt:lpstr>18.03.2020...</vt:lpstr>
      <vt:lpstr>24.03.2020...</vt:lpstr>
      <vt:lpstr>25.03.2020....</vt:lpstr>
      <vt:lpstr>06.04.2020...</vt:lpstr>
      <vt:lpstr>10.04.2020....</vt:lpstr>
      <vt:lpstr>16.04.2020...</vt:lpstr>
      <vt:lpstr>23.04.2020...</vt:lpstr>
      <vt:lpstr>'03.02.2020...'!Print_Area</vt:lpstr>
      <vt:lpstr>'04.03.2020...'!Print_Area</vt:lpstr>
      <vt:lpstr>'04.11.2019...'!Print_Area</vt:lpstr>
      <vt:lpstr>'06.01.2020...'!Print_Area</vt:lpstr>
      <vt:lpstr>'06.04.2020...'!Print_Area</vt:lpstr>
      <vt:lpstr>'09.03.2020...'!Print_Area</vt:lpstr>
      <vt:lpstr>'09.12.2019...'!Print_Area</vt:lpstr>
      <vt:lpstr>'10.01.2020...'!Print_Area</vt:lpstr>
      <vt:lpstr>'10.04.2020....'!Print_Area</vt:lpstr>
      <vt:lpstr>'12.03.2020...'!Print_Area</vt:lpstr>
      <vt:lpstr>'15.01.2020...'!Print_Area</vt:lpstr>
      <vt:lpstr>'16.04.2020...'!Print_Area</vt:lpstr>
      <vt:lpstr>'17.02.2020...'!Print_Area</vt:lpstr>
      <vt:lpstr>'17.12.2019...'!Print_Area</vt:lpstr>
      <vt:lpstr>'18.03.2020...'!Print_Area</vt:lpstr>
      <vt:lpstr>'20.02.2020..'!Print_Area</vt:lpstr>
      <vt:lpstr>'21.01.2020...'!Print_Area</vt:lpstr>
      <vt:lpstr>'23.04.2020...'!Print_Area</vt:lpstr>
      <vt:lpstr>'24.03.2020...'!Print_Area</vt:lpstr>
      <vt:lpstr>'24.12.2019....'!Print_Area</vt:lpstr>
      <vt:lpstr>'25.03.2020....'!Print_Area</vt:lpstr>
      <vt:lpstr>'28.01.2020....'!Print_Area</vt:lpstr>
      <vt:lpstr>'30.01.2020....'!Print_Area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spa</dc:creator>
  <cp:lastModifiedBy>Juna</cp:lastModifiedBy>
  <cp:lastPrinted>2020-04-14T06:45:59Z</cp:lastPrinted>
  <dcterms:created xsi:type="dcterms:W3CDTF">2011-04-12T10:50:13Z</dcterms:created>
  <dcterms:modified xsi:type="dcterms:W3CDTF">2020-04-23T18:54:05Z</dcterms:modified>
</cp:coreProperties>
</file>