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ing\Anything\Department of Economics\MaiZho\შესყიდვები\NCDC\1.1\"/>
    </mc:Choice>
  </mc:AlternateContent>
  <bookViews>
    <workbookView xWindow="0" yWindow="0" windowWidth="28800" windowHeight="12135" firstSheet="24" activeTab="32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  <sheet name="03.04.2019..." sheetId="194" r:id="rId15"/>
    <sheet name="04.04.2019..." sheetId="195" r:id="rId16"/>
    <sheet name="08.04.2019.." sheetId="196" r:id="rId17"/>
    <sheet name="11.04.2019.." sheetId="197" r:id="rId18"/>
    <sheet name="15.04.2019" sheetId="198" r:id="rId19"/>
    <sheet name="17.04.2019 " sheetId="199" r:id="rId20"/>
    <sheet name="23.04.2019..." sheetId="200" r:id="rId21"/>
    <sheet name="13.05.2019.." sheetId="201" r:id="rId22"/>
    <sheet name="16.05.2019...." sheetId="202" r:id="rId23"/>
    <sheet name="21.05.2019..." sheetId="203" r:id="rId24"/>
    <sheet name="31.05.2019..." sheetId="204" r:id="rId25"/>
    <sheet name="11.06.2019..." sheetId="205" r:id="rId26"/>
    <sheet name="17.06.2019..." sheetId="206" r:id="rId27"/>
    <sheet name="17.06.2019... (2)" sheetId="207" r:id="rId28"/>
    <sheet name="01.07.2019..." sheetId="208" r:id="rId29"/>
    <sheet name="05.07.2019..." sheetId="209" r:id="rId30"/>
    <sheet name="16.07.2019.." sheetId="210" r:id="rId31"/>
    <sheet name="01.08.02019...." sheetId="211" r:id="rId32"/>
    <sheet name="05.08.2019" sheetId="212" r:id="rId33"/>
  </sheets>
  <definedNames>
    <definedName name="_xlnm._FilterDatabase" localSheetId="28" hidden="1">'01.07.2019...'!$A$8:$H$135</definedName>
    <definedName name="_xlnm._FilterDatabase" localSheetId="31" hidden="1">'01.08.02019....'!$A$8:$H$137</definedName>
    <definedName name="_xlnm._FilterDatabase" localSheetId="14" hidden="1">'03.04.2019...'!$A$8:$H$120</definedName>
    <definedName name="_xlnm._FilterDatabase" localSheetId="9" hidden="1">'04.02.2019..'!$A$8:$H$110</definedName>
    <definedName name="_xlnm._FilterDatabase" localSheetId="15" hidden="1">'04.04.2019...'!$A$8:$H$121</definedName>
    <definedName name="_xlnm._FilterDatabase" localSheetId="29" hidden="1">'05.07.2019...'!$A$8:$H$135</definedName>
    <definedName name="_xlnm._FilterDatabase" localSheetId="32" hidden="1">'05.08.2019'!$A$8:$H$139</definedName>
    <definedName name="_xlnm._FilterDatabase" localSheetId="1" hidden="1">'05.12.2018...'!$A$8:$H$99</definedName>
    <definedName name="_xlnm._FilterDatabase" localSheetId="16" hidden="1">'08.04.2019..'!$A$8:$H$121</definedName>
    <definedName name="_xlnm._FilterDatabase" localSheetId="5" hidden="1">'11.01.2019...'!$A$8:$H$105</definedName>
    <definedName name="_xlnm._FilterDatabase" localSheetId="17" hidden="1">'11.04.2019..'!$A$8:$H$123</definedName>
    <definedName name="_xlnm._FilterDatabase" localSheetId="25" hidden="1">'11.06.2019...'!$A$8:$H$134</definedName>
    <definedName name="_xlnm._FilterDatabase" localSheetId="21" hidden="1">'13.05.2019..'!$A$8:$H$130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18" hidden="1">'15.04.2019'!$A$8:$H$124</definedName>
    <definedName name="_xlnm._FilterDatabase" localSheetId="22" hidden="1">'16.05.2019....'!$A$8:$H$132</definedName>
    <definedName name="_xlnm._FilterDatabase" localSheetId="30" hidden="1">'16.07.2019..'!$A$8:$H$136</definedName>
    <definedName name="_xlnm._FilterDatabase" localSheetId="19" hidden="1">'17.04.2019 '!$A$8:$H$124</definedName>
    <definedName name="_xlnm._FilterDatabase" localSheetId="26" hidden="1">'17.06.2019...'!$A$8:$H$135</definedName>
    <definedName name="_xlnm._FilterDatabase" localSheetId="27" hidden="1">'17.06.2019... (2)'!$A$8:$H$135</definedName>
    <definedName name="_xlnm._FilterDatabase" localSheetId="7" hidden="1">'21.01.2019...'!$A$8:$H$108</definedName>
    <definedName name="_xlnm._FilterDatabase" localSheetId="23" hidden="1">'21.05.2019...'!$A$8:$H$133</definedName>
    <definedName name="_xlnm._FilterDatabase" localSheetId="11" hidden="1">'22.02.2019..'!$A$8:$H$117</definedName>
    <definedName name="_xlnm._FilterDatabase" localSheetId="20" hidden="1">'23.04.2019...'!$A$8:$H$126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24" hidden="1">'31.05.2019...'!$A$8:$H$134</definedName>
    <definedName name="_xlnm._FilterDatabase" localSheetId="4" hidden="1">'4.01.2019..'!$A$8:$H$105</definedName>
    <definedName name="_xlnm.Print_Area" localSheetId="28">'01.07.2019...'!$A$1:$J$133</definedName>
    <definedName name="_xlnm.Print_Area" localSheetId="31">'01.08.02019....'!$A$1:$J$135</definedName>
    <definedName name="_xlnm.Print_Area" localSheetId="14">'03.04.2019...'!$A$1:$J$119</definedName>
    <definedName name="_xlnm.Print_Area" localSheetId="9">'04.02.2019..'!$A$1:$J$109</definedName>
    <definedName name="_xlnm.Print_Area" localSheetId="15">'04.04.2019...'!$A$1:$J$120</definedName>
    <definedName name="_xlnm.Print_Area" localSheetId="29">'05.07.2019...'!$A$1:$J$133</definedName>
    <definedName name="_xlnm.Print_Area" localSheetId="32">'05.08.2019'!$A$1:$H$139</definedName>
    <definedName name="_xlnm.Print_Area" localSheetId="1">'05.12.2018...'!$A$1:$J$99</definedName>
    <definedName name="_xlnm.Print_Area" localSheetId="16">'08.04.2019..'!$A$1:$J$120</definedName>
    <definedName name="_xlnm.Print_Area" localSheetId="5">'11.01.2019...'!$A$1:$J$104</definedName>
    <definedName name="_xlnm.Print_Area" localSheetId="17">'11.04.2019..'!$A$1:$J$122</definedName>
    <definedName name="_xlnm.Print_Area" localSheetId="25">'11.06.2019...'!$A$1:$J$132</definedName>
    <definedName name="_xlnm.Print_Area" localSheetId="21">'13.05.2019..'!$A$1:$J$128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18">'15.04.2019'!$A$1:$J$123</definedName>
    <definedName name="_xlnm.Print_Area" localSheetId="22">'16.05.2019....'!$A$1:$J$130</definedName>
    <definedName name="_xlnm.Print_Area" localSheetId="30">'16.07.2019..'!$A$1:$J$134</definedName>
    <definedName name="_xlnm.Print_Area" localSheetId="19">'17.04.2019 '!$A$1:$J$123</definedName>
    <definedName name="_xlnm.Print_Area" localSheetId="26">'17.06.2019...'!$A$1:$J$133</definedName>
    <definedName name="_xlnm.Print_Area" localSheetId="27">'17.06.2019... (2)'!$A$1:$H$135</definedName>
    <definedName name="_xlnm.Print_Area" localSheetId="7">'21.01.2019...'!$A$1:$J$107</definedName>
    <definedName name="_xlnm.Print_Area" localSheetId="23">'21.05.2019...'!$A$1:$J$131</definedName>
    <definedName name="_xlnm.Print_Area" localSheetId="11">'22.02.2019..'!$A$1:$J$116</definedName>
    <definedName name="_xlnm.Print_Area" localSheetId="20">'23.04.2019...'!$A$1:$J$124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'28.03.2019...'!$A$1:$J$118</definedName>
    <definedName name="_xlnm.Print_Area" localSheetId="24">'31.05.2019...'!$A$1:$J$132</definedName>
    <definedName name="_xlnm.Print_Area" localSheetId="4">'4.01.2019..'!$A$1:$J$104</definedName>
  </definedNames>
  <calcPr calcId="162913"/>
</workbook>
</file>

<file path=xl/calcChain.xml><?xml version="1.0" encoding="utf-8"?>
<calcChain xmlns="http://schemas.openxmlformats.org/spreadsheetml/2006/main">
  <c r="K75" i="212" l="1"/>
  <c r="K77" i="212"/>
  <c r="K79" i="212"/>
  <c r="K82" i="212"/>
  <c r="K83" i="212"/>
  <c r="K84" i="212"/>
  <c r="K85" i="212"/>
  <c r="K88" i="212"/>
  <c r="K90" i="212"/>
  <c r="K93" i="212"/>
  <c r="K94" i="212"/>
  <c r="K95" i="212"/>
  <c r="K96" i="212"/>
  <c r="K97" i="212"/>
  <c r="K100" i="212"/>
  <c r="K103" i="212"/>
  <c r="K104" i="212"/>
  <c r="K106" i="212"/>
  <c r="K109" i="212"/>
  <c r="K111" i="212"/>
  <c r="K114" i="212"/>
  <c r="K118" i="212"/>
  <c r="K119" i="212"/>
  <c r="K121" i="212"/>
  <c r="K123" i="212"/>
  <c r="K127" i="212"/>
  <c r="K131" i="212"/>
  <c r="K132" i="212"/>
  <c r="K133" i="212"/>
  <c r="K137" i="212"/>
  <c r="K32" i="212"/>
  <c r="K35" i="212"/>
  <c r="K36" i="212"/>
  <c r="K41" i="212"/>
  <c r="K43" i="212"/>
  <c r="K46" i="212"/>
  <c r="K51" i="212"/>
  <c r="K52" i="212"/>
  <c r="K54" i="212"/>
  <c r="K55" i="212"/>
  <c r="K57" i="212"/>
  <c r="K58" i="212"/>
  <c r="K60" i="212"/>
  <c r="K62" i="212"/>
  <c r="K63" i="212"/>
  <c r="K64" i="212"/>
  <c r="K65" i="212"/>
  <c r="K67" i="212"/>
  <c r="K68" i="212"/>
  <c r="K69" i="212"/>
  <c r="K71" i="212"/>
  <c r="K72" i="212"/>
  <c r="K73" i="212"/>
  <c r="K74" i="212"/>
  <c r="K11" i="212"/>
  <c r="K13" i="212"/>
  <c r="K14" i="212"/>
  <c r="K15" i="212"/>
  <c r="K18" i="212"/>
  <c r="K20" i="212"/>
  <c r="K21" i="212"/>
  <c r="K22" i="212"/>
  <c r="K23" i="212"/>
  <c r="K24" i="212"/>
  <c r="K26" i="212"/>
  <c r="K27" i="212"/>
  <c r="K29" i="212"/>
  <c r="E42" i="212" l="1"/>
  <c r="K42" i="212" s="1"/>
  <c r="E45" i="212"/>
  <c r="K45" i="212" s="1"/>
  <c r="E17" i="212"/>
  <c r="K17" i="212" s="1"/>
  <c r="E30" i="212"/>
  <c r="K30" i="212" s="1"/>
  <c r="E110" i="212" l="1"/>
  <c r="K110" i="212" s="1"/>
  <c r="E53" i="212"/>
  <c r="K53" i="212" s="1"/>
  <c r="E50" i="212"/>
  <c r="K50" i="212" s="1"/>
  <c r="E40" i="212"/>
  <c r="K40" i="212" s="1"/>
  <c r="E39" i="212"/>
  <c r="K39" i="212" s="1"/>
  <c r="E33" i="212"/>
  <c r="K33" i="212" s="1"/>
  <c r="E139" i="212" l="1"/>
  <c r="K139" i="212" s="1"/>
  <c r="E138" i="212"/>
  <c r="K138" i="212" s="1"/>
  <c r="E136" i="212"/>
  <c r="K136" i="212" s="1"/>
  <c r="E134" i="212"/>
  <c r="K134" i="212" s="1"/>
  <c r="E130" i="212"/>
  <c r="K130" i="212" s="1"/>
  <c r="E129" i="212"/>
  <c r="K129" i="212" s="1"/>
  <c r="E126" i="212"/>
  <c r="K126" i="212" s="1"/>
  <c r="E125" i="212"/>
  <c r="K125" i="212" s="1"/>
  <c r="E124" i="212"/>
  <c r="K124" i="212" s="1"/>
  <c r="E120" i="212"/>
  <c r="K120" i="212" s="1"/>
  <c r="E117" i="212"/>
  <c r="K117" i="212" s="1"/>
  <c r="E116" i="212"/>
  <c r="K116" i="212" s="1"/>
  <c r="E113" i="212"/>
  <c r="K113" i="212" s="1"/>
  <c r="E112" i="212"/>
  <c r="K112" i="212" s="1"/>
  <c r="E108" i="212"/>
  <c r="K108" i="212" s="1"/>
  <c r="E107" i="212"/>
  <c r="K107" i="212" s="1"/>
  <c r="E102" i="212"/>
  <c r="K102" i="212" s="1"/>
  <c r="E101" i="212"/>
  <c r="K101" i="212" s="1"/>
  <c r="E99" i="212"/>
  <c r="K99" i="212" s="1"/>
  <c r="E92" i="212"/>
  <c r="K92" i="212" s="1"/>
  <c r="E91" i="212"/>
  <c r="K91" i="212" s="1"/>
  <c r="E89" i="212"/>
  <c r="K89" i="212" s="1"/>
  <c r="E87" i="212"/>
  <c r="K87" i="212" s="1"/>
  <c r="E81" i="212"/>
  <c r="K81" i="212" s="1"/>
  <c r="E78" i="212"/>
  <c r="K78" i="212" s="1"/>
  <c r="E76" i="212"/>
  <c r="K76" i="212" s="1"/>
  <c r="E70" i="212"/>
  <c r="K70" i="212" s="1"/>
  <c r="E66" i="212"/>
  <c r="K66" i="212" s="1"/>
  <c r="E61" i="212"/>
  <c r="K61" i="212" s="1"/>
  <c r="E59" i="212"/>
  <c r="K59" i="212" s="1"/>
  <c r="E56" i="212"/>
  <c r="K56" i="212" s="1"/>
  <c r="E49" i="212"/>
  <c r="K49" i="212" s="1"/>
  <c r="E48" i="212"/>
  <c r="K48" i="212" s="1"/>
  <c r="E47" i="212"/>
  <c r="K47" i="212" s="1"/>
  <c r="E44" i="212"/>
  <c r="K44" i="212" s="1"/>
  <c r="E38" i="212"/>
  <c r="K38" i="212" s="1"/>
  <c r="E37" i="212"/>
  <c r="K37" i="212" s="1"/>
  <c r="E34" i="212"/>
  <c r="K34" i="212" s="1"/>
  <c r="E31" i="212"/>
  <c r="K31" i="212" s="1"/>
  <c r="E28" i="212"/>
  <c r="K28" i="212" s="1"/>
  <c r="E25" i="212"/>
  <c r="K25" i="212" s="1"/>
  <c r="E19" i="212"/>
  <c r="K19" i="212" s="1"/>
  <c r="E16" i="212"/>
  <c r="K16" i="212" s="1"/>
  <c r="E12" i="212"/>
  <c r="K12" i="212" s="1"/>
  <c r="E10" i="212"/>
  <c r="C8" i="212"/>
  <c r="D8" i="212" s="1"/>
  <c r="E8" i="212" s="1"/>
  <c r="F8" i="212" s="1"/>
  <c r="G8" i="212" s="1"/>
  <c r="H8" i="212" s="1"/>
  <c r="E80" i="212" l="1"/>
  <c r="K80" i="212" s="1"/>
  <c r="E115" i="212"/>
  <c r="K115" i="212" s="1"/>
  <c r="E105" i="212"/>
  <c r="K105" i="212" s="1"/>
  <c r="E135" i="212"/>
  <c r="K135" i="212" s="1"/>
  <c r="E98" i="212"/>
  <c r="K98" i="212" s="1"/>
  <c r="E128" i="212"/>
  <c r="K128" i="212" s="1"/>
  <c r="K10" i="212"/>
  <c r="E9" i="212"/>
  <c r="K9" i="212" s="1"/>
  <c r="E86" i="212"/>
  <c r="K86" i="212" s="1"/>
  <c r="E122" i="212"/>
  <c r="K122" i="212" s="1"/>
  <c r="E127" i="211"/>
  <c r="E126" i="211" s="1"/>
  <c r="E137" i="211"/>
  <c r="E133" i="211" s="1"/>
  <c r="E136" i="211"/>
  <c r="E134" i="211"/>
  <c r="E132" i="211"/>
  <c r="E128" i="211"/>
  <c r="E124" i="211"/>
  <c r="E123" i="211"/>
  <c r="E120" i="211" s="1"/>
  <c r="E122" i="211"/>
  <c r="E118" i="211"/>
  <c r="E115" i="211"/>
  <c r="E113" i="211" s="1"/>
  <c r="E114" i="211"/>
  <c r="E111" i="211"/>
  <c r="E110" i="211"/>
  <c r="E106" i="211"/>
  <c r="E105" i="211"/>
  <c r="E100" i="211"/>
  <c r="E99" i="211"/>
  <c r="E97" i="211"/>
  <c r="E90" i="211"/>
  <c r="E89" i="211"/>
  <c r="E87" i="211"/>
  <c r="E85" i="211"/>
  <c r="E79" i="211"/>
  <c r="E78" i="211"/>
  <c r="E76" i="211"/>
  <c r="E74" i="211"/>
  <c r="E69" i="211"/>
  <c r="E65" i="211"/>
  <c r="E60" i="211"/>
  <c r="E58" i="211"/>
  <c r="E55" i="211"/>
  <c r="E48" i="211"/>
  <c r="E47" i="211"/>
  <c r="E46" i="211"/>
  <c r="E44" i="211"/>
  <c r="E43" i="211"/>
  <c r="E39" i="211"/>
  <c r="E38" i="211"/>
  <c r="E37" i="211"/>
  <c r="E36" i="211"/>
  <c r="E33" i="211"/>
  <c r="E30" i="211"/>
  <c r="E28" i="211"/>
  <c r="E25" i="211"/>
  <c r="E19" i="211"/>
  <c r="E17" i="211"/>
  <c r="E16" i="211"/>
  <c r="E12" i="211"/>
  <c r="E10" i="211"/>
  <c r="C8" i="211"/>
  <c r="D8" i="211" s="1"/>
  <c r="E8" i="211" s="1"/>
  <c r="F8" i="211" s="1"/>
  <c r="G8" i="211" s="1"/>
  <c r="H8" i="211" s="1"/>
  <c r="E9" i="211" l="1"/>
  <c r="E103" i="211"/>
  <c r="E84" i="211"/>
  <c r="G6" i="211" s="1"/>
  <c r="E96" i="211"/>
  <c r="G6" i="212"/>
  <c r="E127" i="210"/>
  <c r="E60" i="210"/>
  <c r="E136" i="210" l="1"/>
  <c r="E135" i="210"/>
  <c r="E133" i="210"/>
  <c r="E132" i="210"/>
  <c r="E131" i="210"/>
  <c r="E128" i="210"/>
  <c r="E126" i="210"/>
  <c r="E124" i="210"/>
  <c r="E120" i="210" s="1"/>
  <c r="E123" i="210"/>
  <c r="E122" i="210"/>
  <c r="E118" i="210"/>
  <c r="E115" i="210"/>
  <c r="E114" i="210"/>
  <c r="E113" i="210"/>
  <c r="E111" i="210"/>
  <c r="E110" i="210"/>
  <c r="E106" i="210"/>
  <c r="E105" i="210"/>
  <c r="E103" i="210" s="1"/>
  <c r="E100" i="210"/>
  <c r="E99" i="210"/>
  <c r="E97" i="210"/>
  <c r="E96" i="210" s="1"/>
  <c r="E90" i="210"/>
  <c r="E89" i="210"/>
  <c r="E87" i="210"/>
  <c r="E85" i="210"/>
  <c r="E79" i="210"/>
  <c r="E78" i="210"/>
  <c r="E76" i="210"/>
  <c r="E74" i="210"/>
  <c r="E69" i="210"/>
  <c r="E65" i="210"/>
  <c r="E58" i="210"/>
  <c r="E55" i="210"/>
  <c r="E48" i="210"/>
  <c r="E47" i="210"/>
  <c r="E46" i="210"/>
  <c r="E44" i="210"/>
  <c r="E43" i="210"/>
  <c r="E39" i="210"/>
  <c r="E38" i="210"/>
  <c r="E37" i="210"/>
  <c r="E36" i="210"/>
  <c r="E33" i="210"/>
  <c r="E30" i="210"/>
  <c r="E28" i="210"/>
  <c r="E25" i="210"/>
  <c r="E19" i="210"/>
  <c r="E17" i="210"/>
  <c r="E16" i="210"/>
  <c r="E12" i="210"/>
  <c r="E10" i="210"/>
  <c r="C8" i="210"/>
  <c r="D8" i="210" s="1"/>
  <c r="E8" i="210" s="1"/>
  <c r="F8" i="210" s="1"/>
  <c r="G8" i="210" s="1"/>
  <c r="H8" i="210" s="1"/>
  <c r="E9" i="210" l="1"/>
  <c r="E84" i="210"/>
  <c r="G6" i="210"/>
  <c r="E76" i="209"/>
  <c r="J36" i="209"/>
  <c r="E135" i="209"/>
  <c r="E134" i="209"/>
  <c r="E132" i="209"/>
  <c r="E130" i="209"/>
  <c r="E128" i="209"/>
  <c r="E127" i="209"/>
  <c r="E124" i="209"/>
  <c r="E123" i="209"/>
  <c r="E122" i="209"/>
  <c r="E118" i="209"/>
  <c r="E115" i="209"/>
  <c r="E113" i="209" s="1"/>
  <c r="E114" i="209"/>
  <c r="E111" i="209"/>
  <c r="E110" i="209"/>
  <c r="E106" i="209"/>
  <c r="E105" i="209"/>
  <c r="E100" i="209"/>
  <c r="E99" i="209"/>
  <c r="E97" i="209"/>
  <c r="E96" i="209" s="1"/>
  <c r="E90" i="209"/>
  <c r="E89" i="209"/>
  <c r="E87" i="209"/>
  <c r="E84" i="209" s="1"/>
  <c r="E85" i="209"/>
  <c r="E79" i="209"/>
  <c r="E78" i="209"/>
  <c r="E74" i="209"/>
  <c r="E69" i="209"/>
  <c r="E65" i="209"/>
  <c r="E60" i="209"/>
  <c r="E58" i="209"/>
  <c r="E55" i="209"/>
  <c r="E48" i="209"/>
  <c r="E47" i="209"/>
  <c r="E46" i="209"/>
  <c r="E44" i="209"/>
  <c r="E43" i="209"/>
  <c r="E39" i="209"/>
  <c r="E38" i="209"/>
  <c r="E37" i="209"/>
  <c r="E36" i="209"/>
  <c r="E33" i="209"/>
  <c r="E30" i="209"/>
  <c r="E28" i="209"/>
  <c r="E25" i="209"/>
  <c r="E19" i="209"/>
  <c r="E17" i="209"/>
  <c r="E16" i="209"/>
  <c r="E12" i="209"/>
  <c r="E10" i="209"/>
  <c r="C8" i="209"/>
  <c r="D8" i="209" s="1"/>
  <c r="E8" i="209" s="1"/>
  <c r="F8" i="209" s="1"/>
  <c r="G8" i="209" s="1"/>
  <c r="H8" i="209" s="1"/>
  <c r="E103" i="209" l="1"/>
  <c r="E126" i="209"/>
  <c r="E131" i="209"/>
  <c r="E9" i="209"/>
  <c r="G6" i="209" s="1"/>
  <c r="E120" i="209"/>
  <c r="E114" i="208"/>
  <c r="E115" i="208"/>
  <c r="E28" i="208" l="1"/>
  <c r="E10" i="208"/>
  <c r="E30" i="208"/>
  <c r="E12" i="208"/>
  <c r="E134" i="208"/>
  <c r="E132" i="208"/>
  <c r="E110" i="208"/>
  <c r="E99" i="208"/>
  <c r="E79" i="208"/>
  <c r="E78" i="208" s="1"/>
  <c r="E135" i="208"/>
  <c r="E130" i="208"/>
  <c r="E128" i="208"/>
  <c r="E127" i="208"/>
  <c r="E124" i="208"/>
  <c r="E123" i="208"/>
  <c r="E122" i="208"/>
  <c r="E120" i="208" s="1"/>
  <c r="E118" i="208"/>
  <c r="E113" i="208"/>
  <c r="E111" i="208"/>
  <c r="E106" i="208"/>
  <c r="E105" i="208"/>
  <c r="E100" i="208"/>
  <c r="E97" i="208"/>
  <c r="E90" i="208"/>
  <c r="E89" i="208"/>
  <c r="E87" i="208"/>
  <c r="E85" i="208"/>
  <c r="E76" i="208"/>
  <c r="E74" i="208"/>
  <c r="E69" i="208"/>
  <c r="E65" i="208"/>
  <c r="E60" i="208"/>
  <c r="E58" i="208"/>
  <c r="E55" i="208"/>
  <c r="E48" i="208"/>
  <c r="E47" i="208"/>
  <c r="E46" i="208"/>
  <c r="E44" i="208"/>
  <c r="E43" i="208"/>
  <c r="E39" i="208"/>
  <c r="E38" i="208"/>
  <c r="E37" i="208"/>
  <c r="E36" i="208"/>
  <c r="E33" i="208"/>
  <c r="E25" i="208"/>
  <c r="E19" i="208"/>
  <c r="E17" i="208"/>
  <c r="E16" i="208"/>
  <c r="C8" i="208"/>
  <c r="D8" i="208" s="1"/>
  <c r="E8" i="208" s="1"/>
  <c r="F8" i="208" s="1"/>
  <c r="G8" i="208" s="1"/>
  <c r="H8" i="208" s="1"/>
  <c r="E79" i="207"/>
  <c r="E84" i="208" l="1"/>
  <c r="E131" i="208"/>
  <c r="E9" i="208"/>
  <c r="G6" i="208" s="1"/>
  <c r="E96" i="208"/>
  <c r="E126" i="208"/>
  <c r="E103" i="208"/>
  <c r="E55" i="207"/>
  <c r="E133" i="207"/>
  <c r="E134" i="207"/>
  <c r="E132" i="207"/>
  <c r="E76" i="207" l="1"/>
  <c r="E135" i="207"/>
  <c r="E130" i="207"/>
  <c r="E128" i="207"/>
  <c r="E127" i="207"/>
  <c r="E124" i="207"/>
  <c r="E123" i="207"/>
  <c r="E122" i="207"/>
  <c r="E118" i="207"/>
  <c r="E115" i="207"/>
  <c r="E113" i="207" s="1"/>
  <c r="E111" i="207"/>
  <c r="E110" i="207"/>
  <c r="E106" i="207"/>
  <c r="E105" i="207"/>
  <c r="E100" i="207"/>
  <c r="E99" i="207"/>
  <c r="E97" i="207"/>
  <c r="E90" i="207"/>
  <c r="E89" i="207"/>
  <c r="E87" i="207"/>
  <c r="E85" i="207"/>
  <c r="E74" i="207"/>
  <c r="E69" i="207"/>
  <c r="E65" i="207"/>
  <c r="E60" i="207"/>
  <c r="E58" i="207"/>
  <c r="E48" i="207"/>
  <c r="E47" i="207"/>
  <c r="E46" i="207"/>
  <c r="E44" i="207"/>
  <c r="E43" i="207"/>
  <c r="E39" i="207"/>
  <c r="E38" i="207"/>
  <c r="E37" i="207"/>
  <c r="E36" i="207"/>
  <c r="E33" i="207"/>
  <c r="E25" i="207"/>
  <c r="E19" i="207"/>
  <c r="E17" i="207"/>
  <c r="E16" i="207"/>
  <c r="C8" i="207"/>
  <c r="D8" i="207" s="1"/>
  <c r="E8" i="207" s="1"/>
  <c r="F8" i="207" s="1"/>
  <c r="G8" i="207" s="1"/>
  <c r="H8" i="207" s="1"/>
  <c r="E120" i="207" l="1"/>
  <c r="E84" i="207"/>
  <c r="E103" i="207"/>
  <c r="E131" i="207"/>
  <c r="E96" i="207"/>
  <c r="E126" i="207"/>
  <c r="E9" i="207"/>
  <c r="E78" i="207"/>
  <c r="E78" i="206"/>
  <c r="E77" i="206" s="1"/>
  <c r="E79" i="206"/>
  <c r="G6" i="207" l="1"/>
  <c r="E135" i="206"/>
  <c r="E133" i="206"/>
  <c r="E132" i="206"/>
  <c r="E130" i="206"/>
  <c r="E128" i="206"/>
  <c r="E127" i="206"/>
  <c r="E124" i="206"/>
  <c r="E123" i="206"/>
  <c r="E122" i="206"/>
  <c r="E118" i="206"/>
  <c r="E115" i="206"/>
  <c r="E113" i="206" s="1"/>
  <c r="E111" i="206"/>
  <c r="E110" i="206"/>
  <c r="E106" i="206"/>
  <c r="E105" i="206"/>
  <c r="E100" i="206"/>
  <c r="E99" i="206"/>
  <c r="E97" i="206"/>
  <c r="E90" i="206"/>
  <c r="E89" i="206"/>
  <c r="E87" i="206"/>
  <c r="E85" i="206"/>
  <c r="E74" i="206"/>
  <c r="E69" i="206"/>
  <c r="E65" i="206"/>
  <c r="E60" i="206"/>
  <c r="E58" i="206"/>
  <c r="E48" i="206"/>
  <c r="E47" i="206"/>
  <c r="E46" i="206"/>
  <c r="E44" i="206"/>
  <c r="E43" i="206"/>
  <c r="E39" i="206"/>
  <c r="E38" i="206"/>
  <c r="E37" i="206"/>
  <c r="E36" i="206"/>
  <c r="E33" i="206"/>
  <c r="E25" i="206"/>
  <c r="E19" i="206"/>
  <c r="E17" i="206"/>
  <c r="E16" i="206"/>
  <c r="C8" i="206"/>
  <c r="D8" i="206" s="1"/>
  <c r="E8" i="206" s="1"/>
  <c r="F8" i="206" s="1"/>
  <c r="G8" i="206" s="1"/>
  <c r="H8" i="206" s="1"/>
  <c r="E131" i="206" l="1"/>
  <c r="E9" i="206"/>
  <c r="E96" i="206"/>
  <c r="E126" i="206"/>
  <c r="E103" i="206"/>
  <c r="E84" i="206"/>
  <c r="E120" i="206"/>
  <c r="G6" i="206"/>
  <c r="E60" i="205"/>
  <c r="E132" i="205" l="1"/>
  <c r="E78" i="205"/>
  <c r="E123" i="205" l="1"/>
  <c r="E122" i="205"/>
  <c r="E121" i="205"/>
  <c r="E119" i="205" s="1"/>
  <c r="E126" i="205"/>
  <c r="E105" i="205"/>
  <c r="E86" i="205"/>
  <c r="E84" i="205"/>
  <c r="E83" i="205" s="1"/>
  <c r="E88" i="205"/>
  <c r="E134" i="205" l="1"/>
  <c r="E130" i="205"/>
  <c r="E131" i="205"/>
  <c r="E129" i="205"/>
  <c r="E127" i="205"/>
  <c r="E117" i="205"/>
  <c r="E114" i="205"/>
  <c r="E112" i="205" s="1"/>
  <c r="E110" i="205"/>
  <c r="E109" i="205"/>
  <c r="E104" i="205"/>
  <c r="E99" i="205"/>
  <c r="E98" i="205"/>
  <c r="E95" i="205" s="1"/>
  <c r="E96" i="205"/>
  <c r="E89" i="205"/>
  <c r="E77" i="205"/>
  <c r="E74" i="205"/>
  <c r="E69" i="205"/>
  <c r="E65" i="205"/>
  <c r="E58" i="205"/>
  <c r="E48" i="205"/>
  <c r="E47" i="205"/>
  <c r="E46" i="205"/>
  <c r="E44" i="205"/>
  <c r="E43" i="205"/>
  <c r="E39" i="205"/>
  <c r="E38" i="205"/>
  <c r="E37" i="205"/>
  <c r="E36" i="205"/>
  <c r="E33" i="205"/>
  <c r="E25" i="205"/>
  <c r="E19" i="205"/>
  <c r="E17" i="205"/>
  <c r="E16" i="205"/>
  <c r="C8" i="205"/>
  <c r="D8" i="205" s="1"/>
  <c r="E8" i="205" s="1"/>
  <c r="F8" i="205" s="1"/>
  <c r="G8" i="205" s="1"/>
  <c r="H8" i="205" s="1"/>
  <c r="E132" i="204"/>
  <c r="E9" i="205" l="1"/>
  <c r="E102" i="205"/>
  <c r="E125" i="205"/>
  <c r="G6" i="205"/>
  <c r="E121" i="204"/>
  <c r="E119" i="204" s="1"/>
  <c r="E86" i="204"/>
  <c r="E78" i="204"/>
  <c r="E134" i="204"/>
  <c r="E130" i="204" s="1"/>
  <c r="E131" i="204"/>
  <c r="E129" i="204"/>
  <c r="E127" i="204"/>
  <c r="E126" i="204"/>
  <c r="E123" i="204"/>
  <c r="E117" i="204"/>
  <c r="E114" i="204"/>
  <c r="E112" i="204" s="1"/>
  <c r="E110" i="204"/>
  <c r="E109" i="204"/>
  <c r="E104" i="204"/>
  <c r="E99" i="204"/>
  <c r="E98" i="204"/>
  <c r="E96" i="204"/>
  <c r="E89" i="204"/>
  <c r="E83" i="204"/>
  <c r="E84" i="204"/>
  <c r="E77" i="204"/>
  <c r="E74" i="204"/>
  <c r="E69" i="204"/>
  <c r="E65" i="204"/>
  <c r="E60" i="204"/>
  <c r="E58" i="204"/>
  <c r="E48" i="204"/>
  <c r="E47" i="204"/>
  <c r="E46" i="204"/>
  <c r="E44" i="204"/>
  <c r="E43" i="204"/>
  <c r="E39" i="204"/>
  <c r="E38" i="204"/>
  <c r="E37" i="204"/>
  <c r="E36" i="204"/>
  <c r="E33" i="204"/>
  <c r="E25" i="204"/>
  <c r="E19" i="204"/>
  <c r="E17" i="204"/>
  <c r="E9" i="204" s="1"/>
  <c r="E16" i="204"/>
  <c r="C8" i="204"/>
  <c r="D8" i="204" s="1"/>
  <c r="E8" i="204" s="1"/>
  <c r="F8" i="204" s="1"/>
  <c r="G8" i="204" s="1"/>
  <c r="H8" i="204" s="1"/>
  <c r="E102" i="204" l="1"/>
  <c r="E125" i="204"/>
  <c r="E95" i="204"/>
  <c r="G6" i="204"/>
  <c r="E59" i="203"/>
  <c r="E133" i="203" l="1"/>
  <c r="E131" i="203"/>
  <c r="E130" i="203"/>
  <c r="E128" i="203"/>
  <c r="E126" i="203"/>
  <c r="E125" i="203"/>
  <c r="E122" i="203"/>
  <c r="E120" i="203"/>
  <c r="E118" i="203" s="1"/>
  <c r="E119" i="203"/>
  <c r="E116" i="203"/>
  <c r="E113" i="203"/>
  <c r="E111" i="203" s="1"/>
  <c r="E109" i="203"/>
  <c r="E108" i="203"/>
  <c r="E103" i="203"/>
  <c r="E101" i="203" s="1"/>
  <c r="E98" i="203"/>
  <c r="E97" i="203"/>
  <c r="E95" i="203"/>
  <c r="E88" i="203"/>
  <c r="E85" i="203"/>
  <c r="E83" i="203"/>
  <c r="E82" i="203" s="1"/>
  <c r="E77" i="203"/>
  <c r="E76" i="203" s="1"/>
  <c r="E73" i="203"/>
  <c r="E68" i="203"/>
  <c r="E64" i="203"/>
  <c r="E57" i="203"/>
  <c r="E47" i="203"/>
  <c r="E46" i="203"/>
  <c r="E45" i="203"/>
  <c r="E43" i="203"/>
  <c r="E42" i="203"/>
  <c r="E38" i="203"/>
  <c r="E37" i="203"/>
  <c r="E36" i="203"/>
  <c r="E35" i="203"/>
  <c r="E32" i="203"/>
  <c r="E24" i="203"/>
  <c r="E18" i="203"/>
  <c r="E17" i="203"/>
  <c r="E16" i="203"/>
  <c r="D8" i="203"/>
  <c r="E8" i="203" s="1"/>
  <c r="F8" i="203" s="1"/>
  <c r="G8" i="203" s="1"/>
  <c r="H8" i="203" s="1"/>
  <c r="C8" i="203"/>
  <c r="E129" i="203" l="1"/>
  <c r="E94" i="203"/>
  <c r="E124" i="203"/>
  <c r="E9" i="203"/>
  <c r="G6" i="203" s="1"/>
  <c r="E76" i="202"/>
  <c r="E75" i="202" s="1"/>
  <c r="E132" i="202"/>
  <c r="E130" i="202"/>
  <c r="E129" i="202"/>
  <c r="E128" i="202" s="1"/>
  <c r="E127" i="202"/>
  <c r="E125" i="202"/>
  <c r="E124" i="202"/>
  <c r="E123" i="202" s="1"/>
  <c r="E121" i="202"/>
  <c r="E119" i="202"/>
  <c r="E118" i="202"/>
  <c r="E117" i="202" s="1"/>
  <c r="E115" i="202"/>
  <c r="E112" i="202"/>
  <c r="E110" i="202"/>
  <c r="E108" i="202"/>
  <c r="E107" i="202"/>
  <c r="E102" i="202"/>
  <c r="E100" i="202"/>
  <c r="E97" i="202"/>
  <c r="E96" i="202"/>
  <c r="E94" i="202"/>
  <c r="E93" i="202"/>
  <c r="E87" i="202"/>
  <c r="E84" i="202"/>
  <c r="E82" i="202"/>
  <c r="E81" i="202"/>
  <c r="E72" i="202"/>
  <c r="E67" i="202"/>
  <c r="E63" i="202"/>
  <c r="E58" i="202"/>
  <c r="E57" i="202"/>
  <c r="E47" i="202"/>
  <c r="E46" i="202"/>
  <c r="E45" i="202"/>
  <c r="E43" i="202"/>
  <c r="E42" i="202"/>
  <c r="E38" i="202"/>
  <c r="E37" i="202"/>
  <c r="E36" i="202"/>
  <c r="E35" i="202"/>
  <c r="E32" i="202"/>
  <c r="E24" i="202"/>
  <c r="E18" i="202"/>
  <c r="E17" i="202"/>
  <c r="E16" i="202"/>
  <c r="C8" i="202"/>
  <c r="D8" i="202" s="1"/>
  <c r="E8" i="202" s="1"/>
  <c r="F8" i="202" s="1"/>
  <c r="G8" i="202" s="1"/>
  <c r="H8" i="202" s="1"/>
  <c r="E9" i="202" l="1"/>
  <c r="G6" i="202" s="1"/>
  <c r="E105" i="201" l="1"/>
  <c r="E31" i="201" l="1"/>
  <c r="E130" i="201" l="1"/>
  <c r="E128" i="201"/>
  <c r="E127" i="201"/>
  <c r="E125" i="201"/>
  <c r="E123" i="201"/>
  <c r="E122" i="201"/>
  <c r="E119" i="201"/>
  <c r="E117" i="201"/>
  <c r="E116" i="201"/>
  <c r="E113" i="201"/>
  <c r="E110" i="201"/>
  <c r="E108" i="201"/>
  <c r="E106" i="201"/>
  <c r="E100" i="201"/>
  <c r="E98" i="201" s="1"/>
  <c r="E95" i="201"/>
  <c r="E94" i="201"/>
  <c r="E92" i="201"/>
  <c r="E85" i="201"/>
  <c r="E82" i="201"/>
  <c r="E80" i="201"/>
  <c r="E75" i="201"/>
  <c r="E74" i="201" s="1"/>
  <c r="E71" i="201"/>
  <c r="E66" i="201"/>
  <c r="E62" i="201"/>
  <c r="E57" i="201"/>
  <c r="E56" i="201"/>
  <c r="E46" i="201"/>
  <c r="E45" i="201"/>
  <c r="E44" i="201"/>
  <c r="E42" i="201"/>
  <c r="E41" i="201"/>
  <c r="E37" i="201"/>
  <c r="E36" i="201"/>
  <c r="E35" i="201"/>
  <c r="E34" i="201"/>
  <c r="E23" i="201"/>
  <c r="E18" i="201"/>
  <c r="E17" i="201"/>
  <c r="E16" i="201"/>
  <c r="C8" i="201"/>
  <c r="D8" i="201" s="1"/>
  <c r="E8" i="201" s="1"/>
  <c r="F8" i="201" s="1"/>
  <c r="G8" i="201" s="1"/>
  <c r="H8" i="201" s="1"/>
  <c r="E91" i="201" l="1"/>
  <c r="E126" i="201"/>
  <c r="E79" i="201"/>
  <c r="E121" i="201"/>
  <c r="E115" i="201"/>
  <c r="E9" i="201"/>
  <c r="E16" i="200"/>
  <c r="G6" i="201" l="1"/>
  <c r="E124" i="200" l="1"/>
  <c r="E106" i="200" l="1"/>
  <c r="E126" i="200" l="1"/>
  <c r="E123" i="200"/>
  <c r="E122" i="200" s="1"/>
  <c r="E121" i="200"/>
  <c r="E119" i="200"/>
  <c r="E118" i="200"/>
  <c r="E115" i="200"/>
  <c r="E113" i="200"/>
  <c r="E112" i="200"/>
  <c r="E109" i="200"/>
  <c r="E104" i="200"/>
  <c r="E102" i="200"/>
  <c r="E101" i="200"/>
  <c r="E96" i="200" s="1"/>
  <c r="E98" i="200"/>
  <c r="E93" i="200"/>
  <c r="E92" i="200"/>
  <c r="E89" i="200" s="1"/>
  <c r="E90" i="200"/>
  <c r="E83" i="200"/>
  <c r="E80" i="200"/>
  <c r="E77" i="200" s="1"/>
  <c r="E78" i="200"/>
  <c r="E73" i="200"/>
  <c r="E72" i="200" s="1"/>
  <c r="E69" i="200"/>
  <c r="E64" i="200"/>
  <c r="E60" i="200"/>
  <c r="E56" i="200"/>
  <c r="E55" i="200"/>
  <c r="E45" i="200"/>
  <c r="E44" i="200"/>
  <c r="E43" i="200"/>
  <c r="E41" i="200"/>
  <c r="E40" i="200"/>
  <c r="E36" i="200"/>
  <c r="E35" i="200"/>
  <c r="E34" i="200"/>
  <c r="E33" i="200"/>
  <c r="E23" i="200"/>
  <c r="E18" i="200"/>
  <c r="E17" i="200"/>
  <c r="E9" i="200" s="1"/>
  <c r="C8" i="200"/>
  <c r="D8" i="200" s="1"/>
  <c r="E8" i="200" s="1"/>
  <c r="F8" i="200" s="1"/>
  <c r="G8" i="200" s="1"/>
  <c r="H8" i="200" s="1"/>
  <c r="E117" i="200" l="1"/>
  <c r="E111" i="200"/>
  <c r="G6" i="200"/>
  <c r="E40" i="199"/>
  <c r="E32" i="199" l="1"/>
  <c r="E33" i="199"/>
  <c r="E124" i="199"/>
  <c r="E122" i="199"/>
  <c r="E120" i="199"/>
  <c r="E118" i="199"/>
  <c r="E117" i="199"/>
  <c r="E114" i="199"/>
  <c r="E112" i="199"/>
  <c r="E111" i="199"/>
  <c r="E108" i="199"/>
  <c r="E105" i="199"/>
  <c r="E103" i="199" s="1"/>
  <c r="J108" i="199" s="1"/>
  <c r="E101" i="199"/>
  <c r="E100" i="199"/>
  <c r="E97" i="199"/>
  <c r="E95" i="199"/>
  <c r="E92" i="199"/>
  <c r="E91" i="199"/>
  <c r="E89" i="199"/>
  <c r="E88" i="199" s="1"/>
  <c r="E82" i="199"/>
  <c r="E79" i="199"/>
  <c r="E77" i="199"/>
  <c r="E72" i="199"/>
  <c r="E71" i="199" s="1"/>
  <c r="E68" i="199"/>
  <c r="E63" i="199"/>
  <c r="E59" i="199"/>
  <c r="E55" i="199"/>
  <c r="E54" i="199"/>
  <c r="E44" i="199"/>
  <c r="E43" i="199"/>
  <c r="E42" i="199"/>
  <c r="E39" i="199"/>
  <c r="E35" i="199"/>
  <c r="E34" i="199"/>
  <c r="E22" i="199"/>
  <c r="E18" i="199"/>
  <c r="E17" i="199"/>
  <c r="E16" i="199"/>
  <c r="C8" i="199"/>
  <c r="D8" i="199" s="1"/>
  <c r="E8" i="199" s="1"/>
  <c r="F8" i="199" s="1"/>
  <c r="G8" i="199" s="1"/>
  <c r="H8" i="199" s="1"/>
  <c r="E121" i="199" l="1"/>
  <c r="E9" i="199"/>
  <c r="E76" i="199"/>
  <c r="G6" i="199" s="1"/>
  <c r="E116" i="199"/>
  <c r="E110" i="199"/>
  <c r="E39" i="198"/>
  <c r="E124" i="198"/>
  <c r="E122" i="198"/>
  <c r="E120" i="198"/>
  <c r="E118" i="198"/>
  <c r="E117" i="198"/>
  <c r="E114" i="198"/>
  <c r="E112" i="198"/>
  <c r="E111" i="198"/>
  <c r="E108" i="198"/>
  <c r="E105" i="198"/>
  <c r="E103" i="198" s="1"/>
  <c r="J108" i="198" s="1"/>
  <c r="E101" i="198"/>
  <c r="E100" i="198"/>
  <c r="E97" i="198"/>
  <c r="E95" i="198" s="1"/>
  <c r="E92" i="198"/>
  <c r="E91" i="198"/>
  <c r="E89" i="198"/>
  <c r="E82" i="198"/>
  <c r="E79" i="198"/>
  <c r="E77" i="198"/>
  <c r="E76" i="198" s="1"/>
  <c r="E72" i="198"/>
  <c r="E71" i="198" s="1"/>
  <c r="E68" i="198"/>
  <c r="E63" i="198"/>
  <c r="E59" i="198"/>
  <c r="E55" i="198"/>
  <c r="E54" i="198"/>
  <c r="E44" i="198"/>
  <c r="E43" i="198"/>
  <c r="E41" i="198"/>
  <c r="E35" i="198"/>
  <c r="E34" i="198"/>
  <c r="E22" i="198"/>
  <c r="E18" i="198"/>
  <c r="E17" i="198"/>
  <c r="E16" i="198"/>
  <c r="C8" i="198"/>
  <c r="D8" i="198" s="1"/>
  <c r="E8" i="198" s="1"/>
  <c r="F8" i="198" s="1"/>
  <c r="G8" i="198" s="1"/>
  <c r="H8" i="198" s="1"/>
  <c r="E9" i="198" l="1"/>
  <c r="G6" i="198" s="1"/>
  <c r="E121" i="198"/>
  <c r="E116" i="198"/>
  <c r="E88" i="198"/>
  <c r="E110" i="198"/>
  <c r="E123" i="197"/>
  <c r="E121" i="197"/>
  <c r="E120" i="197" s="1"/>
  <c r="E119" i="197"/>
  <c r="E117" i="197"/>
  <c r="E116" i="197"/>
  <c r="E113" i="197"/>
  <c r="E111" i="197"/>
  <c r="E110" i="197"/>
  <c r="E107" i="197"/>
  <c r="E104" i="197"/>
  <c r="E102" i="197" s="1"/>
  <c r="J107" i="197" s="1"/>
  <c r="E100" i="197"/>
  <c r="E99" i="197"/>
  <c r="E96" i="197"/>
  <c r="E94" i="197" s="1"/>
  <c r="E91" i="197"/>
  <c r="E90" i="197"/>
  <c r="E88" i="197"/>
  <c r="E81" i="197"/>
  <c r="E78" i="197"/>
  <c r="E76" i="197"/>
  <c r="E71" i="197"/>
  <c r="E70" i="197"/>
  <c r="E67" i="197"/>
  <c r="E62" i="197"/>
  <c r="E58" i="197"/>
  <c r="E54" i="197"/>
  <c r="E53" i="197"/>
  <c r="E43" i="197"/>
  <c r="E42" i="197"/>
  <c r="E41" i="197"/>
  <c r="E39" i="197"/>
  <c r="E35" i="197"/>
  <c r="E34" i="197"/>
  <c r="E22" i="197"/>
  <c r="E18" i="197"/>
  <c r="E9" i="197" s="1"/>
  <c r="E17" i="197"/>
  <c r="E16" i="197"/>
  <c r="C8" i="197"/>
  <c r="D8" i="197" s="1"/>
  <c r="E8" i="197" s="1"/>
  <c r="F8" i="197" s="1"/>
  <c r="G8" i="197" s="1"/>
  <c r="H8" i="197" s="1"/>
  <c r="E115" i="197" l="1"/>
  <c r="E87" i="197"/>
  <c r="E109" i="197"/>
  <c r="G6" i="197"/>
  <c r="E75" i="197"/>
  <c r="E22" i="196"/>
  <c r="E17" i="196"/>
  <c r="E16" i="196"/>
  <c r="E9" i="196" s="1"/>
  <c r="E121" i="196"/>
  <c r="E119" i="196"/>
  <c r="E118" i="196"/>
  <c r="E117" i="196"/>
  <c r="E113" i="196" s="1"/>
  <c r="E115" i="196"/>
  <c r="E114" i="196"/>
  <c r="E111" i="196"/>
  <c r="E109" i="196"/>
  <c r="E108" i="196"/>
  <c r="E105" i="196"/>
  <c r="E102" i="196"/>
  <c r="E100" i="196"/>
  <c r="J105" i="196" s="1"/>
  <c r="E98" i="196"/>
  <c r="E97" i="196"/>
  <c r="E94" i="196"/>
  <c r="E92" i="196"/>
  <c r="E89" i="196"/>
  <c r="E88" i="196"/>
  <c r="E86" i="196"/>
  <c r="E85" i="196"/>
  <c r="E79" i="196"/>
  <c r="E76" i="196"/>
  <c r="E74" i="196"/>
  <c r="E73" i="196"/>
  <c r="E69" i="196"/>
  <c r="E68" i="196" s="1"/>
  <c r="E65" i="196"/>
  <c r="E60" i="196"/>
  <c r="E56" i="196"/>
  <c r="E52" i="196"/>
  <c r="E51" i="196"/>
  <c r="E41" i="196"/>
  <c r="E40" i="196"/>
  <c r="E39" i="196"/>
  <c r="E37" i="196"/>
  <c r="E33" i="196"/>
  <c r="E32" i="196"/>
  <c r="E18" i="196"/>
  <c r="C8" i="196"/>
  <c r="D8" i="196" s="1"/>
  <c r="E8" i="196" s="1"/>
  <c r="F8" i="196" s="1"/>
  <c r="G8" i="196" s="1"/>
  <c r="H8" i="196" s="1"/>
  <c r="E107" i="196" l="1"/>
  <c r="G6" i="196"/>
  <c r="E114" i="195"/>
  <c r="E113" i="195" s="1"/>
  <c r="E88" i="195"/>
  <c r="E85" i="195" s="1"/>
  <c r="E86" i="195"/>
  <c r="E22" i="195"/>
  <c r="E17" i="195"/>
  <c r="E16" i="195"/>
  <c r="E121" i="195"/>
  <c r="E119" i="195"/>
  <c r="E118" i="195" s="1"/>
  <c r="E117" i="195"/>
  <c r="E115" i="195"/>
  <c r="E111" i="195"/>
  <c r="E109" i="195"/>
  <c r="E108" i="195"/>
  <c r="E107" i="195" s="1"/>
  <c r="E105" i="195"/>
  <c r="E102" i="195"/>
  <c r="E100" i="195" s="1"/>
  <c r="J105" i="195" s="1"/>
  <c r="E98" i="195"/>
  <c r="E97" i="195"/>
  <c r="E94" i="195"/>
  <c r="E89" i="195"/>
  <c r="E79" i="195"/>
  <c r="E76" i="195"/>
  <c r="E73" i="195" s="1"/>
  <c r="E74" i="195"/>
  <c r="E69" i="195"/>
  <c r="E68" i="195" s="1"/>
  <c r="E65" i="195"/>
  <c r="E60" i="195"/>
  <c r="E56" i="195"/>
  <c r="E52" i="195"/>
  <c r="E51" i="195"/>
  <c r="E41" i="195"/>
  <c r="E40" i="195"/>
  <c r="E39" i="195"/>
  <c r="E37" i="195"/>
  <c r="E33" i="195"/>
  <c r="E32" i="195"/>
  <c r="E18" i="195"/>
  <c r="C8" i="195"/>
  <c r="D8" i="195" s="1"/>
  <c r="E8" i="195" s="1"/>
  <c r="F8" i="195" s="1"/>
  <c r="G8" i="195" s="1"/>
  <c r="H8" i="195" s="1"/>
  <c r="E9" i="195" l="1"/>
  <c r="G6" i="195" s="1"/>
  <c r="E92" i="195"/>
  <c r="E120" i="194" l="1"/>
  <c r="E118" i="194"/>
  <c r="E117" i="194"/>
  <c r="E116" i="194"/>
  <c r="E113" i="194" s="1"/>
  <c r="E115" i="194"/>
  <c r="E114" i="194"/>
  <c r="E111" i="194"/>
  <c r="E107" i="194" s="1"/>
  <c r="E109" i="194"/>
  <c r="E108" i="194"/>
  <c r="E105" i="194"/>
  <c r="E102" i="194"/>
  <c r="E100" i="194"/>
  <c r="J105" i="194" s="1"/>
  <c r="E98" i="194"/>
  <c r="E97" i="194"/>
  <c r="E92" i="194" s="1"/>
  <c r="E94" i="194"/>
  <c r="E89" i="194"/>
  <c r="E88" i="194"/>
  <c r="E85" i="194" s="1"/>
  <c r="E79" i="194"/>
  <c r="E76" i="194"/>
  <c r="E74" i="194"/>
  <c r="E73" i="194" s="1"/>
  <c r="E69" i="194"/>
  <c r="E68" i="194" s="1"/>
  <c r="E65" i="194"/>
  <c r="E60" i="194"/>
  <c r="E56" i="194"/>
  <c r="E52" i="194"/>
  <c r="E51" i="194"/>
  <c r="E41" i="194"/>
  <c r="E40" i="194"/>
  <c r="E39" i="194"/>
  <c r="E37" i="194"/>
  <c r="E33" i="194"/>
  <c r="E32" i="194"/>
  <c r="E22" i="194"/>
  <c r="E18" i="194"/>
  <c r="E17" i="194"/>
  <c r="E16" i="194"/>
  <c r="C8" i="194"/>
  <c r="D8" i="194" s="1"/>
  <c r="E8" i="194" s="1"/>
  <c r="F8" i="194" s="1"/>
  <c r="G8" i="194" s="1"/>
  <c r="H8" i="194" s="1"/>
  <c r="E9" i="194" l="1"/>
  <c r="G6" i="194" s="1"/>
  <c r="E59" i="193"/>
  <c r="E51" i="193"/>
  <c r="E119" i="193"/>
  <c r="E117" i="193"/>
  <c r="E116" i="193" s="1"/>
  <c r="E115" i="193"/>
  <c r="E114" i="193"/>
  <c r="E113" i="193"/>
  <c r="E110" i="193"/>
  <c r="E108" i="193"/>
  <c r="E107" i="193"/>
  <c r="E104" i="193"/>
  <c r="E101" i="193"/>
  <c r="E99" i="193"/>
  <c r="J104" i="193" s="1"/>
  <c r="E97" i="193"/>
  <c r="E96" i="193"/>
  <c r="E93" i="193"/>
  <c r="E91" i="193"/>
  <c r="E88" i="193"/>
  <c r="E87" i="193"/>
  <c r="E84" i="193"/>
  <c r="E78" i="193"/>
  <c r="E75" i="193"/>
  <c r="E72" i="193" s="1"/>
  <c r="E73" i="193"/>
  <c r="E68" i="193"/>
  <c r="E67" i="193"/>
  <c r="E64" i="193"/>
  <c r="E55" i="193"/>
  <c r="E50" i="193"/>
  <c r="E40" i="193"/>
  <c r="E39" i="193"/>
  <c r="E38" i="193"/>
  <c r="E36" i="193"/>
  <c r="E32" i="193"/>
  <c r="E31" i="193"/>
  <c r="E22" i="193"/>
  <c r="E18" i="193"/>
  <c r="E17" i="193"/>
  <c r="E16" i="193"/>
  <c r="E9" i="193" s="1"/>
  <c r="C8" i="193"/>
  <c r="D8" i="193" s="1"/>
  <c r="E8" i="193" s="1"/>
  <c r="F8" i="193" s="1"/>
  <c r="G8" i="193" s="1"/>
  <c r="H8" i="193" s="1"/>
  <c r="E112" i="193" l="1"/>
  <c r="E106" i="193"/>
  <c r="G6" i="193"/>
  <c r="E50" i="192"/>
  <c r="E38" i="192"/>
  <c r="E21" i="192" l="1"/>
  <c r="E117" i="192" l="1"/>
  <c r="E115" i="192"/>
  <c r="E114" i="192"/>
  <c r="E113" i="192"/>
  <c r="E110" i="192" s="1"/>
  <c r="E112" i="192"/>
  <c r="E111" i="192"/>
  <c r="E108" i="192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16" i="192"/>
  <c r="C8" i="192"/>
  <c r="D8" i="192" s="1"/>
  <c r="E8" i="192" s="1"/>
  <c r="F8" i="192" s="1"/>
  <c r="G8" i="192" s="1"/>
  <c r="H8" i="192" s="1"/>
  <c r="E104" i="192" l="1"/>
  <c r="E9" i="192"/>
  <c r="G6" i="192" s="1"/>
  <c r="E70" i="192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 s="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 s="1"/>
  <c r="C8" i="191"/>
  <c r="D8" i="191" s="1"/>
  <c r="E8" i="191" s="1"/>
  <c r="F8" i="191" s="1"/>
  <c r="G8" i="191" s="1"/>
  <c r="H8" i="191" s="1"/>
  <c r="G6" i="191" l="1"/>
  <c r="E92" i="190"/>
  <c r="E115" i="190" l="1"/>
  <c r="E113" i="190"/>
  <c r="E112" i="190" s="1"/>
  <c r="E111" i="190"/>
  <c r="E110" i="190"/>
  <c r="E109" i="190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E108" i="190" l="1"/>
  <c r="G6" i="190"/>
  <c r="E87" i="189"/>
  <c r="E110" i="189" l="1"/>
  <c r="E108" i="189"/>
  <c r="E107" i="189"/>
  <c r="E106" i="189"/>
  <c r="E103" i="189" s="1"/>
  <c r="E105" i="189"/>
  <c r="E104" i="189"/>
  <c r="E99" i="189"/>
  <c r="E97" i="189" s="1"/>
  <c r="E98" i="189"/>
  <c r="J95" i="189"/>
  <c r="E95" i="189"/>
  <c r="E92" i="189"/>
  <c r="E90" i="189"/>
  <c r="E88" i="189"/>
  <c r="J86" i="189"/>
  <c r="E84" i="189"/>
  <c r="E82" i="189"/>
  <c r="E79" i="189"/>
  <c r="E78" i="189"/>
  <c r="E75" i="189" s="1"/>
  <c r="E74" i="189"/>
  <c r="E72" i="189"/>
  <c r="E71" i="189"/>
  <c r="E69" i="189" s="1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 s="1"/>
  <c r="G6" i="189" s="1"/>
  <c r="D8" i="189"/>
  <c r="E8" i="189" s="1"/>
  <c r="F8" i="189" s="1"/>
  <c r="G8" i="189" s="1"/>
  <c r="H8" i="189" s="1"/>
  <c r="C8" i="189"/>
  <c r="E44" i="188" l="1"/>
  <c r="E109" i="188" l="1"/>
  <c r="E107" i="188"/>
  <c r="E106" i="188"/>
  <c r="E105" i="188"/>
  <c r="E104" i="188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5" i="188"/>
  <c r="E63" i="188"/>
  <c r="E62" i="188" s="1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C8" i="188"/>
  <c r="D8" i="188" s="1"/>
  <c r="E8" i="188" s="1"/>
  <c r="F8" i="188" s="1"/>
  <c r="G8" i="188" s="1"/>
  <c r="H8" i="188" s="1"/>
  <c r="E68" i="188" l="1"/>
  <c r="E9" i="188"/>
  <c r="G6" i="188" s="1"/>
  <c r="E102" i="188"/>
  <c r="E26" i="187"/>
  <c r="E25" i="187" l="1"/>
  <c r="E108" i="187" l="1"/>
  <c r="E106" i="187"/>
  <c r="E105" i="187" s="1"/>
  <c r="E104" i="187"/>
  <c r="E101" i="187" s="1"/>
  <c r="E103" i="187"/>
  <c r="E102" i="187"/>
  <c r="E97" i="187"/>
  <c r="E96" i="187"/>
  <c r="E95" i="187" s="1"/>
  <c r="E93" i="187"/>
  <c r="E90" i="187"/>
  <c r="E88" i="187" s="1"/>
  <c r="J93" i="187" s="1"/>
  <c r="E86" i="187"/>
  <c r="E85" i="187"/>
  <c r="E82" i="187"/>
  <c r="E80" i="187" s="1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E9" i="187" s="1"/>
  <c r="C8" i="187"/>
  <c r="D8" i="187" s="1"/>
  <c r="E8" i="187" s="1"/>
  <c r="F8" i="187" s="1"/>
  <c r="G8" i="187" s="1"/>
  <c r="H8" i="187" s="1"/>
  <c r="G6" i="187" l="1"/>
  <c r="E63" i="186" l="1"/>
  <c r="E103" i="186"/>
  <c r="E102" i="186"/>
  <c r="E107" i="186"/>
  <c r="E105" i="186"/>
  <c r="E104" i="186" s="1"/>
  <c r="E101" i="186"/>
  <c r="E100" i="186" s="1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6" i="186" s="1"/>
  <c r="E68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9" i="186" s="1"/>
  <c r="E15" i="186"/>
  <c r="E14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 s="1"/>
  <c r="E95" i="185"/>
  <c r="E94" i="185"/>
  <c r="E93" i="185" s="1"/>
  <c r="E91" i="185"/>
  <c r="E88" i="185"/>
  <c r="E86" i="185" s="1"/>
  <c r="J91" i="185" s="1"/>
  <c r="E84" i="185"/>
  <c r="E83" i="185"/>
  <c r="E80" i="185"/>
  <c r="E78" i="185" s="1"/>
  <c r="J82" i="185" s="1"/>
  <c r="E75" i="185"/>
  <c r="E74" i="185"/>
  <c r="E71" i="185" s="1"/>
  <c r="E70" i="185"/>
  <c r="E68" i="185"/>
  <c r="E65" i="185" s="1"/>
  <c r="J67" i="185" s="1"/>
  <c r="E67" i="185"/>
  <c r="E63" i="185"/>
  <c r="E61" i="185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C8" i="185"/>
  <c r="D8" i="185" s="1"/>
  <c r="E8" i="185" s="1"/>
  <c r="F8" i="185" s="1"/>
  <c r="G8" i="185" s="1"/>
  <c r="H8" i="185" s="1"/>
  <c r="E60" i="185" l="1"/>
  <c r="E9" i="185"/>
  <c r="G6" i="185" s="1"/>
  <c r="E105" i="184"/>
  <c r="E91" i="184" l="1"/>
  <c r="E100" i="184"/>
  <c r="E99" i="184" s="1"/>
  <c r="E94" i="184"/>
  <c r="E93" i="184" s="1"/>
  <c r="E95" i="184"/>
  <c r="E88" i="184"/>
  <c r="E86" i="184" s="1"/>
  <c r="E80" i="184"/>
  <c r="E83" i="184"/>
  <c r="E78" i="184" l="1"/>
  <c r="J82" i="184" s="1"/>
  <c r="E75" i="184"/>
  <c r="E74" i="184"/>
  <c r="E71" i="184" s="1"/>
  <c r="E67" i="184"/>
  <c r="E70" i="184"/>
  <c r="E61" i="184"/>
  <c r="E63" i="184"/>
  <c r="E60" i="184" l="1"/>
  <c r="E56" i="184"/>
  <c r="E55" i="184" s="1"/>
  <c r="E103" i="184"/>
  <c r="E102" i="184" s="1"/>
  <c r="J91" i="184"/>
  <c r="E84" i="184"/>
  <c r="E68" i="184"/>
  <c r="E65" i="184" s="1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E9" i="184" s="1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3" i="183"/>
  <c r="E90" i="183"/>
  <c r="E89" i="183" s="1"/>
  <c r="E88" i="183"/>
  <c r="E84" i="183" s="1"/>
  <c r="E86" i="183"/>
  <c r="E82" i="183"/>
  <c r="E81" i="183"/>
  <c r="E76" i="183" s="1"/>
  <c r="E75" i="183"/>
  <c r="E73" i="183"/>
  <c r="E72" i="183"/>
  <c r="E69" i="183" s="1"/>
  <c r="E68" i="183"/>
  <c r="E66" i="183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14" i="183"/>
  <c r="C8" i="183"/>
  <c r="D8" i="183" s="1"/>
  <c r="E8" i="183" s="1"/>
  <c r="F8" i="183" s="1"/>
  <c r="G8" i="183" s="1"/>
  <c r="H8" i="183" s="1"/>
  <c r="E63" i="183" l="1"/>
  <c r="E9" i="183"/>
  <c r="E91" i="183"/>
  <c r="G6" i="183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 s="1"/>
  <c r="E87" i="181"/>
  <c r="E83" i="181" s="1"/>
  <c r="E85" i="181"/>
  <c r="E81" i="181"/>
  <c r="E80" i="181"/>
  <c r="E75" i="181" s="1"/>
  <c r="E74" i="181"/>
  <c r="E72" i="181" s="1"/>
  <c r="E71" i="181"/>
  <c r="E68" i="181" s="1"/>
  <c r="E67" i="181"/>
  <c r="E65" i="181"/>
  <c r="E64" i="181"/>
  <c r="E57" i="181"/>
  <c r="E55" i="181"/>
  <c r="E54" i="181" s="1"/>
  <c r="E48" i="181"/>
  <c r="E30" i="181"/>
  <c r="E29" i="181"/>
  <c r="E27" i="181"/>
  <c r="E16" i="181"/>
  <c r="E15" i="181"/>
  <c r="E14" i="181"/>
  <c r="C8" i="181"/>
  <c r="D8" i="181" s="1"/>
  <c r="E8" i="181" s="1"/>
  <c r="F8" i="181" s="1"/>
  <c r="G8" i="181" s="1"/>
  <c r="H8" i="181" s="1"/>
  <c r="E62" i="181" l="1"/>
  <c r="E9" i="181"/>
  <c r="G6" i="18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<sst xmlns="http://schemas.openxmlformats.org/spreadsheetml/2006/main" count="17620" uniqueCount="202">
  <si>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</si>
  <si>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</si>
  <si>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</si>
  <si>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</si>
  <si>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</si>
  <si>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</si>
  <si>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</si>
  <si>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</si>
  <si>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</si>
  <si>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</si>
  <si>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</si>
  <si>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</si>
  <si>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</si>
  <si>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</si>
  <si>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</si>
  <si>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</si>
  <si>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</si>
  <si>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</si>
  <si>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</si>
  <si>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</si>
  <si>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</si>
  <si>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</si>
  <si>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</si>
  <si>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</si>
  <si>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</si>
  <si>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</si>
  <si>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</si>
  <si>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</si>
  <si>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</si>
  <si>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</si>
  <si>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</si>
  <si>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</si>
  <si>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</si>
  <si>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</si>
  <si>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</si>
  <si>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</si>
  <si>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</si>
  <si>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</si>
  <si>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</si>
  <si>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</si>
  <si>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</si>
  <si>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</si>
  <si>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</si>
  <si>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</si>
  <si>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</si>
  <si>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</si>
  <si>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</si>
  <si>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</si>
  <si>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</si>
  <si>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</si>
  <si>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</si>
  <si>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</si>
  <si>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</si>
  <si>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</si>
  <si>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</si>
  <si>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</si>
  <si>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</si>
  <si>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</si>
  <si>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</si>
  <si>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</si>
  <si>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</si>
  <si>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</si>
  <si>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</si>
  <si>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</si>
  <si>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</si>
  <si>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</si>
  <si>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</si>
  <si>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</si>
  <si>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</si>
  <si>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</si>
  <si>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</si>
  <si>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</si>
  <si>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</si>
  <si>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</si>
  <si>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</si>
  <si>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</si>
  <si>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</si>
  <si>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</si>
  <si>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</si>
  <si>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</si>
  <si>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</si>
  <si>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</si>
  <si>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</si>
  <si>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</si>
  <si>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</si>
  <si>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</si>
  <si>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</si>
  <si>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</si>
  <si>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</si>
  <si>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</si>
  <si>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</si>
  <si>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</si>
  <si>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</si>
  <si>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</si>
  <si>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</si>
  <si>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</si>
  <si>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</si>
  <si>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</si>
  <si>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</si>
  <si>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</si>
  <si>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</si>
  <si>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</si>
  <si>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</si>
  <si>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</si>
  <si>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</si>
  <si>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</si>
  <si>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</si>
  <si>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</si>
  <si>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</si>
  <si>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</si>
  <si>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</si>
  <si>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</si>
  <si>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</si>
  <si>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</si>
  <si>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</si>
  <si>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</si>
  <si>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</si>
  <si>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</si>
  <si>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</si>
  <si>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</si>
  <si>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</si>
  <si>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</si>
  <si>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</si>
  <si>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</si>
  <si>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</si>
  <si>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</si>
  <si>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</si>
  <si>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</si>
  <si>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</si>
  <si>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</si>
  <si>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</si>
  <si>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</si>
  <si>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</si>
  <si>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</si>
  <si>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</si>
  <si>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</si>
  <si>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</si>
  <si>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</si>
  <si>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</si>
  <si>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</si>
  <si>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</si>
  <si>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</si>
  <si>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</si>
  <si>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</si>
  <si>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</si>
  <si>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</si>
  <si>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</si>
  <si>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</si>
  <si>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</si>
  <si>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</si>
  <si>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</si>
  <si>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</si>
  <si>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</si>
  <si>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</si>
  <si>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</si>
  <si>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</si>
  <si>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</si>
  <si>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</si>
  <si>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</si>
  <si>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</si>
  <si>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</si>
  <si>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</si>
  <si>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</si>
  <si>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</si>
  <si>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</si>
  <si>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</si>
  <si>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</si>
  <si>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</si>
  <si>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</si>
  <si>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</si>
  <si>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</si>
  <si>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</si>
  <si>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</si>
  <si>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</si>
  <si>
    <t>38100000</t>
  </si>
  <si>
    <t>სანავიგაციო და მეტეოროლოგიური ხელსაწყოები</t>
  </si>
  <si>
    <t>80500000</t>
  </si>
  <si>
    <t>სატრენინგო მომსახურებები</t>
  </si>
  <si>
    <t>2019 წლის II -IV კვარტალი</t>
  </si>
  <si>
    <t>საინფორმაციო სისტემები და სერვერები</t>
  </si>
  <si>
    <t>სახელმწიფო შესყიდვების შესახებ საქართველოს კანონის 10(1) მუხლის, მე-3 პუნტქის ,,ა" ქვეპუნქტი (მრავალწლიანი)</t>
  </si>
  <si>
    <t>პირადი ჰიგიენის საშუალებები</t>
  </si>
  <si>
    <t>საქმიანი გარიგებებისა და პირადი საქმეების მართვის პროგრამული პაკეტები</t>
  </si>
  <si>
    <t>2019 წლის II- IV კვარტალი</t>
  </si>
  <si>
    <t>24300000</t>
  </si>
  <si>
    <t>ძირითადი არაორგანული და ორგანული ქიმიკატები</t>
  </si>
  <si>
    <t>2019- წლის I-IV კვარტალი</t>
  </si>
  <si>
    <t>2019- წლის II-IV კვარტალი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</si>
  <si>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</si>
  <si>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71300000</t>
  </si>
  <si>
    <t>საინჟინრო მომსახურებები</t>
  </si>
  <si>
    <t>30200000</t>
  </si>
  <si>
    <t xml:space="preserve">კომპიუტერული მარაგები და მოწყობილობები </t>
  </si>
  <si>
    <t>90700000</t>
  </si>
  <si>
    <t>მომსახურებები ეკოლოგიის სფეროში</t>
  </si>
  <si>
    <t>79800000</t>
  </si>
  <si>
    <t>2019 წლის III- IV კვარტალი</t>
  </si>
  <si>
    <t>92100000</t>
  </si>
  <si>
    <t>კინო და ვიდეო მომსახურებები</t>
  </si>
  <si>
    <t>2019წლის III-2019წლის IV კვარტალი</t>
  </si>
  <si>
    <t xml:space="preserve">ავეჯი </t>
  </si>
  <si>
    <t>2019 წლის III-IV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</si>
</sst>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  <font>
      <sz val="8"/>
      <color rgb="FFFF000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0" fillId="8" borderId="3" xfId="0" applyFont="1" applyFill="1" applyBorder="1"/>
    <xf numFmtId="0" fontId="0" fillId="5" borderId="3" xfId="0" applyFont="1" applyFill="1" applyBorder="1"/>
    <xf numFmtId="0" fontId="20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16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wrapText="1"/>
    </xf>
    <xf numFmtId="49" fontId="13" fillId="8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24" fillId="8" borderId="1" xfId="4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33</v>
      </c>
      <c r="C9" s="135"/>
      <c r="D9" s="135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7" t="s">
        <v>30</v>
      </c>
      <c r="C54" s="128"/>
      <c r="D54" s="12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7" t="s">
        <v>34</v>
      </c>
      <c r="C57" s="128"/>
      <c r="D57" s="12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27" t="s">
        <v>31</v>
      </c>
      <c r="C61" s="128"/>
      <c r="D61" s="12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27" t="s">
        <v>35</v>
      </c>
      <c r="C67" s="128"/>
      <c r="D67" s="12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27" t="s">
        <v>72</v>
      </c>
      <c r="C71" s="128"/>
      <c r="D71" s="12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38" t="s">
        <v>36</v>
      </c>
      <c r="C74" s="139"/>
      <c r="D74" s="139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27" t="s">
        <v>74</v>
      </c>
      <c r="C80" s="128"/>
      <c r="D80" s="12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36" t="s">
        <v>37</v>
      </c>
      <c r="C82" s="137"/>
      <c r="D82" s="137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27" t="s">
        <v>75</v>
      </c>
      <c r="C87" s="128"/>
      <c r="D87" s="12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38" t="s">
        <v>38</v>
      </c>
      <c r="C89" s="139"/>
      <c r="D89" s="139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27" t="s">
        <v>73</v>
      </c>
      <c r="C94" s="128"/>
      <c r="D94" s="12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27" t="s">
        <v>88</v>
      </c>
      <c r="C96" s="128"/>
      <c r="D96" s="12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27" t="s">
        <v>135</v>
      </c>
      <c r="C58" s="128"/>
      <c r="D58" s="128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27" t="s">
        <v>136</v>
      </c>
      <c r="C63" s="128"/>
      <c r="D63" s="128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27" t="s">
        <v>137</v>
      </c>
      <c r="C69" s="128"/>
      <c r="D69" s="128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27" t="s">
        <v>138</v>
      </c>
      <c r="C75" s="128"/>
      <c r="D75" s="128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27" t="s">
        <v>139</v>
      </c>
      <c r="C79" s="128"/>
      <c r="D79" s="128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38" t="s">
        <v>140</v>
      </c>
      <c r="C82" s="139"/>
      <c r="D82" s="139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27" t="s">
        <v>141</v>
      </c>
      <c r="C88" s="128"/>
      <c r="D88" s="128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36" t="s">
        <v>142</v>
      </c>
      <c r="C90" s="137"/>
      <c r="D90" s="137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27" t="s">
        <v>143</v>
      </c>
      <c r="C95" s="128"/>
      <c r="D95" s="128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38" t="s">
        <v>144</v>
      </c>
      <c r="C97" s="139"/>
      <c r="D97" s="139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27" t="s">
        <v>145</v>
      </c>
      <c r="C103" s="128"/>
      <c r="D103" s="128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27" t="s">
        <v>146</v>
      </c>
      <c r="C107" s="128"/>
      <c r="D107" s="128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46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27" t="s">
        <v>135</v>
      </c>
      <c r="C63" s="128"/>
      <c r="D63" s="128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27" t="s">
        <v>136</v>
      </c>
      <c r="C68" s="128"/>
      <c r="D68" s="128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27" t="s">
        <v>137</v>
      </c>
      <c r="C74" s="128"/>
      <c r="D74" s="128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27" t="s">
        <v>138</v>
      </c>
      <c r="C80" s="128"/>
      <c r="D80" s="128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27" t="s">
        <v>139</v>
      </c>
      <c r="C84" s="128"/>
      <c r="D84" s="128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38" t="s">
        <v>140</v>
      </c>
      <c r="C87" s="139"/>
      <c r="D87" s="139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27" t="s">
        <v>141</v>
      </c>
      <c r="C93" s="128"/>
      <c r="D93" s="128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36" t="s">
        <v>142</v>
      </c>
      <c r="C95" s="137"/>
      <c r="D95" s="137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27" t="s">
        <v>143</v>
      </c>
      <c r="C100" s="128"/>
      <c r="D100" s="128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38" t="s">
        <v>144</v>
      </c>
      <c r="C102" s="139"/>
      <c r="D102" s="139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27" t="s">
        <v>145</v>
      </c>
      <c r="C108" s="128"/>
      <c r="D108" s="128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27" t="s">
        <v>146</v>
      </c>
      <c r="C112" s="128"/>
      <c r="D112" s="128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7" t="s">
        <v>135</v>
      </c>
      <c r="C65" s="128"/>
      <c r="D65" s="12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7" t="s">
        <v>136</v>
      </c>
      <c r="C70" s="128"/>
      <c r="D70" s="12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7" t="s">
        <v>137</v>
      </c>
      <c r="C76" s="128"/>
      <c r="D76" s="12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7" t="s">
        <v>138</v>
      </c>
      <c r="C82" s="128"/>
      <c r="D82" s="12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7" t="s">
        <v>139</v>
      </c>
      <c r="C86" s="128"/>
      <c r="D86" s="12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8" t="s">
        <v>140</v>
      </c>
      <c r="C89" s="139"/>
      <c r="D89" s="139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27" t="s">
        <v>141</v>
      </c>
      <c r="C95" s="128"/>
      <c r="D95" s="12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6" t="s">
        <v>142</v>
      </c>
      <c r="C97" s="137"/>
      <c r="D97" s="137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7" t="s">
        <v>143</v>
      </c>
      <c r="C102" s="128"/>
      <c r="D102" s="12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8" t="s">
        <v>144</v>
      </c>
      <c r="C104" s="139"/>
      <c r="D104" s="139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7" t="s">
        <v>145</v>
      </c>
      <c r="C110" s="128"/>
      <c r="D110" s="12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7" t="s">
        <v>146</v>
      </c>
      <c r="C114" s="128"/>
      <c r="D114" s="12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27" t="s">
        <v>135</v>
      </c>
      <c r="C65" s="128"/>
      <c r="D65" s="128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27" t="s">
        <v>136</v>
      </c>
      <c r="C70" s="128"/>
      <c r="D70" s="128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27" t="s">
        <v>137</v>
      </c>
      <c r="C76" s="128"/>
      <c r="D76" s="128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27" t="s">
        <v>138</v>
      </c>
      <c r="C82" s="128"/>
      <c r="D82" s="128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27" t="s">
        <v>139</v>
      </c>
      <c r="C86" s="128"/>
      <c r="D86" s="128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38" t="s">
        <v>140</v>
      </c>
      <c r="C89" s="139"/>
      <c r="D89" s="139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27" t="s">
        <v>141</v>
      </c>
      <c r="C95" s="128"/>
      <c r="D95" s="128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36" t="s">
        <v>142</v>
      </c>
      <c r="C97" s="137"/>
      <c r="D97" s="137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27" t="s">
        <v>143</v>
      </c>
      <c r="C102" s="128"/>
      <c r="D102" s="128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38" t="s">
        <v>144</v>
      </c>
      <c r="C104" s="139"/>
      <c r="D104" s="139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27" t="s">
        <v>145</v>
      </c>
      <c r="C110" s="128"/>
      <c r="D110" s="128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27" t="s">
        <v>146</v>
      </c>
      <c r="C114" s="128"/>
      <c r="D114" s="128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9"/>
  <sheetViews>
    <sheetView topLeftCell="B55" zoomScaleNormal="100" zoomScaleSheetLayoutView="80" workbookViewId="0">
      <selection activeCell="H61" sqref="H6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E9+E67+E72+E78+E84+E88+E91+E97+E99+E104+E106+E112+E116</f>
        <v>43519740.100000001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SUM(E10:E65)</f>
        <v>4255073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</row>
    <row r="27" spans="2:8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</row>
    <row r="28" spans="2:8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</row>
    <row r="29" spans="2:8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</row>
    <row r="30" spans="2:8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</row>
    <row r="31" spans="2:8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</row>
    <row r="32" spans="2:8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</row>
    <row r="33" spans="2:8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</row>
    <row r="34" spans="2:8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</row>
    <row r="35" spans="2:8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</row>
    <row r="36" spans="2:8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</row>
    <row r="37" spans="2:8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</row>
    <row r="39" spans="2:8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</row>
    <row r="42" spans="2:8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</row>
    <row r="43" spans="2:8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</row>
    <row r="44" spans="2:8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</row>
    <row r="45" spans="2:8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</row>
    <row r="46" spans="2:8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</row>
    <row r="48" spans="2:8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</row>
    <row r="49" spans="2:10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</row>
    <row r="50" spans="2:10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</row>
    <row r="51" spans="2:10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20"/>
    </row>
    <row r="52" spans="2:10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</row>
    <row r="53" spans="2:10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</row>
    <row r="54" spans="2:10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</row>
    <row r="55" spans="2:10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</row>
    <row r="56" spans="2:10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</row>
    <row r="57" spans="2:10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</row>
    <row r="58" spans="2:10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</row>
    <row r="59" spans="2:10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</row>
    <row r="60" spans="2:10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</row>
    <row r="61" spans="2:10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</row>
    <row r="62" spans="2:10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</row>
    <row r="63" spans="2:10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</row>
    <row r="64" spans="2:10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</row>
    <row r="67" spans="2:13" s="1" customFormat="1" ht="75" customHeight="1">
      <c r="B67" s="127" t="s">
        <v>135</v>
      </c>
      <c r="C67" s="128"/>
      <c r="D67" s="128"/>
      <c r="E67" s="16">
        <f>SUM(E68:E71)</f>
        <v>1710000</v>
      </c>
      <c r="F67" s="13"/>
      <c r="G67" s="14"/>
      <c r="H67" s="10"/>
      <c r="I67" s="61"/>
      <c r="J67" s="62"/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62"/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/>
    </row>
    <row r="72" spans="2:13" s="1" customFormat="1" ht="31.5" customHeight="1">
      <c r="B72" s="127" t="s">
        <v>136</v>
      </c>
      <c r="C72" s="128"/>
      <c r="D72" s="128"/>
      <c r="E72" s="16">
        <f>SUM(E73:E77)</f>
        <v>22370000</v>
      </c>
      <c r="F72" s="13"/>
      <c r="G72" s="9"/>
      <c r="H72" s="10"/>
      <c r="I72" s="61"/>
      <c r="J72" s="62"/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62"/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62"/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/>
      <c r="K77" s="62"/>
    </row>
    <row r="78" spans="2:13" s="1" customFormat="1" ht="60" customHeight="1">
      <c r="B78" s="127" t="s">
        <v>137</v>
      </c>
      <c r="C78" s="128"/>
      <c r="D78" s="128"/>
      <c r="E78" s="16">
        <f>SUM(E79:E83)</f>
        <v>1700000</v>
      </c>
      <c r="F78" s="13"/>
      <c r="G78" s="14"/>
      <c r="H78" s="10"/>
      <c r="I78" s="61"/>
      <c r="J78" s="105"/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62"/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/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</row>
    <row r="84" spans="2:11" s="1" customFormat="1" ht="65.25" customHeight="1">
      <c r="B84" s="127" t="s">
        <v>138</v>
      </c>
      <c r="C84" s="128"/>
      <c r="D84" s="128"/>
      <c r="E84" s="16">
        <f>SUM(E85:E87)</f>
        <v>1753700.5</v>
      </c>
      <c r="F84" s="13"/>
      <c r="G84" s="14"/>
      <c r="H84" s="10"/>
      <c r="I84" s="61"/>
      <c r="J84" s="62"/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K87" s="62"/>
    </row>
    <row r="88" spans="2:11" s="1" customFormat="1" ht="61.5" customHeight="1">
      <c r="B88" s="127" t="s">
        <v>139</v>
      </c>
      <c r="C88" s="128"/>
      <c r="D88" s="128"/>
      <c r="E88" s="16">
        <f>SUM(E89:E90)</f>
        <v>184166.6</v>
      </c>
      <c r="F88" s="13"/>
      <c r="G88" s="14"/>
      <c r="H88" s="10"/>
      <c r="I88" s="61"/>
      <c r="J88" s="62"/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</row>
    <row r="91" spans="2:11" s="1" customFormat="1" ht="65.25" customHeight="1">
      <c r="B91" s="138" t="s">
        <v>140</v>
      </c>
      <c r="C91" s="139"/>
      <c r="D91" s="139"/>
      <c r="E91" s="16">
        <f>SUM(E92:E96)</f>
        <v>1090000</v>
      </c>
      <c r="F91" s="13"/>
      <c r="G91" s="14"/>
      <c r="H91" s="60"/>
      <c r="I91" s="61"/>
      <c r="J91" s="62"/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62"/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</row>
    <row r="97" spans="2:11" s="1" customFormat="1" ht="80.25" customHeight="1">
      <c r="B97" s="127" t="s">
        <v>141</v>
      </c>
      <c r="C97" s="128"/>
      <c r="D97" s="128"/>
      <c r="E97" s="16">
        <f>SUM(E98:E98)</f>
        <v>1250000</v>
      </c>
      <c r="F97" s="13"/>
      <c r="G97" s="14"/>
      <c r="H97" s="10"/>
      <c r="I97" s="61"/>
      <c r="J97" s="62"/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</row>
    <row r="99" spans="2:11" s="1" customFormat="1" ht="57.75" customHeight="1">
      <c r="B99" s="136" t="s">
        <v>142</v>
      </c>
      <c r="C99" s="137"/>
      <c r="D99" s="137"/>
      <c r="E99" s="57">
        <f>SUM(E100:E103)</f>
        <v>4000000</v>
      </c>
      <c r="F99" s="58"/>
      <c r="G99" s="58"/>
      <c r="H99" s="59"/>
      <c r="I99" s="61"/>
      <c r="J99" s="62"/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</row>
    <row r="104" spans="2:11" ht="122.25" customHeight="1">
      <c r="B104" s="127" t="s">
        <v>143</v>
      </c>
      <c r="C104" s="128"/>
      <c r="D104" s="128"/>
      <c r="E104" s="16">
        <f>SUM(E105)</f>
        <v>2190000</v>
      </c>
      <c r="F104" s="13"/>
      <c r="G104" s="14"/>
      <c r="H104" s="10"/>
      <c r="I104" s="61"/>
      <c r="J104" s="63">
        <f>E99-4000000</f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</row>
    <row r="106" spans="2:11" s="1" customFormat="1" ht="57" customHeight="1">
      <c r="B106" s="138" t="s">
        <v>144</v>
      </c>
      <c r="C106" s="139"/>
      <c r="D106" s="139"/>
      <c r="E106" s="16">
        <f>SUM(E107:E111)</f>
        <v>474000</v>
      </c>
      <c r="F106" s="13"/>
      <c r="G106" s="60"/>
      <c r="H106" s="60"/>
      <c r="I106" s="61"/>
      <c r="J106" s="62"/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62"/>
      <c r="K110" s="62"/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62"/>
      <c r="K111" s="62"/>
    </row>
    <row r="112" spans="2:11" ht="59.25" customHeight="1">
      <c r="B112" s="127" t="s">
        <v>145</v>
      </c>
      <c r="C112" s="128"/>
      <c r="D112" s="128"/>
      <c r="E112" s="16">
        <f>SUM(E113:E115)</f>
        <v>2100000</v>
      </c>
      <c r="F112" s="13"/>
      <c r="G112" s="14"/>
      <c r="H112" s="10"/>
      <c r="I112" s="61"/>
      <c r="J112" s="63"/>
    </row>
    <row r="113" spans="2:10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</row>
    <row r="114" spans="2:10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</row>
    <row r="115" spans="2:10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</row>
    <row r="116" spans="2:10" ht="70.5" customHeight="1">
      <c r="B116" s="127" t="s">
        <v>146</v>
      </c>
      <c r="C116" s="128"/>
      <c r="D116" s="128"/>
      <c r="E116" s="16">
        <f>SUM(E117:E119)</f>
        <v>442800</v>
      </c>
      <c r="F116" s="13"/>
      <c r="G116" s="14"/>
      <c r="H116" s="10"/>
      <c r="I116" s="61"/>
      <c r="J116" s="63"/>
    </row>
    <row r="117" spans="2:10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</row>
    <row r="118" spans="2:10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</row>
    <row r="119" spans="2:10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0"/>
  <sheetViews>
    <sheetView topLeftCell="B16" zoomScaleNormal="100" zoomScaleSheetLayoutView="80" workbookViewId="0">
      <selection activeCell="E87" sqref="E87:E8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E9+E68+E73+E79+E85+E89+E92+E98+E100+E105+E107+E113+E117</f>
        <v>43523496.100000001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SUM(E10:E66)</f>
        <v>4258829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</row>
    <row r="23" spans="2:8" s="18" customFormat="1" ht="42" customHeight="1">
      <c r="B23" s="67" t="s">
        <v>132</v>
      </c>
      <c r="C23" s="68" t="s">
        <v>174</v>
      </c>
      <c r="D23" s="68" t="s">
        <v>175</v>
      </c>
      <c r="E23" s="69">
        <v>3756</v>
      </c>
      <c r="F23" s="70" t="s">
        <v>91</v>
      </c>
      <c r="G23" s="71" t="s">
        <v>172</v>
      </c>
      <c r="H23" s="72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7" t="s">
        <v>135</v>
      </c>
      <c r="C68" s="128"/>
      <c r="D68" s="12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7" t="s">
        <v>136</v>
      </c>
      <c r="C73" s="128"/>
      <c r="D73" s="12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7" t="s">
        <v>137</v>
      </c>
      <c r="C79" s="128"/>
      <c r="D79" s="12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7" t="s">
        <v>138</v>
      </c>
      <c r="C85" s="128"/>
      <c r="D85" s="12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104" t="s">
        <v>132</v>
      </c>
      <c r="C86" s="36" t="s">
        <v>25</v>
      </c>
      <c r="D86" s="36" t="s">
        <v>69</v>
      </c>
      <c r="E86" s="24">
        <v>55000</v>
      </c>
      <c r="F86" s="43" t="s">
        <v>64</v>
      </c>
      <c r="G86" s="26" t="s">
        <v>125</v>
      </c>
      <c r="H86" s="44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104" t="s">
        <v>132</v>
      </c>
      <c r="C88" s="23">
        <v>85100000</v>
      </c>
      <c r="D88" s="23" t="s">
        <v>71</v>
      </c>
      <c r="E88" s="24">
        <f>1460000+111200</f>
        <v>1571200</v>
      </c>
      <c r="F88" s="25" t="s">
        <v>61</v>
      </c>
      <c r="G88" s="26" t="s">
        <v>125</v>
      </c>
      <c r="H88" s="48" t="s">
        <v>98</v>
      </c>
      <c r="K88" s="62"/>
    </row>
    <row r="89" spans="2:11" s="1" customFormat="1" ht="61.5" customHeight="1">
      <c r="B89" s="127" t="s">
        <v>139</v>
      </c>
      <c r="C89" s="128"/>
      <c r="D89" s="12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8" t="s">
        <v>140</v>
      </c>
      <c r="C92" s="139"/>
      <c r="D92" s="139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7" t="s">
        <v>141</v>
      </c>
      <c r="C98" s="128"/>
      <c r="D98" s="12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6" t="s">
        <v>142</v>
      </c>
      <c r="C100" s="137"/>
      <c r="D100" s="137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7" t="s">
        <v>143</v>
      </c>
      <c r="C105" s="128"/>
      <c r="D105" s="12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8" t="s">
        <v>144</v>
      </c>
      <c r="C107" s="139"/>
      <c r="D107" s="139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7" t="s">
        <v>145</v>
      </c>
      <c r="C113" s="128"/>
      <c r="D113" s="128"/>
      <c r="E113" s="16">
        <f>SUM(E114:E116)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5" t="s">
        <v>132</v>
      </c>
      <c r="C114" s="23" t="s">
        <v>25</v>
      </c>
      <c r="D114" s="23" t="s">
        <v>69</v>
      </c>
      <c r="E114" s="56">
        <f>2100000-115976</f>
        <v>1984024</v>
      </c>
      <c r="F114" s="25" t="s">
        <v>64</v>
      </c>
      <c r="G114" s="26" t="s">
        <v>125</v>
      </c>
      <c r="H114" s="53"/>
    </row>
    <row r="115" spans="2:10" s="1" customFormat="1" ht="42.75" customHeight="1">
      <c r="B115" s="104" t="s">
        <v>132</v>
      </c>
      <c r="C115" s="23" t="s">
        <v>156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80.25" customHeight="1">
      <c r="B116" s="104" t="s">
        <v>132</v>
      </c>
      <c r="C116" s="23" t="s">
        <v>154</v>
      </c>
      <c r="D116" s="23" t="s">
        <v>155</v>
      </c>
      <c r="E116" s="24">
        <f>115976-5976</f>
        <v>110000</v>
      </c>
      <c r="F116" s="25" t="s">
        <v>61</v>
      </c>
      <c r="G116" s="26" t="s">
        <v>152</v>
      </c>
      <c r="H116" s="48" t="s">
        <v>98</v>
      </c>
    </row>
    <row r="117" spans="2:10" ht="70.5" customHeight="1">
      <c r="B117" s="127" t="s">
        <v>146</v>
      </c>
      <c r="C117" s="128"/>
      <c r="D117" s="128"/>
      <c r="E117" s="16">
        <f>SUM(E118:E120)</f>
        <v>442800</v>
      </c>
      <c r="F117" s="13"/>
      <c r="G117" s="14"/>
      <c r="H117" s="10"/>
      <c r="I117" s="61"/>
      <c r="J117" s="63"/>
    </row>
    <row r="118" spans="2:10" s="18" customFormat="1" ht="33.75">
      <c r="B118" s="65" t="s">
        <v>132</v>
      </c>
      <c r="C118" s="99" t="s">
        <v>32</v>
      </c>
      <c r="D118" s="99" t="s">
        <v>29</v>
      </c>
      <c r="E118" s="56">
        <f>264000-4020</f>
        <v>259980</v>
      </c>
      <c r="F118" s="100" t="s">
        <v>64</v>
      </c>
      <c r="G118" s="80" t="s">
        <v>125</v>
      </c>
      <c r="H118" s="101"/>
    </row>
    <row r="119" spans="2:10" s="18" customFormat="1" ht="33.75">
      <c r="B119" s="65" t="s">
        <v>132</v>
      </c>
      <c r="C119" s="28" t="s">
        <v>7</v>
      </c>
      <c r="D119" s="28" t="s">
        <v>28</v>
      </c>
      <c r="E119" s="24">
        <v>132000</v>
      </c>
      <c r="F119" s="29" t="s">
        <v>64</v>
      </c>
      <c r="G119" s="26" t="s">
        <v>125</v>
      </c>
      <c r="H119" s="55"/>
    </row>
    <row r="120" spans="2:10" s="1" customFormat="1" ht="33.75">
      <c r="B120" s="104" t="s">
        <v>132</v>
      </c>
      <c r="C120" s="23" t="s">
        <v>14</v>
      </c>
      <c r="D120" s="23" t="s">
        <v>40</v>
      </c>
      <c r="E120" s="24">
        <f>4020+46800</f>
        <v>50820</v>
      </c>
      <c r="F120" s="25" t="s">
        <v>60</v>
      </c>
      <c r="G120" s="26" t="s">
        <v>125</v>
      </c>
      <c r="H120" s="23"/>
    </row>
  </sheetData>
  <autoFilter ref="A8:H120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7:D117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25" zoomScaleNormal="100" zoomScaleSheetLayoutView="80" workbookViewId="0">
      <selection activeCell="E32" sqref="E3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7" t="s">
        <v>135</v>
      </c>
      <c r="C68" s="128"/>
      <c r="D68" s="12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7" t="s">
        <v>136</v>
      </c>
      <c r="C73" s="128"/>
      <c r="D73" s="12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7" t="s">
        <v>137</v>
      </c>
      <c r="C79" s="128"/>
      <c r="D79" s="12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7" t="s">
        <v>138</v>
      </c>
      <c r="C85" s="128"/>
      <c r="D85" s="12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7" t="s">
        <v>139</v>
      </c>
      <c r="C89" s="128"/>
      <c r="D89" s="12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8" t="s">
        <v>140</v>
      </c>
      <c r="C92" s="139"/>
      <c r="D92" s="139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7" t="s">
        <v>141</v>
      </c>
      <c r="C98" s="128"/>
      <c r="D98" s="12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6" t="s">
        <v>142</v>
      </c>
      <c r="C100" s="137"/>
      <c r="D100" s="137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7" t="s">
        <v>143</v>
      </c>
      <c r="C105" s="128"/>
      <c r="D105" s="12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8" t="s">
        <v>144</v>
      </c>
      <c r="C107" s="139"/>
      <c r="D107" s="139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7" t="s">
        <v>145</v>
      </c>
      <c r="C113" s="128"/>
      <c r="D113" s="12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7" t="s">
        <v>146</v>
      </c>
      <c r="C118" s="128"/>
      <c r="D118" s="12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  <mergeCell ref="B113:D113"/>
    <mergeCell ref="B118:D118"/>
    <mergeCell ref="B89:D89"/>
    <mergeCell ref="B92:D92"/>
    <mergeCell ref="B98:D98"/>
    <mergeCell ref="B100:D100"/>
    <mergeCell ref="B105:D105"/>
    <mergeCell ref="B107:D10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topLeftCell="B34" zoomScaleNormal="100" zoomScaleSheetLayoutView="80" workbookViewId="0">
      <selection activeCell="D124" sqref="D12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E9+E68+E73+E79+E85+E89+E92+E98+E100+E105+E107+E113+E118</f>
        <v>43523576.100000001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SUM(E10:E66)</f>
        <v>4258909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</f>
        <v>7513</v>
      </c>
      <c r="F16" s="70" t="s">
        <v>60</v>
      </c>
      <c r="G16" s="71" t="s">
        <v>125</v>
      </c>
      <c r="H16" s="68"/>
    </row>
    <row r="17" spans="2:8" s="18" customFormat="1" ht="49.5" customHeight="1">
      <c r="B17" s="67" t="s">
        <v>132</v>
      </c>
      <c r="C17" s="68" t="s">
        <v>39</v>
      </c>
      <c r="D17" s="68" t="s">
        <v>58</v>
      </c>
      <c r="E17" s="69">
        <f>60000+9000+15587</f>
        <v>84587</v>
      </c>
      <c r="F17" s="70" t="s">
        <v>64</v>
      </c>
      <c r="G17" s="71" t="s">
        <v>125</v>
      </c>
      <c r="H17" s="6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7" t="s">
        <v>147</v>
      </c>
      <c r="C22" s="68" t="s">
        <v>43</v>
      </c>
      <c r="D22" s="68" t="s">
        <v>42</v>
      </c>
      <c r="E22" s="69">
        <f>10000+7260+80</f>
        <v>17340</v>
      </c>
      <c r="F22" s="70" t="s">
        <v>60</v>
      </c>
      <c r="G22" s="71" t="s">
        <v>125</v>
      </c>
      <c r="H22" s="97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f>10000+30000</f>
        <v>40000</v>
      </c>
      <c r="F32" s="79" t="s">
        <v>61</v>
      </c>
      <c r="G32" s="80" t="s">
        <v>125</v>
      </c>
      <c r="H32" s="102" t="s">
        <v>66</v>
      </c>
    </row>
    <row r="33" spans="2:8" s="1" customFormat="1" ht="92.25" customHeight="1">
      <c r="B33" s="104" t="s">
        <v>132</v>
      </c>
      <c r="C33" s="23" t="s">
        <v>59</v>
      </c>
      <c r="D33" s="23" t="s">
        <v>62</v>
      </c>
      <c r="E33" s="24">
        <f>120000-30000+15000</f>
        <v>105000</v>
      </c>
      <c r="F33" s="25" t="s">
        <v>64</v>
      </c>
      <c r="G33" s="26" t="s">
        <v>125</v>
      </c>
      <c r="H33" s="36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v>2080</v>
      </c>
      <c r="F34" s="79" t="s">
        <v>61</v>
      </c>
      <c r="G34" s="80" t="s">
        <v>160</v>
      </c>
      <c r="H34" s="102" t="s">
        <v>85</v>
      </c>
    </row>
    <row r="35" spans="2:8" s="18" customFormat="1" ht="92.25" customHeight="1">
      <c r="B35" s="65" t="s">
        <v>132</v>
      </c>
      <c r="C35" s="23" t="s">
        <v>107</v>
      </c>
      <c r="D35" s="23" t="s">
        <v>108</v>
      </c>
      <c r="E35" s="56">
        <v>50000</v>
      </c>
      <c r="F35" s="25" t="s">
        <v>64</v>
      </c>
      <c r="G35" s="26" t="s">
        <v>125</v>
      </c>
      <c r="H35" s="31"/>
    </row>
    <row r="36" spans="2:8" s="18" customFormat="1" ht="92.25" customHeight="1">
      <c r="B36" s="65" t="s">
        <v>132</v>
      </c>
      <c r="C36" s="23" t="s">
        <v>105</v>
      </c>
      <c r="D36" s="23" t="s">
        <v>106</v>
      </c>
      <c r="E36" s="56">
        <v>310000</v>
      </c>
      <c r="F36" s="25" t="s">
        <v>64</v>
      </c>
      <c r="G36" s="26" t="s">
        <v>125</v>
      </c>
      <c r="H36" s="36"/>
    </row>
    <row r="37" spans="2:8" s="18" customFormat="1" ht="92.25" customHeight="1">
      <c r="B37" s="65" t="s">
        <v>147</v>
      </c>
      <c r="C37" s="23" t="s">
        <v>109</v>
      </c>
      <c r="D37" s="23" t="s">
        <v>110</v>
      </c>
      <c r="E37" s="56">
        <f>60000+45000-20000</f>
        <v>85000</v>
      </c>
      <c r="F37" s="25" t="s">
        <v>64</v>
      </c>
      <c r="G37" s="26" t="s">
        <v>125</v>
      </c>
      <c r="H37" s="36"/>
    </row>
    <row r="38" spans="2:8" s="18" customFormat="1" ht="102.75" customHeight="1">
      <c r="B38" s="65" t="s">
        <v>132</v>
      </c>
      <c r="C38" s="23" t="s">
        <v>86</v>
      </c>
      <c r="D38" s="23" t="s">
        <v>87</v>
      </c>
      <c r="E38" s="56">
        <v>8000</v>
      </c>
      <c r="F38" s="25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23">
        <v>50700000</v>
      </c>
      <c r="D39" s="23" t="s">
        <v>13</v>
      </c>
      <c r="E39" s="56">
        <f>1600000-59200</f>
        <v>1540800</v>
      </c>
      <c r="F39" s="23" t="s">
        <v>61</v>
      </c>
      <c r="G39" s="26" t="s">
        <v>125</v>
      </c>
      <c r="H39" s="23" t="s">
        <v>99</v>
      </c>
    </row>
    <row r="40" spans="2:8" s="18" customFormat="1" ht="115.5" customHeight="1">
      <c r="B40" s="65" t="s">
        <v>132</v>
      </c>
      <c r="C40" s="78">
        <v>50700000</v>
      </c>
      <c r="D40" s="78" t="s">
        <v>13</v>
      </c>
      <c r="E40" s="56">
        <f>93000-45000+20000+46148</f>
        <v>114148</v>
      </c>
      <c r="F40" s="78" t="s">
        <v>64</v>
      </c>
      <c r="G40" s="80" t="s">
        <v>125</v>
      </c>
      <c r="H40" s="78"/>
    </row>
    <row r="41" spans="2:8" s="18" customFormat="1" ht="115.5" customHeight="1">
      <c r="B41" s="65" t="s">
        <v>132</v>
      </c>
      <c r="C41" s="78" t="s">
        <v>117</v>
      </c>
      <c r="D41" s="78" t="s">
        <v>118</v>
      </c>
      <c r="E41" s="56">
        <f>120000+68250</f>
        <v>188250</v>
      </c>
      <c r="F41" s="78" t="s">
        <v>64</v>
      </c>
      <c r="G41" s="80" t="s">
        <v>125</v>
      </c>
      <c r="H41" s="78"/>
    </row>
    <row r="42" spans="2:8" s="18" customFormat="1" ht="115.5" customHeight="1">
      <c r="B42" s="65" t="s">
        <v>132</v>
      </c>
      <c r="C42" s="23" t="s">
        <v>111</v>
      </c>
      <c r="D42" s="23" t="s">
        <v>112</v>
      </c>
      <c r="E42" s="56">
        <v>120000</v>
      </c>
      <c r="F42" s="23" t="s">
        <v>64</v>
      </c>
      <c r="G42" s="26" t="s">
        <v>125</v>
      </c>
      <c r="H42" s="23"/>
    </row>
    <row r="43" spans="2:8" s="18" customFormat="1" ht="58.5" customHeight="1">
      <c r="B43" s="65" t="s">
        <v>132</v>
      </c>
      <c r="C43" s="30">
        <v>63700000</v>
      </c>
      <c r="D43" s="23" t="s">
        <v>70</v>
      </c>
      <c r="E43" s="56">
        <v>2000</v>
      </c>
      <c r="F43" s="25" t="s">
        <v>61</v>
      </c>
      <c r="G43" s="26" t="s">
        <v>125</v>
      </c>
      <c r="H43" s="26" t="s">
        <v>85</v>
      </c>
    </row>
    <row r="44" spans="2:8" s="18" customFormat="1" ht="63.75" customHeight="1">
      <c r="B44" s="65" t="s">
        <v>132</v>
      </c>
      <c r="C44" s="23" t="s">
        <v>47</v>
      </c>
      <c r="D44" s="23" t="s">
        <v>48</v>
      </c>
      <c r="E44" s="56">
        <v>6000</v>
      </c>
      <c r="F44" s="25" t="s">
        <v>64</v>
      </c>
      <c r="G44" s="26" t="s">
        <v>125</v>
      </c>
      <c r="H44" s="23"/>
    </row>
    <row r="45" spans="2:8" s="18" customFormat="1" ht="33.75">
      <c r="B45" s="65" t="s">
        <v>132</v>
      </c>
      <c r="C45" s="38" t="s">
        <v>18</v>
      </c>
      <c r="D45" s="23" t="s">
        <v>46</v>
      </c>
      <c r="E45" s="56">
        <v>25000</v>
      </c>
      <c r="F45" s="25" t="s">
        <v>64</v>
      </c>
      <c r="G45" s="26" t="s">
        <v>125</v>
      </c>
      <c r="H45" s="33"/>
    </row>
    <row r="46" spans="2:8" s="18" customFormat="1" ht="56.25">
      <c r="B46" s="65" t="s">
        <v>132</v>
      </c>
      <c r="C46" s="38" t="s">
        <v>18</v>
      </c>
      <c r="D46" s="23" t="s">
        <v>46</v>
      </c>
      <c r="E46" s="56">
        <v>25500</v>
      </c>
      <c r="F46" s="25" t="s">
        <v>61</v>
      </c>
      <c r="G46" s="26" t="s">
        <v>125</v>
      </c>
      <c r="H46" s="26" t="s">
        <v>96</v>
      </c>
    </row>
    <row r="47" spans="2:8" s="18" customFormat="1" ht="56.25">
      <c r="B47" s="65" t="s">
        <v>132</v>
      </c>
      <c r="C47" s="77" t="s">
        <v>161</v>
      </c>
      <c r="D47" s="78" t="s">
        <v>46</v>
      </c>
      <c r="E47" s="56">
        <v>9000</v>
      </c>
      <c r="F47" s="79" t="s">
        <v>61</v>
      </c>
      <c r="G47" s="80" t="s">
        <v>152</v>
      </c>
      <c r="H47" s="80" t="s">
        <v>162</v>
      </c>
    </row>
    <row r="48" spans="2:8" s="18" customFormat="1" ht="33.75">
      <c r="B48" s="65" t="s">
        <v>132</v>
      </c>
      <c r="C48" s="38" t="s">
        <v>18</v>
      </c>
      <c r="D48" s="23" t="s">
        <v>46</v>
      </c>
      <c r="E48" s="56">
        <v>24000</v>
      </c>
      <c r="F48" s="25" t="s">
        <v>60</v>
      </c>
      <c r="G48" s="26" t="s">
        <v>125</v>
      </c>
      <c r="H48" s="33"/>
    </row>
    <row r="49" spans="2:10" s="18" customFormat="1" ht="33.75">
      <c r="B49" s="65" t="s">
        <v>134</v>
      </c>
      <c r="C49" s="38" t="s">
        <v>114</v>
      </c>
      <c r="D49" s="23" t="s">
        <v>113</v>
      </c>
      <c r="E49" s="56">
        <v>30000</v>
      </c>
      <c r="F49" s="25" t="s">
        <v>64</v>
      </c>
      <c r="G49" s="26" t="s">
        <v>125</v>
      </c>
      <c r="H49" s="26"/>
    </row>
    <row r="50" spans="2:10" s="18" customFormat="1" ht="33.75">
      <c r="B50" s="65" t="s">
        <v>132</v>
      </c>
      <c r="C50" s="38" t="s">
        <v>55</v>
      </c>
      <c r="D50" s="23" t="s">
        <v>56</v>
      </c>
      <c r="E50" s="56">
        <v>1680</v>
      </c>
      <c r="F50" s="25" t="s">
        <v>91</v>
      </c>
      <c r="G50" s="26" t="s">
        <v>125</v>
      </c>
      <c r="H50" s="33"/>
    </row>
    <row r="51" spans="2:10" s="18" customFormat="1" ht="57" customHeight="1">
      <c r="B51" s="65" t="s">
        <v>132</v>
      </c>
      <c r="C51" s="77" t="s">
        <v>17</v>
      </c>
      <c r="D51" s="78" t="s">
        <v>16</v>
      </c>
      <c r="E51" s="56">
        <f>90000+34000</f>
        <v>124000</v>
      </c>
      <c r="F51" s="79" t="s">
        <v>61</v>
      </c>
      <c r="G51" s="80" t="s">
        <v>125</v>
      </c>
      <c r="H51" s="80" t="s">
        <v>67</v>
      </c>
    </row>
    <row r="52" spans="2:10" s="18" customFormat="1" ht="65.25" customHeight="1">
      <c r="B52" s="65" t="s">
        <v>132</v>
      </c>
      <c r="C52" s="77" t="s">
        <v>17</v>
      </c>
      <c r="D52" s="78" t="s">
        <v>16</v>
      </c>
      <c r="E52" s="56">
        <f>150+400+266+21+350</f>
        <v>1187</v>
      </c>
      <c r="F52" s="79" t="s">
        <v>61</v>
      </c>
      <c r="G52" s="80" t="s">
        <v>125</v>
      </c>
      <c r="H52" s="80"/>
      <c r="J52" s="20"/>
    </row>
    <row r="53" spans="2:10" s="18" customFormat="1" ht="56.25">
      <c r="B53" s="65" t="s">
        <v>132</v>
      </c>
      <c r="C53" s="38" t="s">
        <v>77</v>
      </c>
      <c r="D53" s="23" t="s">
        <v>78</v>
      </c>
      <c r="E53" s="56">
        <v>3000</v>
      </c>
      <c r="F53" s="25" t="s">
        <v>61</v>
      </c>
      <c r="G53" s="26" t="s">
        <v>125</v>
      </c>
      <c r="H53" s="26" t="s">
        <v>79</v>
      </c>
    </row>
    <row r="54" spans="2:10" s="18" customFormat="1" ht="56.25">
      <c r="B54" s="65" t="s">
        <v>132</v>
      </c>
      <c r="C54" s="77" t="s">
        <v>163</v>
      </c>
      <c r="D54" s="78" t="s">
        <v>164</v>
      </c>
      <c r="E54" s="56">
        <v>500</v>
      </c>
      <c r="F54" s="79" t="s">
        <v>61</v>
      </c>
      <c r="G54" s="80" t="s">
        <v>152</v>
      </c>
      <c r="H54" s="80" t="s">
        <v>79</v>
      </c>
    </row>
    <row r="55" spans="2:10" s="18" customFormat="1" ht="75" customHeight="1">
      <c r="B55" s="65" t="s">
        <v>132</v>
      </c>
      <c r="C55" s="77" t="s">
        <v>25</v>
      </c>
      <c r="D55" s="78" t="s">
        <v>119</v>
      </c>
      <c r="E55" s="56">
        <v>100000</v>
      </c>
      <c r="F55" s="79" t="s">
        <v>64</v>
      </c>
      <c r="G55" s="80" t="s">
        <v>125</v>
      </c>
      <c r="H55" s="80"/>
    </row>
    <row r="56" spans="2:10" s="1" customFormat="1" ht="63.75" customHeight="1">
      <c r="B56" s="104" t="s">
        <v>132</v>
      </c>
      <c r="C56" s="23" t="s">
        <v>45</v>
      </c>
      <c r="D56" s="23" t="s">
        <v>63</v>
      </c>
      <c r="E56" s="24">
        <f>6000+3850</f>
        <v>9850</v>
      </c>
      <c r="F56" s="25" t="s">
        <v>64</v>
      </c>
      <c r="G56" s="26" t="s">
        <v>125</v>
      </c>
      <c r="H56" s="26"/>
    </row>
    <row r="57" spans="2:10" s="18" customFormat="1" ht="63.75" customHeight="1">
      <c r="B57" s="65" t="s">
        <v>132</v>
      </c>
      <c r="C57" s="78" t="s">
        <v>120</v>
      </c>
      <c r="D57" s="78" t="s">
        <v>121</v>
      </c>
      <c r="E57" s="56">
        <v>450</v>
      </c>
      <c r="F57" s="79" t="s">
        <v>61</v>
      </c>
      <c r="G57" s="80" t="s">
        <v>125</v>
      </c>
      <c r="H57" s="80"/>
    </row>
    <row r="58" spans="2:10" s="18" customFormat="1" ht="77.25" customHeight="1">
      <c r="B58" s="65" t="s">
        <v>132</v>
      </c>
      <c r="C58" s="30">
        <v>79700000</v>
      </c>
      <c r="D58" s="23" t="s">
        <v>27</v>
      </c>
      <c r="E58" s="56">
        <v>600000</v>
      </c>
      <c r="F58" s="25" t="s">
        <v>61</v>
      </c>
      <c r="G58" s="26" t="s">
        <v>125</v>
      </c>
      <c r="H58" s="26" t="s">
        <v>80</v>
      </c>
    </row>
    <row r="59" spans="2:10" s="18" customFormat="1" ht="62.25" customHeight="1">
      <c r="B59" s="65" t="s">
        <v>132</v>
      </c>
      <c r="C59" s="30">
        <v>79800000</v>
      </c>
      <c r="D59" s="23" t="s">
        <v>81</v>
      </c>
      <c r="E59" s="56">
        <v>10000</v>
      </c>
      <c r="F59" s="25" t="s">
        <v>64</v>
      </c>
      <c r="G59" s="26" t="s">
        <v>125</v>
      </c>
      <c r="H59" s="26"/>
    </row>
    <row r="60" spans="2:10" s="18" customFormat="1" ht="62.25" customHeight="1">
      <c r="B60" s="65" t="s">
        <v>132</v>
      </c>
      <c r="C60" s="78" t="s">
        <v>53</v>
      </c>
      <c r="D60" s="78" t="s">
        <v>65</v>
      </c>
      <c r="E60" s="56">
        <f>20000+12000-2305</f>
        <v>29695</v>
      </c>
      <c r="F60" s="79" t="s">
        <v>61</v>
      </c>
      <c r="G60" s="80" t="s">
        <v>125</v>
      </c>
      <c r="H60" s="78" t="s">
        <v>68</v>
      </c>
    </row>
    <row r="61" spans="2:10" s="18" customFormat="1" ht="62.25" customHeight="1">
      <c r="B61" s="65" t="s">
        <v>132</v>
      </c>
      <c r="C61" s="78" t="s">
        <v>53</v>
      </c>
      <c r="D61" s="78" t="s">
        <v>65</v>
      </c>
      <c r="E61" s="56">
        <v>2305</v>
      </c>
      <c r="F61" s="79" t="s">
        <v>61</v>
      </c>
      <c r="G61" s="80" t="s">
        <v>173</v>
      </c>
      <c r="H61" s="78"/>
    </row>
    <row r="62" spans="2:10" s="18" customFormat="1" ht="62.25" customHeight="1">
      <c r="B62" s="65" t="s">
        <v>132</v>
      </c>
      <c r="C62" s="38" t="s">
        <v>24</v>
      </c>
      <c r="D62" s="23" t="s">
        <v>71</v>
      </c>
      <c r="E62" s="56">
        <v>12000</v>
      </c>
      <c r="F62" s="25" t="s">
        <v>64</v>
      </c>
      <c r="G62" s="26" t="s">
        <v>125</v>
      </c>
      <c r="H62" s="23"/>
    </row>
    <row r="63" spans="2:10" s="18" customFormat="1" ht="62.25" customHeight="1">
      <c r="B63" s="65" t="s">
        <v>132</v>
      </c>
      <c r="C63" s="38" t="s">
        <v>122</v>
      </c>
      <c r="D63" s="23" t="s">
        <v>123</v>
      </c>
      <c r="E63" s="56">
        <v>1000</v>
      </c>
      <c r="F63" s="25" t="s">
        <v>61</v>
      </c>
      <c r="G63" s="26" t="s">
        <v>125</v>
      </c>
      <c r="H63" s="23"/>
    </row>
    <row r="64" spans="2:10" s="18" customFormat="1" ht="60.75" customHeight="1">
      <c r="B64" s="65" t="s">
        <v>132</v>
      </c>
      <c r="C64" s="78" t="s">
        <v>82</v>
      </c>
      <c r="D64" s="78" t="s">
        <v>83</v>
      </c>
      <c r="E64" s="56">
        <v>10000</v>
      </c>
      <c r="F64" s="79" t="s">
        <v>61</v>
      </c>
      <c r="G64" s="80" t="s">
        <v>125</v>
      </c>
      <c r="H64" s="80" t="s">
        <v>79</v>
      </c>
    </row>
    <row r="65" spans="2:13" s="18" customFormat="1" ht="36.75" customHeight="1">
      <c r="B65" s="65" t="s">
        <v>132</v>
      </c>
      <c r="C65" s="78" t="s">
        <v>12</v>
      </c>
      <c r="D65" s="78" t="s">
        <v>19</v>
      </c>
      <c r="E65" s="56">
        <f>80000+110000</f>
        <v>190000</v>
      </c>
      <c r="F65" s="79" t="s">
        <v>64</v>
      </c>
      <c r="G65" s="80" t="s">
        <v>125</v>
      </c>
      <c r="H65" s="81"/>
    </row>
    <row r="66" spans="2:13" s="18" customFormat="1" ht="54.75" customHeight="1">
      <c r="B66" s="65" t="s">
        <v>132</v>
      </c>
      <c r="C66" s="78" t="s">
        <v>115</v>
      </c>
      <c r="D66" s="78" t="s">
        <v>116</v>
      </c>
      <c r="E66" s="56">
        <v>15000</v>
      </c>
      <c r="F66" s="79" t="s">
        <v>61</v>
      </c>
      <c r="G66" s="80" t="s">
        <v>125</v>
      </c>
      <c r="H66" s="80" t="s">
        <v>79</v>
      </c>
    </row>
    <row r="67" spans="2:13" s="18" customFormat="1" ht="54.75" customHeight="1">
      <c r="B67" s="108" t="s">
        <v>132</v>
      </c>
      <c r="C67" s="78" t="s">
        <v>165</v>
      </c>
      <c r="D67" s="78" t="s">
        <v>166</v>
      </c>
      <c r="E67" s="56">
        <v>4900</v>
      </c>
      <c r="F67" s="79" t="s">
        <v>61</v>
      </c>
      <c r="G67" s="80" t="s">
        <v>152</v>
      </c>
      <c r="H67" s="80" t="s">
        <v>79</v>
      </c>
    </row>
    <row r="68" spans="2:13" s="1" customFormat="1" ht="75" customHeight="1">
      <c r="B68" s="127" t="s">
        <v>135</v>
      </c>
      <c r="C68" s="128"/>
      <c r="D68" s="128"/>
      <c r="E68" s="16">
        <f>SUM(E69:E72)</f>
        <v>1710000</v>
      </c>
      <c r="F68" s="13"/>
      <c r="G68" s="14"/>
      <c r="H68" s="10"/>
      <c r="I68" s="61"/>
      <c r="J68" s="62"/>
    </row>
    <row r="69" spans="2:13" s="1" customFormat="1" ht="59.25" customHeight="1">
      <c r="B69" s="104" t="s">
        <v>132</v>
      </c>
      <c r="C69" s="23" t="s">
        <v>24</v>
      </c>
      <c r="D69" s="23" t="s">
        <v>71</v>
      </c>
      <c r="E69" s="24">
        <f>1710000-142500-E71-E70</f>
        <v>1314302.3999999999</v>
      </c>
      <c r="F69" s="25" t="s">
        <v>64</v>
      </c>
      <c r="G69" s="26" t="s">
        <v>125</v>
      </c>
      <c r="H69" s="41"/>
      <c r="J69" s="62"/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33000</v>
      </c>
      <c r="F70" s="25" t="s">
        <v>61</v>
      </c>
      <c r="G70" s="26" t="s">
        <v>151</v>
      </c>
      <c r="H70" s="48" t="s">
        <v>98</v>
      </c>
      <c r="J70" s="62"/>
    </row>
    <row r="71" spans="2:13" s="1" customFormat="1" ht="67.5">
      <c r="B71" s="104" t="s">
        <v>132</v>
      </c>
      <c r="C71" s="23" t="s">
        <v>103</v>
      </c>
      <c r="D71" s="23" t="s">
        <v>71</v>
      </c>
      <c r="E71" s="24">
        <v>220197.6</v>
      </c>
      <c r="F71" s="25" t="s">
        <v>61</v>
      </c>
      <c r="G71" s="26" t="s">
        <v>150</v>
      </c>
      <c r="H71" s="48" t="s">
        <v>98</v>
      </c>
    </row>
    <row r="72" spans="2:13" s="1" customFormat="1" ht="98.25" customHeight="1">
      <c r="B72" s="104" t="s">
        <v>132</v>
      </c>
      <c r="C72" s="23" t="s">
        <v>24</v>
      </c>
      <c r="D72" s="23" t="s">
        <v>71</v>
      </c>
      <c r="E72" s="24">
        <v>142500</v>
      </c>
      <c r="F72" s="25" t="s">
        <v>61</v>
      </c>
      <c r="G72" s="26" t="s">
        <v>125</v>
      </c>
      <c r="H72" s="48" t="s">
        <v>128</v>
      </c>
      <c r="J72" s="62"/>
    </row>
    <row r="73" spans="2:13" s="1" customFormat="1" ht="31.5" customHeight="1">
      <c r="B73" s="127" t="s">
        <v>136</v>
      </c>
      <c r="C73" s="128"/>
      <c r="D73" s="128"/>
      <c r="E73" s="16">
        <f>SUM(E74:E78)</f>
        <v>22370000</v>
      </c>
      <c r="F73" s="13"/>
      <c r="G73" s="9"/>
      <c r="H73" s="10"/>
      <c r="I73" s="61"/>
      <c r="J73" s="62"/>
    </row>
    <row r="74" spans="2:13" s="1" customFormat="1" ht="75.75" customHeight="1">
      <c r="B74" s="104" t="s">
        <v>132</v>
      </c>
      <c r="C74" s="23" t="s">
        <v>7</v>
      </c>
      <c r="D74" s="23" t="s">
        <v>57</v>
      </c>
      <c r="E74" s="24">
        <f>3750000+400000</f>
        <v>4150000</v>
      </c>
      <c r="F74" s="25" t="s">
        <v>61</v>
      </c>
      <c r="G74" s="26" t="s">
        <v>125</v>
      </c>
      <c r="H74" s="48" t="s">
        <v>97</v>
      </c>
    </row>
    <row r="75" spans="2:13" s="1" customFormat="1" ht="75.75" customHeight="1">
      <c r="B75" s="66" t="s">
        <v>133</v>
      </c>
      <c r="C75" s="23" t="s">
        <v>7</v>
      </c>
      <c r="D75" s="23" t="s">
        <v>57</v>
      </c>
      <c r="E75" s="24">
        <v>100000</v>
      </c>
      <c r="F75" s="25" t="s">
        <v>61</v>
      </c>
      <c r="G75" s="26" t="s">
        <v>125</v>
      </c>
      <c r="H75" s="48" t="s">
        <v>97</v>
      </c>
    </row>
    <row r="76" spans="2:13" s="1" customFormat="1" ht="121.5" customHeight="1">
      <c r="B76" s="104" t="s">
        <v>132</v>
      </c>
      <c r="C76" s="23">
        <v>33600000</v>
      </c>
      <c r="D76" s="23" t="s">
        <v>29</v>
      </c>
      <c r="E76" s="24">
        <f>1440000+270000-22680</f>
        <v>1687320</v>
      </c>
      <c r="F76" s="25" t="s">
        <v>64</v>
      </c>
      <c r="G76" s="26" t="s">
        <v>125</v>
      </c>
      <c r="H76" s="41"/>
      <c r="J76" s="62"/>
      <c r="L76" s="62"/>
      <c r="M76" s="62"/>
    </row>
    <row r="77" spans="2:13" s="1" customFormat="1" ht="121.5" customHeight="1">
      <c r="B77" s="104" t="s">
        <v>132</v>
      </c>
      <c r="C77" s="23" t="s">
        <v>32</v>
      </c>
      <c r="D77" s="23" t="s">
        <v>29</v>
      </c>
      <c r="E77" s="24">
        <v>22680</v>
      </c>
      <c r="F77" s="25" t="s">
        <v>61</v>
      </c>
      <c r="G77" s="26" t="s">
        <v>150</v>
      </c>
      <c r="H77" s="48" t="s">
        <v>157</v>
      </c>
      <c r="J77" s="62"/>
      <c r="L77" s="62"/>
      <c r="M77" s="62"/>
    </row>
    <row r="78" spans="2:13" s="1" customFormat="1" ht="87.75" customHeight="1">
      <c r="B78" s="104" t="s">
        <v>132</v>
      </c>
      <c r="C78" s="23" t="s">
        <v>32</v>
      </c>
      <c r="D78" s="23" t="s">
        <v>29</v>
      </c>
      <c r="E78" s="24">
        <v>16410000</v>
      </c>
      <c r="F78" s="25" t="s">
        <v>61</v>
      </c>
      <c r="G78" s="26" t="s">
        <v>125</v>
      </c>
      <c r="H78" s="48" t="s">
        <v>98</v>
      </c>
      <c r="J78" s="62"/>
      <c r="K78" s="62"/>
    </row>
    <row r="79" spans="2:13" s="1" customFormat="1" ht="60" customHeight="1">
      <c r="B79" s="127" t="s">
        <v>137</v>
      </c>
      <c r="C79" s="128"/>
      <c r="D79" s="128"/>
      <c r="E79" s="16">
        <f>SUM(E80:E84)</f>
        <v>1700000</v>
      </c>
      <c r="F79" s="13"/>
      <c r="G79" s="14"/>
      <c r="H79" s="10"/>
      <c r="I79" s="61"/>
      <c r="J79" s="105"/>
    </row>
    <row r="80" spans="2:13" s="1" customFormat="1" ht="36.75" customHeight="1">
      <c r="B80" s="104" t="s">
        <v>132</v>
      </c>
      <c r="C80" s="23" t="s">
        <v>7</v>
      </c>
      <c r="D80" s="23" t="s">
        <v>28</v>
      </c>
      <c r="E80" s="24">
        <v>42272.9</v>
      </c>
      <c r="F80" s="25" t="s">
        <v>64</v>
      </c>
      <c r="G80" s="26" t="s">
        <v>125</v>
      </c>
      <c r="H80" s="41"/>
    </row>
    <row r="81" spans="2:11" s="1" customFormat="1" ht="51" customHeight="1">
      <c r="B81" s="104" t="s">
        <v>132</v>
      </c>
      <c r="C81" s="23" t="s">
        <v>32</v>
      </c>
      <c r="D81" s="23" t="s">
        <v>29</v>
      </c>
      <c r="E81" s="24">
        <v>60607.14</v>
      </c>
      <c r="F81" s="25" t="s">
        <v>64</v>
      </c>
      <c r="G81" s="26" t="s">
        <v>125</v>
      </c>
      <c r="H81" s="41"/>
      <c r="J81" s="62"/>
    </row>
    <row r="82" spans="2:11" s="1" customFormat="1" ht="45" customHeight="1">
      <c r="B82" s="104" t="s">
        <v>132</v>
      </c>
      <c r="C82" s="23" t="s">
        <v>89</v>
      </c>
      <c r="D82" s="23" t="s">
        <v>90</v>
      </c>
      <c r="E82" s="24">
        <v>798000</v>
      </c>
      <c r="F82" s="25" t="s">
        <v>64</v>
      </c>
      <c r="G82" s="26" t="s">
        <v>125</v>
      </c>
      <c r="H82" s="48"/>
    </row>
    <row r="83" spans="2:11" s="1" customFormat="1" ht="78.75">
      <c r="B83" s="104" t="s">
        <v>132</v>
      </c>
      <c r="C83" s="23" t="s">
        <v>24</v>
      </c>
      <c r="D83" s="23" t="s">
        <v>71</v>
      </c>
      <c r="E83" s="24">
        <v>69239.960000000006</v>
      </c>
      <c r="F83" s="25" t="s">
        <v>61</v>
      </c>
      <c r="G83" s="26" t="s">
        <v>125</v>
      </c>
      <c r="H83" s="48" t="s">
        <v>129</v>
      </c>
      <c r="J83" s="62"/>
    </row>
    <row r="84" spans="2:11" s="1" customFormat="1" ht="67.5">
      <c r="B84" s="104" t="s">
        <v>132</v>
      </c>
      <c r="C84" s="23" t="s">
        <v>24</v>
      </c>
      <c r="D84" s="23" t="s">
        <v>71</v>
      </c>
      <c r="E84" s="24">
        <v>729880</v>
      </c>
      <c r="F84" s="25" t="s">
        <v>61</v>
      </c>
      <c r="G84" s="26" t="s">
        <v>152</v>
      </c>
      <c r="H84" s="48" t="s">
        <v>98</v>
      </c>
    </row>
    <row r="85" spans="2:11" s="1" customFormat="1" ht="65.25" customHeight="1">
      <c r="B85" s="127" t="s">
        <v>138</v>
      </c>
      <c r="C85" s="128"/>
      <c r="D85" s="128"/>
      <c r="E85" s="16">
        <f>SUM(E86:E88)</f>
        <v>1753700.5</v>
      </c>
      <c r="F85" s="13"/>
      <c r="G85" s="14"/>
      <c r="H85" s="10"/>
      <c r="I85" s="61"/>
      <c r="J85" s="62"/>
    </row>
    <row r="86" spans="2:11" s="1" customFormat="1" ht="33.75">
      <c r="B86" s="67" t="s">
        <v>132</v>
      </c>
      <c r="C86" s="91" t="s">
        <v>25</v>
      </c>
      <c r="D86" s="91" t="s">
        <v>69</v>
      </c>
      <c r="E86" s="69">
        <f>55000+145000</f>
        <v>200000</v>
      </c>
      <c r="F86" s="94" t="s">
        <v>64</v>
      </c>
      <c r="G86" s="71" t="s">
        <v>125</v>
      </c>
      <c r="H86" s="95"/>
    </row>
    <row r="87" spans="2:11" s="1" customFormat="1" ht="78.75">
      <c r="B87" s="104" t="s">
        <v>132</v>
      </c>
      <c r="C87" s="23">
        <v>85100000</v>
      </c>
      <c r="D87" s="23" t="s">
        <v>71</v>
      </c>
      <c r="E87" s="24">
        <v>127500.5</v>
      </c>
      <c r="F87" s="25" t="s">
        <v>61</v>
      </c>
      <c r="G87" s="26" t="s">
        <v>125</v>
      </c>
      <c r="H87" s="45" t="s">
        <v>124</v>
      </c>
    </row>
    <row r="88" spans="2:11" s="1" customFormat="1" ht="60.75" customHeight="1">
      <c r="B88" s="67" t="s">
        <v>132</v>
      </c>
      <c r="C88" s="68">
        <v>85100000</v>
      </c>
      <c r="D88" s="68" t="s">
        <v>71</v>
      </c>
      <c r="E88" s="69">
        <f>1460000+111200-145000</f>
        <v>1426200</v>
      </c>
      <c r="F88" s="70" t="s">
        <v>61</v>
      </c>
      <c r="G88" s="71" t="s">
        <v>125</v>
      </c>
      <c r="H88" s="92" t="s">
        <v>98</v>
      </c>
      <c r="K88" s="62"/>
    </row>
    <row r="89" spans="2:11" s="1" customFormat="1" ht="61.5" customHeight="1">
      <c r="B89" s="127" t="s">
        <v>139</v>
      </c>
      <c r="C89" s="128"/>
      <c r="D89" s="128"/>
      <c r="E89" s="16">
        <f>SUM(E90:E91)</f>
        <v>184166.6</v>
      </c>
      <c r="F89" s="13"/>
      <c r="G89" s="14"/>
      <c r="H89" s="10"/>
      <c r="I89" s="61"/>
      <c r="J89" s="62"/>
    </row>
    <row r="90" spans="2:11" s="18" customFormat="1" ht="70.5" customHeight="1">
      <c r="B90" s="65" t="s">
        <v>132</v>
      </c>
      <c r="C90" s="23" t="s">
        <v>24</v>
      </c>
      <c r="D90" s="23" t="s">
        <v>71</v>
      </c>
      <c r="E90" s="56">
        <v>14166.6</v>
      </c>
      <c r="F90" s="25" t="s">
        <v>61</v>
      </c>
      <c r="G90" s="26" t="s">
        <v>125</v>
      </c>
      <c r="H90" s="48" t="s">
        <v>76</v>
      </c>
    </row>
    <row r="91" spans="2:11" s="1" customFormat="1" ht="75" customHeight="1">
      <c r="B91" s="104" t="s">
        <v>132</v>
      </c>
      <c r="C91" s="23" t="s">
        <v>24</v>
      </c>
      <c r="D91" s="23" t="s">
        <v>71</v>
      </c>
      <c r="E91" s="24">
        <v>170000</v>
      </c>
      <c r="F91" s="25" t="s">
        <v>61</v>
      </c>
      <c r="G91" s="26" t="s">
        <v>125</v>
      </c>
      <c r="H91" s="48" t="s">
        <v>98</v>
      </c>
    </row>
    <row r="92" spans="2:11" s="1" customFormat="1" ht="65.25" customHeight="1">
      <c r="B92" s="138" t="s">
        <v>140</v>
      </c>
      <c r="C92" s="139"/>
      <c r="D92" s="139"/>
      <c r="E92" s="16">
        <f>SUM(E93:E97)</f>
        <v>1090000</v>
      </c>
      <c r="F92" s="13"/>
      <c r="G92" s="14"/>
      <c r="H92" s="60"/>
      <c r="I92" s="61"/>
      <c r="J92" s="62"/>
    </row>
    <row r="93" spans="2:11" s="1" customFormat="1" ht="49.5" customHeight="1">
      <c r="B93" s="104" t="s">
        <v>132</v>
      </c>
      <c r="C93" s="23" t="s">
        <v>14</v>
      </c>
      <c r="D93" s="23" t="s">
        <v>15</v>
      </c>
      <c r="E93" s="24">
        <v>24200</v>
      </c>
      <c r="F93" s="25" t="s">
        <v>60</v>
      </c>
      <c r="G93" s="26" t="s">
        <v>125</v>
      </c>
      <c r="H93" s="41"/>
    </row>
    <row r="94" spans="2:11" s="1" customFormat="1" ht="33.75">
      <c r="B94" s="104" t="s">
        <v>132</v>
      </c>
      <c r="C94" s="28">
        <v>33100000</v>
      </c>
      <c r="D94" s="28" t="s">
        <v>28</v>
      </c>
      <c r="E94" s="24">
        <f>240004-87983</f>
        <v>152021</v>
      </c>
      <c r="F94" s="29" t="s">
        <v>64</v>
      </c>
      <c r="G94" s="26" t="s">
        <v>125</v>
      </c>
      <c r="H94" s="46"/>
    </row>
    <row r="95" spans="2:11" s="1" customFormat="1" ht="60.75" customHeight="1">
      <c r="B95" s="104" t="s">
        <v>132</v>
      </c>
      <c r="C95" s="23" t="s">
        <v>59</v>
      </c>
      <c r="D95" s="23" t="s">
        <v>44</v>
      </c>
      <c r="E95" s="24">
        <v>15000</v>
      </c>
      <c r="F95" s="25" t="s">
        <v>64</v>
      </c>
      <c r="G95" s="26" t="s">
        <v>125</v>
      </c>
      <c r="H95" s="41"/>
    </row>
    <row r="96" spans="2:11" s="1" customFormat="1" ht="75" customHeight="1">
      <c r="B96" s="104" t="s">
        <v>132</v>
      </c>
      <c r="C96" s="23">
        <v>85100000</v>
      </c>
      <c r="D96" s="23" t="s">
        <v>71</v>
      </c>
      <c r="E96" s="24">
        <v>48983</v>
      </c>
      <c r="F96" s="25" t="s">
        <v>61</v>
      </c>
      <c r="G96" s="26" t="s">
        <v>125</v>
      </c>
      <c r="H96" s="48" t="s">
        <v>126</v>
      </c>
      <c r="J96" s="62"/>
    </row>
    <row r="97" spans="2:11" s="18" customFormat="1" ht="65.25" customHeight="1">
      <c r="B97" s="65" t="s">
        <v>132</v>
      </c>
      <c r="C97" s="78">
        <v>85100000</v>
      </c>
      <c r="D97" s="78" t="s">
        <v>71</v>
      </c>
      <c r="E97" s="56">
        <f>1071996+37800-260000</f>
        <v>849796</v>
      </c>
      <c r="F97" s="79" t="s">
        <v>61</v>
      </c>
      <c r="G97" s="80" t="s">
        <v>125</v>
      </c>
      <c r="H97" s="111" t="s">
        <v>98</v>
      </c>
    </row>
    <row r="98" spans="2:11" s="1" customFormat="1" ht="80.25" customHeight="1">
      <c r="B98" s="127" t="s">
        <v>141</v>
      </c>
      <c r="C98" s="128"/>
      <c r="D98" s="128"/>
      <c r="E98" s="16">
        <f>SUM(E99:E99)</f>
        <v>1250000</v>
      </c>
      <c r="F98" s="13"/>
      <c r="G98" s="14"/>
      <c r="H98" s="10"/>
      <c r="I98" s="61"/>
      <c r="J98" s="62"/>
    </row>
    <row r="99" spans="2:11" s="1" customFormat="1" ht="84.75" customHeight="1">
      <c r="B99" s="104" t="s">
        <v>132</v>
      </c>
      <c r="C99" s="23" t="s">
        <v>32</v>
      </c>
      <c r="D99" s="23" t="s">
        <v>29</v>
      </c>
      <c r="E99" s="24">
        <v>1250000</v>
      </c>
      <c r="F99" s="25" t="s">
        <v>61</v>
      </c>
      <c r="G99" s="26" t="s">
        <v>125</v>
      </c>
      <c r="H99" s="48" t="s">
        <v>98</v>
      </c>
    </row>
    <row r="100" spans="2:11" s="1" customFormat="1" ht="57.75" customHeight="1">
      <c r="B100" s="136" t="s">
        <v>142</v>
      </c>
      <c r="C100" s="137"/>
      <c r="D100" s="137"/>
      <c r="E100" s="57">
        <f>SUM(E101:E104)</f>
        <v>4000000</v>
      </c>
      <c r="F100" s="58"/>
      <c r="G100" s="58"/>
      <c r="H100" s="59"/>
      <c r="I100" s="61"/>
      <c r="J100" s="62"/>
    </row>
    <row r="101" spans="2:11" s="18" customFormat="1" ht="29.25" customHeight="1">
      <c r="B101" s="65" t="s">
        <v>132</v>
      </c>
      <c r="C101" s="38">
        <v>33100000</v>
      </c>
      <c r="D101" s="23" t="s">
        <v>8</v>
      </c>
      <c r="E101" s="56">
        <v>124876.2</v>
      </c>
      <c r="F101" s="25" t="s">
        <v>64</v>
      </c>
      <c r="G101" s="26" t="s">
        <v>125</v>
      </c>
      <c r="H101" s="26"/>
    </row>
    <row r="102" spans="2:11" s="1" customFormat="1" ht="33.75">
      <c r="B102" s="104" t="s">
        <v>132</v>
      </c>
      <c r="C102" s="38" t="s">
        <v>32</v>
      </c>
      <c r="D102" s="23" t="s">
        <v>9</v>
      </c>
      <c r="E102" s="24">
        <f>2995349.4-3495.8-99984.41</f>
        <v>2891869.19</v>
      </c>
      <c r="F102" s="25" t="s">
        <v>64</v>
      </c>
      <c r="G102" s="26" t="s">
        <v>125</v>
      </c>
      <c r="H102" s="26"/>
    </row>
    <row r="103" spans="2:11" s="1" customFormat="1" ht="67.5">
      <c r="B103" s="104" t="s">
        <v>132</v>
      </c>
      <c r="C103" s="38" t="s">
        <v>24</v>
      </c>
      <c r="D103" s="23" t="s">
        <v>71</v>
      </c>
      <c r="E103" s="24">
        <v>73605.850000000006</v>
      </c>
      <c r="F103" s="25" t="s">
        <v>61</v>
      </c>
      <c r="G103" s="26" t="s">
        <v>125</v>
      </c>
      <c r="H103" s="45" t="s">
        <v>127</v>
      </c>
    </row>
    <row r="104" spans="2:11" s="1" customFormat="1" ht="83.25" customHeight="1">
      <c r="B104" s="104" t="s">
        <v>132</v>
      </c>
      <c r="C104" s="23" t="s">
        <v>24</v>
      </c>
      <c r="D104" s="23" t="s">
        <v>71</v>
      </c>
      <c r="E104" s="24">
        <v>909648.76</v>
      </c>
      <c r="F104" s="25" t="s">
        <v>61</v>
      </c>
      <c r="G104" s="26" t="s">
        <v>152</v>
      </c>
      <c r="H104" s="32" t="s">
        <v>98</v>
      </c>
    </row>
    <row r="105" spans="2:11" ht="122.25" customHeight="1">
      <c r="B105" s="127" t="s">
        <v>143</v>
      </c>
      <c r="C105" s="128"/>
      <c r="D105" s="128"/>
      <c r="E105" s="16">
        <f>SUM(E106)</f>
        <v>2190000</v>
      </c>
      <c r="F105" s="13"/>
      <c r="G105" s="14"/>
      <c r="H105" s="10"/>
      <c r="I105" s="61"/>
      <c r="J105" s="63">
        <f>E100-4000000</f>
        <v>0</v>
      </c>
    </row>
    <row r="106" spans="2:11" s="1" customFormat="1" ht="117.75" customHeight="1">
      <c r="B106" s="104" t="s">
        <v>132</v>
      </c>
      <c r="C106" s="23" t="s">
        <v>32</v>
      </c>
      <c r="D106" s="23" t="s">
        <v>29</v>
      </c>
      <c r="E106" s="24">
        <v>2190000</v>
      </c>
      <c r="F106" s="25" t="s">
        <v>61</v>
      </c>
      <c r="G106" s="26" t="s">
        <v>152</v>
      </c>
      <c r="H106" s="48" t="s">
        <v>98</v>
      </c>
    </row>
    <row r="107" spans="2:11" s="1" customFormat="1" ht="57" customHeight="1">
      <c r="B107" s="138" t="s">
        <v>144</v>
      </c>
      <c r="C107" s="139"/>
      <c r="D107" s="139"/>
      <c r="E107" s="16">
        <f>SUM(E108:E112)</f>
        <v>474000</v>
      </c>
      <c r="F107" s="13"/>
      <c r="G107" s="60"/>
      <c r="H107" s="60"/>
      <c r="I107" s="61"/>
      <c r="J107" s="62"/>
    </row>
    <row r="108" spans="2:11" s="1" customFormat="1" ht="59.25" customHeight="1">
      <c r="B108" s="104" t="s">
        <v>148</v>
      </c>
      <c r="C108" s="23">
        <v>33100000</v>
      </c>
      <c r="D108" s="23" t="s">
        <v>28</v>
      </c>
      <c r="E108" s="24">
        <f>20000+14559.87+22385.83</f>
        <v>56945.700000000004</v>
      </c>
      <c r="F108" s="25" t="s">
        <v>64</v>
      </c>
      <c r="G108" s="26" t="s">
        <v>125</v>
      </c>
      <c r="H108" s="41"/>
    </row>
    <row r="109" spans="2:11" s="1" customFormat="1" ht="38.25">
      <c r="B109" s="104" t="s">
        <v>148</v>
      </c>
      <c r="C109" s="36">
        <v>33600000</v>
      </c>
      <c r="D109" s="36" t="s">
        <v>29</v>
      </c>
      <c r="E109" s="24">
        <f>266824.3+68000-17770</f>
        <v>317054.3</v>
      </c>
      <c r="F109" s="43" t="s">
        <v>64</v>
      </c>
      <c r="G109" s="26" t="s">
        <v>125</v>
      </c>
      <c r="H109" s="44"/>
    </row>
    <row r="110" spans="2:11" s="1" customFormat="1" ht="78.75">
      <c r="B110" s="104" t="s">
        <v>132</v>
      </c>
      <c r="C110" s="38" t="s">
        <v>103</v>
      </c>
      <c r="D110" s="23" t="s">
        <v>71</v>
      </c>
      <c r="E110" s="24">
        <v>6870</v>
      </c>
      <c r="F110" s="25" t="s">
        <v>61</v>
      </c>
      <c r="G110" s="26" t="s">
        <v>125</v>
      </c>
      <c r="H110" s="45" t="s">
        <v>130</v>
      </c>
    </row>
    <row r="111" spans="2:11" s="1" customFormat="1" ht="67.5">
      <c r="B111" s="104" t="s">
        <v>132</v>
      </c>
      <c r="C111" s="38" t="s">
        <v>103</v>
      </c>
      <c r="D111" s="23" t="s">
        <v>71</v>
      </c>
      <c r="E111" s="24">
        <f>13740+6870</f>
        <v>20610</v>
      </c>
      <c r="F111" s="25" t="s">
        <v>61</v>
      </c>
      <c r="G111" s="26" t="s">
        <v>152</v>
      </c>
      <c r="H111" s="48" t="s">
        <v>98</v>
      </c>
      <c r="J111" s="62"/>
      <c r="K111" s="62"/>
    </row>
    <row r="112" spans="2:11" s="1" customFormat="1" ht="51" customHeight="1">
      <c r="B112" s="104" t="s">
        <v>132</v>
      </c>
      <c r="C112" s="38" t="s">
        <v>24</v>
      </c>
      <c r="D112" s="23" t="s">
        <v>71</v>
      </c>
      <c r="E112" s="24">
        <v>72520</v>
      </c>
      <c r="F112" s="25" t="s">
        <v>64</v>
      </c>
      <c r="G112" s="26" t="s">
        <v>153</v>
      </c>
      <c r="H112" s="45"/>
      <c r="J112" s="62"/>
      <c r="K112" s="62"/>
    </row>
    <row r="113" spans="2:10" ht="59.25" customHeight="1">
      <c r="B113" s="127" t="s">
        <v>145</v>
      </c>
      <c r="C113" s="128"/>
      <c r="D113" s="128"/>
      <c r="E113" s="16">
        <f>SUM(E114:E117)</f>
        <v>2100000</v>
      </c>
      <c r="F113" s="13"/>
      <c r="G113" s="14"/>
      <c r="H113" s="10"/>
      <c r="I113" s="61"/>
      <c r="J113" s="63"/>
    </row>
    <row r="114" spans="2:10" s="18" customFormat="1" ht="42.75" customHeight="1">
      <c r="B114" s="67" t="s">
        <v>132</v>
      </c>
      <c r="C114" s="68" t="s">
        <v>25</v>
      </c>
      <c r="D114" s="68" t="s">
        <v>69</v>
      </c>
      <c r="E114" s="69">
        <f>2100000-115976-175000</f>
        <v>1809024</v>
      </c>
      <c r="F114" s="70" t="s">
        <v>64</v>
      </c>
      <c r="G114" s="71" t="s">
        <v>125</v>
      </c>
      <c r="H114" s="112"/>
    </row>
    <row r="115" spans="2:10" s="1" customFormat="1" ht="42.75" customHeight="1">
      <c r="B115" s="104" t="s">
        <v>132</v>
      </c>
      <c r="C115" s="23" t="s">
        <v>25</v>
      </c>
      <c r="D115" s="23" t="s">
        <v>69</v>
      </c>
      <c r="E115" s="24">
        <f>5976</f>
        <v>5976</v>
      </c>
      <c r="F115" s="25" t="s">
        <v>61</v>
      </c>
      <c r="G115" s="26" t="s">
        <v>152</v>
      </c>
      <c r="H115" s="48" t="s">
        <v>98</v>
      </c>
    </row>
    <row r="116" spans="2:10" s="1" customFormat="1" ht="42.75" customHeight="1">
      <c r="B116" s="67" t="s">
        <v>132</v>
      </c>
      <c r="C116" s="68" t="s">
        <v>176</v>
      </c>
      <c r="D116" s="68" t="s">
        <v>177</v>
      </c>
      <c r="E116" s="69">
        <v>175000</v>
      </c>
      <c r="F116" s="70" t="s">
        <v>64</v>
      </c>
      <c r="G116" s="71" t="s">
        <v>178</v>
      </c>
      <c r="H116" s="92"/>
    </row>
    <row r="117" spans="2:10" s="1" customFormat="1" ht="80.25" customHeight="1">
      <c r="B117" s="104" t="s">
        <v>132</v>
      </c>
      <c r="C117" s="23" t="s">
        <v>154</v>
      </c>
      <c r="D117" s="23" t="s">
        <v>155</v>
      </c>
      <c r="E117" s="24">
        <f>115976-5976</f>
        <v>110000</v>
      </c>
      <c r="F117" s="25" t="s">
        <v>61</v>
      </c>
      <c r="G117" s="26" t="s">
        <v>152</v>
      </c>
      <c r="H117" s="48" t="s">
        <v>98</v>
      </c>
    </row>
    <row r="118" spans="2:10" ht="70.5" customHeight="1">
      <c r="B118" s="127" t="s">
        <v>146</v>
      </c>
      <c r="C118" s="128"/>
      <c r="D118" s="128"/>
      <c r="E118" s="16">
        <f>SUM(E119:E121)</f>
        <v>442800</v>
      </c>
      <c r="F118" s="13"/>
      <c r="G118" s="14"/>
      <c r="H118" s="10"/>
      <c r="I118" s="61"/>
      <c r="J118" s="63"/>
    </row>
    <row r="119" spans="2:10" s="18" customFormat="1" ht="33.75">
      <c r="B119" s="65" t="s">
        <v>132</v>
      </c>
      <c r="C119" s="99" t="s">
        <v>32</v>
      </c>
      <c r="D119" s="99" t="s">
        <v>29</v>
      </c>
      <c r="E119" s="56">
        <f>264000-4020</f>
        <v>259980</v>
      </c>
      <c r="F119" s="100" t="s">
        <v>64</v>
      </c>
      <c r="G119" s="80" t="s">
        <v>125</v>
      </c>
      <c r="H119" s="101"/>
    </row>
    <row r="120" spans="2:10" s="18" customFormat="1" ht="33.75">
      <c r="B120" s="65" t="s">
        <v>132</v>
      </c>
      <c r="C120" s="28" t="s">
        <v>7</v>
      </c>
      <c r="D120" s="28" t="s">
        <v>28</v>
      </c>
      <c r="E120" s="24">
        <v>132000</v>
      </c>
      <c r="F120" s="29" t="s">
        <v>64</v>
      </c>
      <c r="G120" s="26" t="s">
        <v>125</v>
      </c>
      <c r="H120" s="55"/>
    </row>
    <row r="121" spans="2:10" s="1" customFormat="1" ht="33.75">
      <c r="B121" s="104" t="s">
        <v>132</v>
      </c>
      <c r="C121" s="23" t="s">
        <v>14</v>
      </c>
      <c r="D121" s="23" t="s">
        <v>40</v>
      </c>
      <c r="E121" s="24">
        <f>4020+46800</f>
        <v>50820</v>
      </c>
      <c r="F121" s="25" t="s">
        <v>60</v>
      </c>
      <c r="G121" s="26" t="s">
        <v>125</v>
      </c>
      <c r="H121" s="23"/>
    </row>
  </sheetData>
  <autoFilter ref="A8:H121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3"/>
  <sheetViews>
    <sheetView topLeftCell="B91" zoomScaleNormal="100" zoomScaleSheetLayoutView="80" workbookViewId="0">
      <selection activeCell="C39" sqref="C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E9+E70+E75+E81+E87+E91+E94+E100+E102+E107+E109+E115+E120</f>
        <v>43609976.100000001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SUM(E10:E68)</f>
        <v>4345309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v>85900</v>
      </c>
      <c r="F32" s="69" t="s">
        <v>64</v>
      </c>
      <c r="G32" s="113" t="s">
        <v>173</v>
      </c>
      <c r="H32" s="72"/>
    </row>
    <row r="33" spans="2:8" s="18" customFormat="1" ht="37.5" customHeight="1">
      <c r="B33" s="67" t="s">
        <v>132</v>
      </c>
      <c r="C33" s="82">
        <v>48800000</v>
      </c>
      <c r="D33" s="68" t="s">
        <v>179</v>
      </c>
      <c r="E33" s="69">
        <v>500</v>
      </c>
      <c r="F33" s="69" t="s">
        <v>64</v>
      </c>
      <c r="G33" s="113" t="s">
        <v>173</v>
      </c>
      <c r="H33" s="72"/>
    </row>
    <row r="34" spans="2:8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8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8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8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8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8" s="18" customFormat="1" ht="92.25" customHeight="1">
      <c r="B39" s="65" t="s">
        <v>147</v>
      </c>
      <c r="C39" s="23" t="s">
        <v>109</v>
      </c>
      <c r="D39" s="23" t="s">
        <v>110</v>
      </c>
      <c r="E39" s="56">
        <f>60000+45000-20000</f>
        <v>85000</v>
      </c>
      <c r="F39" s="25" t="s">
        <v>64</v>
      </c>
      <c r="G39" s="26" t="s">
        <v>125</v>
      </c>
      <c r="H39" s="36"/>
    </row>
    <row r="40" spans="2:8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8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2" spans="2:8" s="18" customFormat="1" ht="115.5" customHeight="1">
      <c r="B42" s="65" t="s">
        <v>132</v>
      </c>
      <c r="C42" s="78">
        <v>50700000</v>
      </c>
      <c r="D42" s="78" t="s">
        <v>13</v>
      </c>
      <c r="E42" s="56">
        <f>93000-45000+20000+46148</f>
        <v>114148</v>
      </c>
      <c r="F42" s="78" t="s">
        <v>64</v>
      </c>
      <c r="G42" s="80" t="s">
        <v>125</v>
      </c>
      <c r="H42" s="78"/>
    </row>
    <row r="43" spans="2:8" s="18" customFormat="1" ht="115.5" customHeight="1">
      <c r="B43" s="65" t="s">
        <v>132</v>
      </c>
      <c r="C43" s="78" t="s">
        <v>117</v>
      </c>
      <c r="D43" s="78" t="s">
        <v>118</v>
      </c>
      <c r="E43" s="56">
        <f>120000+68250</f>
        <v>188250</v>
      </c>
      <c r="F43" s="78" t="s">
        <v>64</v>
      </c>
      <c r="G43" s="80" t="s">
        <v>125</v>
      </c>
      <c r="H43" s="78"/>
    </row>
    <row r="44" spans="2:8" s="18" customFormat="1" ht="115.5" customHeight="1">
      <c r="B44" s="65" t="s">
        <v>132</v>
      </c>
      <c r="C44" s="23" t="s">
        <v>111</v>
      </c>
      <c r="D44" s="23" t="s">
        <v>112</v>
      </c>
      <c r="E44" s="56">
        <v>120000</v>
      </c>
      <c r="F44" s="23" t="s">
        <v>64</v>
      </c>
      <c r="G44" s="26" t="s">
        <v>125</v>
      </c>
      <c r="H44" s="23"/>
    </row>
    <row r="45" spans="2:8" s="18" customFormat="1" ht="58.5" customHeight="1">
      <c r="B45" s="65" t="s">
        <v>132</v>
      </c>
      <c r="C45" s="30">
        <v>63700000</v>
      </c>
      <c r="D45" s="23" t="s">
        <v>70</v>
      </c>
      <c r="E45" s="56">
        <v>2000</v>
      </c>
      <c r="F45" s="25" t="s">
        <v>61</v>
      </c>
      <c r="G45" s="26" t="s">
        <v>125</v>
      </c>
      <c r="H45" s="26" t="s">
        <v>85</v>
      </c>
    </row>
    <row r="46" spans="2:8" s="18" customFormat="1" ht="63.75" customHeight="1">
      <c r="B46" s="65" t="s">
        <v>132</v>
      </c>
      <c r="C46" s="23" t="s">
        <v>47</v>
      </c>
      <c r="D46" s="23" t="s">
        <v>48</v>
      </c>
      <c r="E46" s="56">
        <v>6000</v>
      </c>
      <c r="F46" s="25" t="s">
        <v>64</v>
      </c>
      <c r="G46" s="26" t="s">
        <v>125</v>
      </c>
      <c r="H46" s="23"/>
    </row>
    <row r="47" spans="2:8" s="18" customFormat="1" ht="33.75">
      <c r="B47" s="65" t="s">
        <v>132</v>
      </c>
      <c r="C47" s="38" t="s">
        <v>18</v>
      </c>
      <c r="D47" s="23" t="s">
        <v>46</v>
      </c>
      <c r="E47" s="56">
        <v>25000</v>
      </c>
      <c r="F47" s="25" t="s">
        <v>64</v>
      </c>
      <c r="G47" s="26" t="s">
        <v>125</v>
      </c>
      <c r="H47" s="33"/>
    </row>
    <row r="48" spans="2:8" s="18" customFormat="1" ht="56.25">
      <c r="B48" s="65" t="s">
        <v>132</v>
      </c>
      <c r="C48" s="38" t="s">
        <v>18</v>
      </c>
      <c r="D48" s="23" t="s">
        <v>46</v>
      </c>
      <c r="E48" s="56">
        <v>25500</v>
      </c>
      <c r="F48" s="25" t="s">
        <v>61</v>
      </c>
      <c r="G48" s="26" t="s">
        <v>125</v>
      </c>
      <c r="H48" s="26" t="s">
        <v>96</v>
      </c>
    </row>
    <row r="49" spans="2:10" s="18" customFormat="1" ht="56.25">
      <c r="B49" s="65" t="s">
        <v>132</v>
      </c>
      <c r="C49" s="77" t="s">
        <v>161</v>
      </c>
      <c r="D49" s="78" t="s">
        <v>46</v>
      </c>
      <c r="E49" s="56">
        <v>9000</v>
      </c>
      <c r="F49" s="79" t="s">
        <v>61</v>
      </c>
      <c r="G49" s="80" t="s">
        <v>152</v>
      </c>
      <c r="H49" s="80" t="s">
        <v>162</v>
      </c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24000</v>
      </c>
      <c r="F50" s="25" t="s">
        <v>60</v>
      </c>
      <c r="G50" s="26" t="s">
        <v>125</v>
      </c>
      <c r="H50" s="33"/>
    </row>
    <row r="51" spans="2:10" s="18" customFormat="1" ht="33.75">
      <c r="B51" s="65" t="s">
        <v>134</v>
      </c>
      <c r="C51" s="38" t="s">
        <v>114</v>
      </c>
      <c r="D51" s="23" t="s">
        <v>113</v>
      </c>
      <c r="E51" s="56">
        <v>30000</v>
      </c>
      <c r="F51" s="25" t="s">
        <v>64</v>
      </c>
      <c r="G51" s="26" t="s">
        <v>125</v>
      </c>
      <c r="H51" s="26"/>
    </row>
    <row r="52" spans="2:10" s="18" customFormat="1" ht="33.75">
      <c r="B52" s="65" t="s">
        <v>132</v>
      </c>
      <c r="C52" s="38" t="s">
        <v>55</v>
      </c>
      <c r="D52" s="23" t="s">
        <v>56</v>
      </c>
      <c r="E52" s="56">
        <v>1680</v>
      </c>
      <c r="F52" s="25" t="s">
        <v>91</v>
      </c>
      <c r="G52" s="26" t="s">
        <v>125</v>
      </c>
      <c r="H52" s="33"/>
    </row>
    <row r="53" spans="2:10" s="18" customFormat="1" ht="57" customHeight="1">
      <c r="B53" s="65" t="s">
        <v>132</v>
      </c>
      <c r="C53" s="77" t="s">
        <v>17</v>
      </c>
      <c r="D53" s="78" t="s">
        <v>16</v>
      </c>
      <c r="E53" s="56">
        <f>90000+34000</f>
        <v>124000</v>
      </c>
      <c r="F53" s="79" t="s">
        <v>61</v>
      </c>
      <c r="G53" s="80" t="s">
        <v>125</v>
      </c>
      <c r="H53" s="80" t="s">
        <v>67</v>
      </c>
    </row>
    <row r="54" spans="2:10" s="18" customFormat="1" ht="65.25" customHeight="1">
      <c r="B54" s="65" t="s">
        <v>132</v>
      </c>
      <c r="C54" s="77" t="s">
        <v>17</v>
      </c>
      <c r="D54" s="78" t="s">
        <v>16</v>
      </c>
      <c r="E54" s="56">
        <f>150+400+266+21+350</f>
        <v>1187</v>
      </c>
      <c r="F54" s="79" t="s">
        <v>61</v>
      </c>
      <c r="G54" s="80" t="s">
        <v>125</v>
      </c>
      <c r="H54" s="80"/>
      <c r="J54" s="20"/>
    </row>
    <row r="55" spans="2:10" s="18" customFormat="1" ht="56.25">
      <c r="B55" s="65" t="s">
        <v>132</v>
      </c>
      <c r="C55" s="38" t="s">
        <v>77</v>
      </c>
      <c r="D55" s="23" t="s">
        <v>78</v>
      </c>
      <c r="E55" s="56">
        <v>3000</v>
      </c>
      <c r="F55" s="25" t="s">
        <v>61</v>
      </c>
      <c r="G55" s="26" t="s">
        <v>125</v>
      </c>
      <c r="H55" s="26" t="s">
        <v>79</v>
      </c>
    </row>
    <row r="56" spans="2:10" s="18" customFormat="1" ht="56.25">
      <c r="B56" s="65" t="s">
        <v>132</v>
      </c>
      <c r="C56" s="77" t="s">
        <v>163</v>
      </c>
      <c r="D56" s="78" t="s">
        <v>164</v>
      </c>
      <c r="E56" s="56">
        <v>500</v>
      </c>
      <c r="F56" s="79" t="s">
        <v>61</v>
      </c>
      <c r="G56" s="80" t="s">
        <v>152</v>
      </c>
      <c r="H56" s="80" t="s">
        <v>79</v>
      </c>
    </row>
    <row r="57" spans="2:10" s="18" customFormat="1" ht="75" customHeight="1">
      <c r="B57" s="65" t="s">
        <v>132</v>
      </c>
      <c r="C57" s="77" t="s">
        <v>25</v>
      </c>
      <c r="D57" s="78" t="s">
        <v>119</v>
      </c>
      <c r="E57" s="56">
        <v>100000</v>
      </c>
      <c r="F57" s="79" t="s">
        <v>64</v>
      </c>
      <c r="G57" s="80" t="s">
        <v>125</v>
      </c>
      <c r="H57" s="80"/>
    </row>
    <row r="58" spans="2:10" s="1" customFormat="1" ht="63.75" customHeight="1">
      <c r="B58" s="104" t="s">
        <v>132</v>
      </c>
      <c r="C58" s="23" t="s">
        <v>45</v>
      </c>
      <c r="D58" s="23" t="s">
        <v>63</v>
      </c>
      <c r="E58" s="24">
        <f>6000+3850</f>
        <v>9850</v>
      </c>
      <c r="F58" s="25" t="s">
        <v>64</v>
      </c>
      <c r="G58" s="26" t="s">
        <v>125</v>
      </c>
      <c r="H58" s="26"/>
    </row>
    <row r="59" spans="2:10" s="18" customFormat="1" ht="63.75" customHeight="1">
      <c r="B59" s="65" t="s">
        <v>132</v>
      </c>
      <c r="C59" s="78" t="s">
        <v>120</v>
      </c>
      <c r="D59" s="78" t="s">
        <v>121</v>
      </c>
      <c r="E59" s="56">
        <v>450</v>
      </c>
      <c r="F59" s="79" t="s">
        <v>61</v>
      </c>
      <c r="G59" s="80" t="s">
        <v>125</v>
      </c>
      <c r="H59" s="80"/>
    </row>
    <row r="60" spans="2:10" s="18" customFormat="1" ht="77.25" customHeight="1">
      <c r="B60" s="65" t="s">
        <v>132</v>
      </c>
      <c r="C60" s="30">
        <v>79700000</v>
      </c>
      <c r="D60" s="23" t="s">
        <v>27</v>
      </c>
      <c r="E60" s="56">
        <v>600000</v>
      </c>
      <c r="F60" s="25" t="s">
        <v>61</v>
      </c>
      <c r="G60" s="26" t="s">
        <v>125</v>
      </c>
      <c r="H60" s="26" t="s">
        <v>80</v>
      </c>
    </row>
    <row r="61" spans="2:10" s="18" customFormat="1" ht="62.25" customHeight="1">
      <c r="B61" s="65" t="s">
        <v>132</v>
      </c>
      <c r="C61" s="30">
        <v>79800000</v>
      </c>
      <c r="D61" s="23" t="s">
        <v>81</v>
      </c>
      <c r="E61" s="56">
        <v>10000</v>
      </c>
      <c r="F61" s="25" t="s">
        <v>64</v>
      </c>
      <c r="G61" s="26" t="s">
        <v>125</v>
      </c>
      <c r="H61" s="26"/>
    </row>
    <row r="62" spans="2:10" s="18" customFormat="1" ht="62.25" customHeight="1">
      <c r="B62" s="65" t="s">
        <v>132</v>
      </c>
      <c r="C62" s="78" t="s">
        <v>53</v>
      </c>
      <c r="D62" s="78" t="s">
        <v>65</v>
      </c>
      <c r="E62" s="56">
        <f>20000+12000-2305</f>
        <v>29695</v>
      </c>
      <c r="F62" s="79" t="s">
        <v>61</v>
      </c>
      <c r="G62" s="80" t="s">
        <v>125</v>
      </c>
      <c r="H62" s="78" t="s">
        <v>68</v>
      </c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v>2305</v>
      </c>
      <c r="F63" s="79" t="s">
        <v>61</v>
      </c>
      <c r="G63" s="80" t="s">
        <v>173</v>
      </c>
      <c r="H63" s="78"/>
    </row>
    <row r="64" spans="2:10" s="18" customFormat="1" ht="62.25" customHeight="1">
      <c r="B64" s="65" t="s">
        <v>132</v>
      </c>
      <c r="C64" s="38" t="s">
        <v>24</v>
      </c>
      <c r="D64" s="23" t="s">
        <v>71</v>
      </c>
      <c r="E64" s="56">
        <v>12000</v>
      </c>
      <c r="F64" s="25" t="s">
        <v>64</v>
      </c>
      <c r="G64" s="26" t="s">
        <v>125</v>
      </c>
      <c r="H64" s="23"/>
    </row>
    <row r="65" spans="2:13" s="18" customFormat="1" ht="62.25" customHeight="1">
      <c r="B65" s="65" t="s">
        <v>132</v>
      </c>
      <c r="C65" s="38" t="s">
        <v>122</v>
      </c>
      <c r="D65" s="23" t="s">
        <v>123</v>
      </c>
      <c r="E65" s="56">
        <v>1000</v>
      </c>
      <c r="F65" s="25" t="s">
        <v>61</v>
      </c>
      <c r="G65" s="26" t="s">
        <v>125</v>
      </c>
      <c r="H65" s="23"/>
    </row>
    <row r="66" spans="2:13" s="18" customFormat="1" ht="60.75" customHeight="1">
      <c r="B66" s="65" t="s">
        <v>132</v>
      </c>
      <c r="C66" s="78" t="s">
        <v>82</v>
      </c>
      <c r="D66" s="78" t="s">
        <v>83</v>
      </c>
      <c r="E66" s="56">
        <v>10000</v>
      </c>
      <c r="F66" s="79" t="s">
        <v>61</v>
      </c>
      <c r="G66" s="80" t="s">
        <v>125</v>
      </c>
      <c r="H66" s="80" t="s">
        <v>79</v>
      </c>
    </row>
    <row r="67" spans="2:13" s="18" customFormat="1" ht="36.75" customHeight="1">
      <c r="B67" s="65" t="s">
        <v>132</v>
      </c>
      <c r="C67" s="78" t="s">
        <v>12</v>
      </c>
      <c r="D67" s="78" t="s">
        <v>19</v>
      </c>
      <c r="E67" s="56">
        <f>80000+110000</f>
        <v>190000</v>
      </c>
      <c r="F67" s="79" t="s">
        <v>64</v>
      </c>
      <c r="G67" s="80" t="s">
        <v>125</v>
      </c>
      <c r="H67" s="81"/>
    </row>
    <row r="68" spans="2:13" s="18" customFormat="1" ht="54.75" customHeight="1">
      <c r="B68" s="65" t="s">
        <v>132</v>
      </c>
      <c r="C68" s="78" t="s">
        <v>115</v>
      </c>
      <c r="D68" s="78" t="s">
        <v>116</v>
      </c>
      <c r="E68" s="56">
        <v>15000</v>
      </c>
      <c r="F68" s="79" t="s">
        <v>61</v>
      </c>
      <c r="G68" s="80" t="s">
        <v>125</v>
      </c>
      <c r="H68" s="80" t="s">
        <v>79</v>
      </c>
    </row>
    <row r="69" spans="2:13" s="18" customFormat="1" ht="54.75" customHeight="1">
      <c r="B69" s="108" t="s">
        <v>132</v>
      </c>
      <c r="C69" s="78" t="s">
        <v>165</v>
      </c>
      <c r="D69" s="78" t="s">
        <v>166</v>
      </c>
      <c r="E69" s="56">
        <v>4900</v>
      </c>
      <c r="F69" s="79" t="s">
        <v>61</v>
      </c>
      <c r="G69" s="80" t="s">
        <v>152</v>
      </c>
      <c r="H69" s="80" t="s">
        <v>79</v>
      </c>
    </row>
    <row r="70" spans="2:13" s="1" customFormat="1" ht="75" customHeight="1">
      <c r="B70" s="127" t="s">
        <v>135</v>
      </c>
      <c r="C70" s="128"/>
      <c r="D70" s="128"/>
      <c r="E70" s="16">
        <f>SUM(E71:E74)</f>
        <v>1710000</v>
      </c>
      <c r="F70" s="13"/>
      <c r="G70" s="14"/>
      <c r="H70" s="10"/>
      <c r="I70" s="61"/>
      <c r="J70" s="62"/>
    </row>
    <row r="71" spans="2:13" s="1" customFormat="1" ht="59.25" customHeight="1">
      <c r="B71" s="104" t="s">
        <v>132</v>
      </c>
      <c r="C71" s="23" t="s">
        <v>24</v>
      </c>
      <c r="D71" s="23" t="s">
        <v>71</v>
      </c>
      <c r="E71" s="24">
        <f>1710000-142500-E73-E72</f>
        <v>1314302.3999999999</v>
      </c>
      <c r="F71" s="25" t="s">
        <v>64</v>
      </c>
      <c r="G71" s="26" t="s">
        <v>125</v>
      </c>
      <c r="H71" s="41"/>
      <c r="J71" s="62"/>
    </row>
    <row r="72" spans="2:13" s="1" customFormat="1" ht="67.5">
      <c r="B72" s="104" t="s">
        <v>132</v>
      </c>
      <c r="C72" s="23" t="s">
        <v>103</v>
      </c>
      <c r="D72" s="23" t="s">
        <v>71</v>
      </c>
      <c r="E72" s="24">
        <v>33000</v>
      </c>
      <c r="F72" s="25" t="s">
        <v>61</v>
      </c>
      <c r="G72" s="26" t="s">
        <v>151</v>
      </c>
      <c r="H72" s="48" t="s">
        <v>98</v>
      </c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220197.6</v>
      </c>
      <c r="F73" s="25" t="s">
        <v>61</v>
      </c>
      <c r="G73" s="26" t="s">
        <v>150</v>
      </c>
      <c r="H73" s="48" t="s">
        <v>98</v>
      </c>
    </row>
    <row r="74" spans="2:13" s="1" customFormat="1" ht="98.25" customHeight="1">
      <c r="B74" s="104" t="s">
        <v>132</v>
      </c>
      <c r="C74" s="23" t="s">
        <v>24</v>
      </c>
      <c r="D74" s="23" t="s">
        <v>71</v>
      </c>
      <c r="E74" s="24">
        <v>142500</v>
      </c>
      <c r="F74" s="25" t="s">
        <v>61</v>
      </c>
      <c r="G74" s="26" t="s">
        <v>125</v>
      </c>
      <c r="H74" s="48" t="s">
        <v>128</v>
      </c>
      <c r="J74" s="62"/>
    </row>
    <row r="75" spans="2:13" s="1" customFormat="1" ht="31.5" customHeight="1">
      <c r="B75" s="127" t="s">
        <v>136</v>
      </c>
      <c r="C75" s="128"/>
      <c r="D75" s="128"/>
      <c r="E75" s="16">
        <f>SUM(E76:E80)</f>
        <v>22370000</v>
      </c>
      <c r="F75" s="13"/>
      <c r="G75" s="9"/>
      <c r="H75" s="10"/>
      <c r="I75" s="61"/>
      <c r="J75" s="62"/>
    </row>
    <row r="76" spans="2:13" s="1" customFormat="1" ht="75.75" customHeight="1">
      <c r="B76" s="104" t="s">
        <v>132</v>
      </c>
      <c r="C76" s="23" t="s">
        <v>7</v>
      </c>
      <c r="D76" s="23" t="s">
        <v>57</v>
      </c>
      <c r="E76" s="24">
        <f>3750000+400000</f>
        <v>4150000</v>
      </c>
      <c r="F76" s="25" t="s">
        <v>61</v>
      </c>
      <c r="G76" s="26" t="s">
        <v>125</v>
      </c>
      <c r="H76" s="48" t="s">
        <v>97</v>
      </c>
    </row>
    <row r="77" spans="2:13" s="1" customFormat="1" ht="75.75" customHeight="1">
      <c r="B77" s="66" t="s">
        <v>133</v>
      </c>
      <c r="C77" s="23" t="s">
        <v>7</v>
      </c>
      <c r="D77" s="23" t="s">
        <v>57</v>
      </c>
      <c r="E77" s="24">
        <v>100000</v>
      </c>
      <c r="F77" s="25" t="s">
        <v>61</v>
      </c>
      <c r="G77" s="26" t="s">
        <v>125</v>
      </c>
      <c r="H77" s="48" t="s">
        <v>97</v>
      </c>
    </row>
    <row r="78" spans="2:13" s="1" customFormat="1" ht="121.5" customHeight="1">
      <c r="B78" s="104" t="s">
        <v>132</v>
      </c>
      <c r="C78" s="23">
        <v>33600000</v>
      </c>
      <c r="D78" s="23" t="s">
        <v>29</v>
      </c>
      <c r="E78" s="24">
        <f>1440000+270000-22680</f>
        <v>1687320</v>
      </c>
      <c r="F78" s="25" t="s">
        <v>64</v>
      </c>
      <c r="G78" s="26" t="s">
        <v>125</v>
      </c>
      <c r="H78" s="41"/>
      <c r="J78" s="62"/>
      <c r="L78" s="62"/>
      <c r="M78" s="62"/>
    </row>
    <row r="79" spans="2:13" s="1" customFormat="1" ht="121.5" customHeight="1">
      <c r="B79" s="104" t="s">
        <v>132</v>
      </c>
      <c r="C79" s="23" t="s">
        <v>32</v>
      </c>
      <c r="D79" s="23" t="s">
        <v>29</v>
      </c>
      <c r="E79" s="24">
        <v>22680</v>
      </c>
      <c r="F79" s="25" t="s">
        <v>61</v>
      </c>
      <c r="G79" s="26" t="s">
        <v>150</v>
      </c>
      <c r="H79" s="48" t="s">
        <v>157</v>
      </c>
      <c r="J79" s="62"/>
      <c r="L79" s="62"/>
      <c r="M79" s="62"/>
    </row>
    <row r="80" spans="2:13" s="1" customFormat="1" ht="87.75" customHeight="1">
      <c r="B80" s="104" t="s">
        <v>132</v>
      </c>
      <c r="C80" s="23" t="s">
        <v>32</v>
      </c>
      <c r="D80" s="23" t="s">
        <v>29</v>
      </c>
      <c r="E80" s="24">
        <v>16410000</v>
      </c>
      <c r="F80" s="25" t="s">
        <v>61</v>
      </c>
      <c r="G80" s="26" t="s">
        <v>125</v>
      </c>
      <c r="H80" s="48" t="s">
        <v>98</v>
      </c>
      <c r="J80" s="62"/>
      <c r="K80" s="62"/>
    </row>
    <row r="81" spans="2:11" s="1" customFormat="1" ht="60" customHeight="1">
      <c r="B81" s="127" t="s">
        <v>137</v>
      </c>
      <c r="C81" s="128"/>
      <c r="D81" s="128"/>
      <c r="E81" s="16">
        <f>SUM(E82:E86)</f>
        <v>1700000</v>
      </c>
      <c r="F81" s="13"/>
      <c r="G81" s="14"/>
      <c r="H81" s="10"/>
      <c r="I81" s="61"/>
      <c r="J81" s="105"/>
    </row>
    <row r="82" spans="2:11" s="1" customFormat="1" ht="36.75" customHeight="1">
      <c r="B82" s="104" t="s">
        <v>132</v>
      </c>
      <c r="C82" s="23" t="s">
        <v>7</v>
      </c>
      <c r="D82" s="23" t="s">
        <v>28</v>
      </c>
      <c r="E82" s="24">
        <v>42272.9</v>
      </c>
      <c r="F82" s="25" t="s">
        <v>64</v>
      </c>
      <c r="G82" s="26" t="s">
        <v>125</v>
      </c>
      <c r="H82" s="41"/>
    </row>
    <row r="83" spans="2:11" s="1" customFormat="1" ht="51" customHeight="1">
      <c r="B83" s="104" t="s">
        <v>132</v>
      </c>
      <c r="C83" s="23" t="s">
        <v>32</v>
      </c>
      <c r="D83" s="23" t="s">
        <v>29</v>
      </c>
      <c r="E83" s="24">
        <v>60607.14</v>
      </c>
      <c r="F83" s="25" t="s">
        <v>64</v>
      </c>
      <c r="G83" s="26" t="s">
        <v>125</v>
      </c>
      <c r="H83" s="41"/>
      <c r="J83" s="62"/>
    </row>
    <row r="84" spans="2:11" s="1" customFormat="1" ht="45" customHeight="1">
      <c r="B84" s="104" t="s">
        <v>132</v>
      </c>
      <c r="C84" s="23" t="s">
        <v>89</v>
      </c>
      <c r="D84" s="23" t="s">
        <v>90</v>
      </c>
      <c r="E84" s="24">
        <v>798000</v>
      </c>
      <c r="F84" s="25" t="s">
        <v>64</v>
      </c>
      <c r="G84" s="26" t="s">
        <v>125</v>
      </c>
      <c r="H84" s="48"/>
    </row>
    <row r="85" spans="2:11" s="1" customFormat="1" ht="78.75">
      <c r="B85" s="104" t="s">
        <v>132</v>
      </c>
      <c r="C85" s="23" t="s">
        <v>24</v>
      </c>
      <c r="D85" s="23" t="s">
        <v>71</v>
      </c>
      <c r="E85" s="24">
        <v>69239.960000000006</v>
      </c>
      <c r="F85" s="25" t="s">
        <v>61</v>
      </c>
      <c r="G85" s="26" t="s">
        <v>125</v>
      </c>
      <c r="H85" s="48" t="s">
        <v>129</v>
      </c>
      <c r="J85" s="62"/>
    </row>
    <row r="86" spans="2:11" s="1" customFormat="1" ht="67.5">
      <c r="B86" s="104" t="s">
        <v>132</v>
      </c>
      <c r="C86" s="23" t="s">
        <v>24</v>
      </c>
      <c r="D86" s="23" t="s">
        <v>71</v>
      </c>
      <c r="E86" s="24">
        <v>729880</v>
      </c>
      <c r="F86" s="25" t="s">
        <v>61</v>
      </c>
      <c r="G86" s="26" t="s">
        <v>152</v>
      </c>
      <c r="H86" s="48" t="s">
        <v>98</v>
      </c>
    </row>
    <row r="87" spans="2:11" s="1" customFormat="1" ht="65.25" customHeight="1">
      <c r="B87" s="127" t="s">
        <v>138</v>
      </c>
      <c r="C87" s="128"/>
      <c r="D87" s="128"/>
      <c r="E87" s="16">
        <f>SUM(E88:E90)</f>
        <v>1753700.5</v>
      </c>
      <c r="F87" s="13"/>
      <c r="G87" s="14"/>
      <c r="H87" s="10"/>
      <c r="I87" s="61"/>
      <c r="J87" s="62"/>
    </row>
    <row r="88" spans="2:11" s="1" customFormat="1" ht="33.75">
      <c r="B88" s="67" t="s">
        <v>132</v>
      </c>
      <c r="C88" s="91" t="s">
        <v>25</v>
      </c>
      <c r="D88" s="91" t="s">
        <v>69</v>
      </c>
      <c r="E88" s="69">
        <f>55000+145000</f>
        <v>200000</v>
      </c>
      <c r="F88" s="94" t="s">
        <v>64</v>
      </c>
      <c r="G88" s="71" t="s">
        <v>125</v>
      </c>
      <c r="H88" s="95"/>
    </row>
    <row r="89" spans="2:11" s="1" customFormat="1" ht="78.75">
      <c r="B89" s="104" t="s">
        <v>132</v>
      </c>
      <c r="C89" s="23">
        <v>85100000</v>
      </c>
      <c r="D89" s="23" t="s">
        <v>71</v>
      </c>
      <c r="E89" s="24">
        <v>127500.5</v>
      </c>
      <c r="F89" s="25" t="s">
        <v>61</v>
      </c>
      <c r="G89" s="26" t="s">
        <v>125</v>
      </c>
      <c r="H89" s="45" t="s">
        <v>124</v>
      </c>
    </row>
    <row r="90" spans="2:11" s="1" customFormat="1" ht="60.75" customHeight="1">
      <c r="B90" s="67" t="s">
        <v>132</v>
      </c>
      <c r="C90" s="68">
        <v>85100000</v>
      </c>
      <c r="D90" s="68" t="s">
        <v>71</v>
      </c>
      <c r="E90" s="69">
        <f>1460000+111200-145000</f>
        <v>1426200</v>
      </c>
      <c r="F90" s="70" t="s">
        <v>61</v>
      </c>
      <c r="G90" s="71" t="s">
        <v>125</v>
      </c>
      <c r="H90" s="92" t="s">
        <v>98</v>
      </c>
      <c r="K90" s="62"/>
    </row>
    <row r="91" spans="2:11" s="1" customFormat="1" ht="61.5" customHeight="1">
      <c r="B91" s="127" t="s">
        <v>139</v>
      </c>
      <c r="C91" s="128"/>
      <c r="D91" s="128"/>
      <c r="E91" s="16">
        <f>SUM(E92:E93)</f>
        <v>184166.6</v>
      </c>
      <c r="F91" s="13"/>
      <c r="G91" s="14"/>
      <c r="H91" s="10"/>
      <c r="I91" s="61"/>
      <c r="J91" s="62"/>
    </row>
    <row r="92" spans="2:11" s="18" customFormat="1" ht="70.5" customHeight="1">
      <c r="B92" s="65" t="s">
        <v>132</v>
      </c>
      <c r="C92" s="23" t="s">
        <v>24</v>
      </c>
      <c r="D92" s="23" t="s">
        <v>71</v>
      </c>
      <c r="E92" s="56">
        <v>14166.6</v>
      </c>
      <c r="F92" s="25" t="s">
        <v>61</v>
      </c>
      <c r="G92" s="26" t="s">
        <v>125</v>
      </c>
      <c r="H92" s="48" t="s">
        <v>76</v>
      </c>
    </row>
    <row r="93" spans="2:11" s="1" customFormat="1" ht="75" customHeight="1">
      <c r="B93" s="104" t="s">
        <v>132</v>
      </c>
      <c r="C93" s="23" t="s">
        <v>24</v>
      </c>
      <c r="D93" s="23" t="s">
        <v>71</v>
      </c>
      <c r="E93" s="24">
        <v>170000</v>
      </c>
      <c r="F93" s="25" t="s">
        <v>61</v>
      </c>
      <c r="G93" s="26" t="s">
        <v>125</v>
      </c>
      <c r="H93" s="48" t="s">
        <v>98</v>
      </c>
    </row>
    <row r="94" spans="2:11" s="1" customFormat="1" ht="65.25" customHeight="1">
      <c r="B94" s="138" t="s">
        <v>140</v>
      </c>
      <c r="C94" s="139"/>
      <c r="D94" s="139"/>
      <c r="E94" s="16">
        <f>SUM(E95:E99)</f>
        <v>1090000</v>
      </c>
      <c r="F94" s="13"/>
      <c r="G94" s="14"/>
      <c r="H94" s="60"/>
      <c r="I94" s="61"/>
      <c r="J94" s="62"/>
    </row>
    <row r="95" spans="2:11" s="1" customFormat="1" ht="49.5" customHeight="1">
      <c r="B95" s="104" t="s">
        <v>132</v>
      </c>
      <c r="C95" s="23" t="s">
        <v>14</v>
      </c>
      <c r="D95" s="23" t="s">
        <v>15</v>
      </c>
      <c r="E95" s="24">
        <v>24200</v>
      </c>
      <c r="F95" s="25" t="s">
        <v>60</v>
      </c>
      <c r="G95" s="26" t="s">
        <v>125</v>
      </c>
      <c r="H95" s="41"/>
    </row>
    <row r="96" spans="2:11" s="1" customFormat="1" ht="33.75">
      <c r="B96" s="104" t="s">
        <v>132</v>
      </c>
      <c r="C96" s="28">
        <v>33100000</v>
      </c>
      <c r="D96" s="28" t="s">
        <v>28</v>
      </c>
      <c r="E96" s="24">
        <f>240004-87983</f>
        <v>152021</v>
      </c>
      <c r="F96" s="29" t="s">
        <v>64</v>
      </c>
      <c r="G96" s="26" t="s">
        <v>125</v>
      </c>
      <c r="H96" s="46"/>
    </row>
    <row r="97" spans="2:10" s="1" customFormat="1" ht="60.75" customHeight="1">
      <c r="B97" s="104" t="s">
        <v>132</v>
      </c>
      <c r="C97" s="23" t="s">
        <v>59</v>
      </c>
      <c r="D97" s="23" t="s">
        <v>44</v>
      </c>
      <c r="E97" s="24">
        <v>15000</v>
      </c>
      <c r="F97" s="25" t="s">
        <v>64</v>
      </c>
      <c r="G97" s="26" t="s">
        <v>125</v>
      </c>
      <c r="H97" s="41"/>
    </row>
    <row r="98" spans="2:10" s="1" customFormat="1" ht="75" customHeight="1">
      <c r="B98" s="104" t="s">
        <v>132</v>
      </c>
      <c r="C98" s="23">
        <v>85100000</v>
      </c>
      <c r="D98" s="23" t="s">
        <v>71</v>
      </c>
      <c r="E98" s="24">
        <v>48983</v>
      </c>
      <c r="F98" s="25" t="s">
        <v>61</v>
      </c>
      <c r="G98" s="26" t="s">
        <v>125</v>
      </c>
      <c r="H98" s="48" t="s">
        <v>126</v>
      </c>
      <c r="J98" s="62"/>
    </row>
    <row r="99" spans="2:10" s="18" customFormat="1" ht="65.25" customHeight="1">
      <c r="B99" s="65" t="s">
        <v>132</v>
      </c>
      <c r="C99" s="78">
        <v>85100000</v>
      </c>
      <c r="D99" s="78" t="s">
        <v>71</v>
      </c>
      <c r="E99" s="56">
        <f>1071996+37800-260000</f>
        <v>849796</v>
      </c>
      <c r="F99" s="79" t="s">
        <v>61</v>
      </c>
      <c r="G99" s="80" t="s">
        <v>125</v>
      </c>
      <c r="H99" s="111" t="s">
        <v>98</v>
      </c>
    </row>
    <row r="100" spans="2:10" s="1" customFormat="1" ht="80.25" customHeight="1">
      <c r="B100" s="127" t="s">
        <v>141</v>
      </c>
      <c r="C100" s="128"/>
      <c r="D100" s="128"/>
      <c r="E100" s="16">
        <f>SUM(E101:E101)</f>
        <v>1250000</v>
      </c>
      <c r="F100" s="13"/>
      <c r="G100" s="14"/>
      <c r="H100" s="10"/>
      <c r="I100" s="61"/>
      <c r="J100" s="62"/>
    </row>
    <row r="101" spans="2:10" s="1" customFormat="1" ht="84.75" customHeight="1">
      <c r="B101" s="104" t="s">
        <v>132</v>
      </c>
      <c r="C101" s="23" t="s">
        <v>32</v>
      </c>
      <c r="D101" s="23" t="s">
        <v>29</v>
      </c>
      <c r="E101" s="24">
        <v>1250000</v>
      </c>
      <c r="F101" s="25" t="s">
        <v>61</v>
      </c>
      <c r="G101" s="26" t="s">
        <v>125</v>
      </c>
      <c r="H101" s="48" t="s">
        <v>98</v>
      </c>
    </row>
    <row r="102" spans="2:10" s="1" customFormat="1" ht="57.75" customHeight="1">
      <c r="B102" s="136" t="s">
        <v>142</v>
      </c>
      <c r="C102" s="137"/>
      <c r="D102" s="137"/>
      <c r="E102" s="57">
        <f>SUM(E103:E106)</f>
        <v>4000000</v>
      </c>
      <c r="F102" s="58"/>
      <c r="G102" s="58"/>
      <c r="H102" s="59"/>
      <c r="I102" s="61"/>
      <c r="J102" s="62"/>
    </row>
    <row r="103" spans="2:10" s="18" customFormat="1" ht="29.25" customHeight="1">
      <c r="B103" s="65" t="s">
        <v>132</v>
      </c>
      <c r="C103" s="38">
        <v>33100000</v>
      </c>
      <c r="D103" s="23" t="s">
        <v>8</v>
      </c>
      <c r="E103" s="56">
        <v>124876.2</v>
      </c>
      <c r="F103" s="25" t="s">
        <v>64</v>
      </c>
      <c r="G103" s="26" t="s">
        <v>125</v>
      </c>
      <c r="H103" s="26"/>
    </row>
    <row r="104" spans="2:10" s="1" customFormat="1" ht="33.75">
      <c r="B104" s="104" t="s">
        <v>132</v>
      </c>
      <c r="C104" s="38" t="s">
        <v>32</v>
      </c>
      <c r="D104" s="23" t="s">
        <v>9</v>
      </c>
      <c r="E104" s="24">
        <f>2995349.4-3495.8-99984.41</f>
        <v>2891869.19</v>
      </c>
      <c r="F104" s="25" t="s">
        <v>64</v>
      </c>
      <c r="G104" s="26" t="s">
        <v>125</v>
      </c>
      <c r="H104" s="26"/>
    </row>
    <row r="105" spans="2:10" s="1" customFormat="1" ht="67.5">
      <c r="B105" s="104" t="s">
        <v>132</v>
      </c>
      <c r="C105" s="38" t="s">
        <v>24</v>
      </c>
      <c r="D105" s="23" t="s">
        <v>71</v>
      </c>
      <c r="E105" s="24">
        <v>73605.850000000006</v>
      </c>
      <c r="F105" s="25" t="s">
        <v>61</v>
      </c>
      <c r="G105" s="26" t="s">
        <v>125</v>
      </c>
      <c r="H105" s="45" t="s">
        <v>127</v>
      </c>
    </row>
    <row r="106" spans="2:10" s="1" customFormat="1" ht="83.25" customHeight="1">
      <c r="B106" s="104" t="s">
        <v>132</v>
      </c>
      <c r="C106" s="23" t="s">
        <v>24</v>
      </c>
      <c r="D106" s="23" t="s">
        <v>71</v>
      </c>
      <c r="E106" s="24">
        <v>909648.76</v>
      </c>
      <c r="F106" s="25" t="s">
        <v>61</v>
      </c>
      <c r="G106" s="26" t="s">
        <v>152</v>
      </c>
      <c r="H106" s="32" t="s">
        <v>98</v>
      </c>
    </row>
    <row r="107" spans="2:10" ht="122.25" customHeight="1">
      <c r="B107" s="127" t="s">
        <v>143</v>
      </c>
      <c r="C107" s="128"/>
      <c r="D107" s="128"/>
      <c r="E107" s="16">
        <f>SUM(E108)</f>
        <v>2190000</v>
      </c>
      <c r="F107" s="13"/>
      <c r="G107" s="14"/>
      <c r="H107" s="10"/>
      <c r="I107" s="61"/>
      <c r="J107" s="63">
        <f>E102-4000000</f>
        <v>0</v>
      </c>
    </row>
    <row r="108" spans="2:10" s="1" customFormat="1" ht="117.75" customHeight="1">
      <c r="B108" s="104" t="s">
        <v>132</v>
      </c>
      <c r="C108" s="23" t="s">
        <v>32</v>
      </c>
      <c r="D108" s="23" t="s">
        <v>29</v>
      </c>
      <c r="E108" s="24">
        <v>2190000</v>
      </c>
      <c r="F108" s="25" t="s">
        <v>61</v>
      </c>
      <c r="G108" s="26" t="s">
        <v>152</v>
      </c>
      <c r="H108" s="48" t="s">
        <v>98</v>
      </c>
    </row>
    <row r="109" spans="2:10" s="1" customFormat="1" ht="57" customHeight="1">
      <c r="B109" s="138" t="s">
        <v>144</v>
      </c>
      <c r="C109" s="139"/>
      <c r="D109" s="139"/>
      <c r="E109" s="16">
        <f>SUM(E110:E114)</f>
        <v>474000</v>
      </c>
      <c r="F109" s="13"/>
      <c r="G109" s="60"/>
      <c r="H109" s="60"/>
      <c r="I109" s="61"/>
      <c r="J109" s="62"/>
    </row>
    <row r="110" spans="2:10" s="1" customFormat="1" ht="59.25" customHeight="1">
      <c r="B110" s="104" t="s">
        <v>148</v>
      </c>
      <c r="C110" s="23">
        <v>33100000</v>
      </c>
      <c r="D110" s="23" t="s">
        <v>28</v>
      </c>
      <c r="E110" s="24">
        <f>20000+14559.87+22385.83</f>
        <v>56945.700000000004</v>
      </c>
      <c r="F110" s="25" t="s">
        <v>64</v>
      </c>
      <c r="G110" s="26" t="s">
        <v>125</v>
      </c>
      <c r="H110" s="41"/>
    </row>
    <row r="111" spans="2:10" s="1" customFormat="1" ht="38.25">
      <c r="B111" s="104" t="s">
        <v>148</v>
      </c>
      <c r="C111" s="36">
        <v>33600000</v>
      </c>
      <c r="D111" s="36" t="s">
        <v>29</v>
      </c>
      <c r="E111" s="24">
        <f>266824.3+68000-17770</f>
        <v>317054.3</v>
      </c>
      <c r="F111" s="43" t="s">
        <v>64</v>
      </c>
      <c r="G111" s="26" t="s">
        <v>125</v>
      </c>
      <c r="H111" s="44"/>
    </row>
    <row r="112" spans="2:10" s="1" customFormat="1" ht="78.75">
      <c r="B112" s="104" t="s">
        <v>132</v>
      </c>
      <c r="C112" s="38" t="s">
        <v>103</v>
      </c>
      <c r="D112" s="23" t="s">
        <v>71</v>
      </c>
      <c r="E112" s="24">
        <v>6870</v>
      </c>
      <c r="F112" s="25" t="s">
        <v>61</v>
      </c>
      <c r="G112" s="26" t="s">
        <v>125</v>
      </c>
      <c r="H112" s="45" t="s">
        <v>130</v>
      </c>
    </row>
    <row r="113" spans="2:11" s="1" customFormat="1" ht="67.5">
      <c r="B113" s="104" t="s">
        <v>132</v>
      </c>
      <c r="C113" s="38" t="s">
        <v>103</v>
      </c>
      <c r="D113" s="23" t="s">
        <v>71</v>
      </c>
      <c r="E113" s="24">
        <f>13740+6870</f>
        <v>20610</v>
      </c>
      <c r="F113" s="25" t="s">
        <v>61</v>
      </c>
      <c r="G113" s="26" t="s">
        <v>152</v>
      </c>
      <c r="H113" s="48" t="s">
        <v>98</v>
      </c>
      <c r="J113" s="62"/>
      <c r="K113" s="62"/>
    </row>
    <row r="114" spans="2:11" s="1" customFormat="1" ht="51" customHeight="1">
      <c r="B114" s="104" t="s">
        <v>132</v>
      </c>
      <c r="C114" s="38" t="s">
        <v>24</v>
      </c>
      <c r="D114" s="23" t="s">
        <v>71</v>
      </c>
      <c r="E114" s="24">
        <v>72520</v>
      </c>
      <c r="F114" s="25" t="s">
        <v>64</v>
      </c>
      <c r="G114" s="26" t="s">
        <v>153</v>
      </c>
      <c r="H114" s="45"/>
      <c r="J114" s="62"/>
      <c r="K114" s="62"/>
    </row>
    <row r="115" spans="2:11" ht="59.25" customHeight="1">
      <c r="B115" s="127" t="s">
        <v>145</v>
      </c>
      <c r="C115" s="128"/>
      <c r="D115" s="128"/>
      <c r="E115" s="16">
        <f>SUM(E116:E119)</f>
        <v>2100000</v>
      </c>
      <c r="F115" s="13"/>
      <c r="G115" s="14"/>
      <c r="H115" s="10"/>
      <c r="I115" s="61"/>
      <c r="J115" s="63"/>
    </row>
    <row r="116" spans="2:11" s="18" customFormat="1" ht="42.75" customHeight="1">
      <c r="B116" s="67" t="s">
        <v>132</v>
      </c>
      <c r="C116" s="68" t="s">
        <v>25</v>
      </c>
      <c r="D116" s="68" t="s">
        <v>69</v>
      </c>
      <c r="E116" s="69">
        <f>2100000-115976-175000</f>
        <v>1809024</v>
      </c>
      <c r="F116" s="70" t="s">
        <v>64</v>
      </c>
      <c r="G116" s="71" t="s">
        <v>125</v>
      </c>
      <c r="H116" s="112"/>
    </row>
    <row r="117" spans="2:11" s="1" customFormat="1" ht="42.75" customHeight="1">
      <c r="B117" s="104" t="s">
        <v>132</v>
      </c>
      <c r="C117" s="23" t="s">
        <v>25</v>
      </c>
      <c r="D117" s="23" t="s">
        <v>69</v>
      </c>
      <c r="E117" s="24">
        <f>5976</f>
        <v>5976</v>
      </c>
      <c r="F117" s="25" t="s">
        <v>61</v>
      </c>
      <c r="G117" s="26" t="s">
        <v>152</v>
      </c>
      <c r="H117" s="48" t="s">
        <v>98</v>
      </c>
    </row>
    <row r="118" spans="2:11" s="1" customFormat="1" ht="42.75" customHeight="1">
      <c r="B118" s="67" t="s">
        <v>132</v>
      </c>
      <c r="C118" s="68" t="s">
        <v>176</v>
      </c>
      <c r="D118" s="68" t="s">
        <v>177</v>
      </c>
      <c r="E118" s="69">
        <v>175000</v>
      </c>
      <c r="F118" s="70" t="s">
        <v>64</v>
      </c>
      <c r="G118" s="71" t="s">
        <v>178</v>
      </c>
      <c r="H118" s="92"/>
    </row>
    <row r="119" spans="2:11" s="1" customFormat="1" ht="80.25" customHeight="1">
      <c r="B119" s="104" t="s">
        <v>132</v>
      </c>
      <c r="C119" s="23" t="s">
        <v>154</v>
      </c>
      <c r="D119" s="23" t="s">
        <v>155</v>
      </c>
      <c r="E119" s="24">
        <f>115976-5976</f>
        <v>110000</v>
      </c>
      <c r="F119" s="25" t="s">
        <v>61</v>
      </c>
      <c r="G119" s="26" t="s">
        <v>152</v>
      </c>
      <c r="H119" s="48" t="s">
        <v>98</v>
      </c>
    </row>
    <row r="120" spans="2:11" ht="70.5" customHeight="1">
      <c r="B120" s="127" t="s">
        <v>146</v>
      </c>
      <c r="C120" s="128"/>
      <c r="D120" s="128"/>
      <c r="E120" s="16">
        <f>SUM(E121:E123)</f>
        <v>442800</v>
      </c>
      <c r="F120" s="13"/>
      <c r="G120" s="14"/>
      <c r="H120" s="10"/>
      <c r="I120" s="61"/>
      <c r="J120" s="63"/>
    </row>
    <row r="121" spans="2:11" s="18" customFormat="1" ht="33.75">
      <c r="B121" s="65" t="s">
        <v>132</v>
      </c>
      <c r="C121" s="99" t="s">
        <v>32</v>
      </c>
      <c r="D121" s="99" t="s">
        <v>29</v>
      </c>
      <c r="E121" s="56">
        <f>264000-4020</f>
        <v>259980</v>
      </c>
      <c r="F121" s="100" t="s">
        <v>64</v>
      </c>
      <c r="G121" s="80" t="s">
        <v>125</v>
      </c>
      <c r="H121" s="101"/>
    </row>
    <row r="122" spans="2:11" s="18" customFormat="1" ht="33.75">
      <c r="B122" s="65" t="s">
        <v>132</v>
      </c>
      <c r="C122" s="28" t="s">
        <v>7</v>
      </c>
      <c r="D122" s="28" t="s">
        <v>28</v>
      </c>
      <c r="E122" s="24">
        <v>132000</v>
      </c>
      <c r="F122" s="29" t="s">
        <v>64</v>
      </c>
      <c r="G122" s="26" t="s">
        <v>125</v>
      </c>
      <c r="H122" s="55"/>
    </row>
    <row r="123" spans="2:11" s="1" customFormat="1" ht="33.75">
      <c r="B123" s="104" t="s">
        <v>132</v>
      </c>
      <c r="C123" s="23" t="s">
        <v>14</v>
      </c>
      <c r="D123" s="23" t="s">
        <v>40</v>
      </c>
      <c r="E123" s="24">
        <f>4020+46800</f>
        <v>50820</v>
      </c>
      <c r="F123" s="25" t="s">
        <v>60</v>
      </c>
      <c r="G123" s="26" t="s">
        <v>125</v>
      </c>
      <c r="H123" s="23"/>
    </row>
  </sheetData>
  <autoFilter ref="A8:H123"/>
  <mergeCells count="20">
    <mergeCell ref="B115:D115"/>
    <mergeCell ref="B120:D120"/>
    <mergeCell ref="B91:D91"/>
    <mergeCell ref="B94:D94"/>
    <mergeCell ref="B100:D100"/>
    <mergeCell ref="B102:D102"/>
    <mergeCell ref="B107:D107"/>
    <mergeCell ref="B109:D109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19" zoomScaleNormal="100" zoomScaleSheetLayoutView="80" workbookViewId="0">
      <selection activeCell="E36" sqref="E3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29" t="s">
        <v>41</v>
      </c>
      <c r="C2" s="129"/>
      <c r="D2" s="129"/>
      <c r="E2" s="129"/>
      <c r="F2" s="129"/>
      <c r="G2" s="129"/>
      <c r="H2" s="129"/>
    </row>
    <row r="3" spans="2:9" ht="18.75">
      <c r="B3" s="130" t="s">
        <v>4</v>
      </c>
      <c r="C3" s="130"/>
      <c r="D3" s="130"/>
      <c r="E3" s="130"/>
      <c r="F3" s="130"/>
      <c r="G3" s="130"/>
      <c r="H3" s="130"/>
    </row>
    <row r="4" spans="2:9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9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9" ht="24.75" customHeight="1">
      <c r="B6" s="132" t="s">
        <v>22</v>
      </c>
      <c r="C6" s="133"/>
      <c r="D6" s="133"/>
      <c r="E6" s="133"/>
      <c r="F6" s="133"/>
      <c r="G6" s="2">
        <f>E9+E71+E76+E82+E88+E92+E95+E101+E103+E108+E110+E116+E121</f>
        <v>43587791.600000001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34" t="s">
        <v>131</v>
      </c>
      <c r="C9" s="135"/>
      <c r="D9" s="135"/>
      <c r="E9" s="15">
        <f>SUM(E10:E69)</f>
        <v>4323124.5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104" t="s">
        <v>133</v>
      </c>
      <c r="C32" s="30">
        <v>48800000</v>
      </c>
      <c r="D32" s="23" t="s">
        <v>179</v>
      </c>
      <c r="E32" s="24">
        <v>85900</v>
      </c>
      <c r="F32" s="24" t="s">
        <v>64</v>
      </c>
      <c r="G32" s="114" t="s">
        <v>173</v>
      </c>
      <c r="H32" s="31"/>
    </row>
    <row r="33" spans="2:9" s="18" customFormat="1" ht="37.5" customHeight="1">
      <c r="B33" s="104" t="s">
        <v>132</v>
      </c>
      <c r="C33" s="30">
        <v>48800000</v>
      </c>
      <c r="D33" s="23" t="s">
        <v>179</v>
      </c>
      <c r="E33" s="24">
        <v>500</v>
      </c>
      <c r="F33" s="24" t="s">
        <v>64</v>
      </c>
      <c r="G33" s="114" t="s">
        <v>173</v>
      </c>
      <c r="H33" s="31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02.75" customHeight="1">
      <c r="B40" s="65" t="s">
        <v>132</v>
      </c>
      <c r="C40" s="23" t="s">
        <v>86</v>
      </c>
      <c r="D40" s="23" t="s">
        <v>87</v>
      </c>
      <c r="E40" s="56">
        <v>8000</v>
      </c>
      <c r="F40" s="25" t="s">
        <v>64</v>
      </c>
      <c r="G40" s="26" t="s">
        <v>125</v>
      </c>
      <c r="H40" s="23"/>
    </row>
    <row r="41" spans="2:9" s="18" customFormat="1" ht="115.5" customHeight="1">
      <c r="B41" s="65" t="s">
        <v>132</v>
      </c>
      <c r="C41" s="23">
        <v>50700000</v>
      </c>
      <c r="D41" s="23" t="s">
        <v>13</v>
      </c>
      <c r="E41" s="56">
        <f>1600000-59200</f>
        <v>1540800</v>
      </c>
      <c r="F41" s="23" t="s">
        <v>61</v>
      </c>
      <c r="G41" s="26" t="s">
        <v>125</v>
      </c>
      <c r="H41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7" t="s">
        <v>135</v>
      </c>
      <c r="C71" s="128"/>
      <c r="D71" s="12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7" t="s">
        <v>136</v>
      </c>
      <c r="C76" s="128"/>
      <c r="D76" s="12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7" t="s">
        <v>137</v>
      </c>
      <c r="C82" s="128"/>
      <c r="D82" s="12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7" t="s">
        <v>138</v>
      </c>
      <c r="C88" s="128"/>
      <c r="D88" s="12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7" t="s">
        <v>139</v>
      </c>
      <c r="C92" s="128"/>
      <c r="D92" s="12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8" t="s">
        <v>140</v>
      </c>
      <c r="C95" s="139"/>
      <c r="D95" s="139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7" t="s">
        <v>141</v>
      </c>
      <c r="C101" s="128"/>
      <c r="D101" s="12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6" t="s">
        <v>142</v>
      </c>
      <c r="C103" s="137"/>
      <c r="D103" s="137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7" t="s">
        <v>143</v>
      </c>
      <c r="C108" s="128"/>
      <c r="D108" s="12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8" t="s">
        <v>144</v>
      </c>
      <c r="C110" s="139"/>
      <c r="D110" s="139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7" t="s">
        <v>145</v>
      </c>
      <c r="C116" s="128"/>
      <c r="D116" s="12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7" t="s">
        <v>146</v>
      </c>
      <c r="C121" s="128"/>
      <c r="D121" s="12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27" t="s">
        <v>135</v>
      </c>
      <c r="C54" s="128"/>
      <c r="D54" s="12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27" t="s">
        <v>136</v>
      </c>
      <c r="C57" s="128"/>
      <c r="D57" s="12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27" t="s">
        <v>137</v>
      </c>
      <c r="C62" s="128"/>
      <c r="D62" s="12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27" t="s">
        <v>138</v>
      </c>
      <c r="C68" s="128"/>
      <c r="D68" s="12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27" t="s">
        <v>139</v>
      </c>
      <c r="C72" s="128"/>
      <c r="D72" s="12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38" t="s">
        <v>140</v>
      </c>
      <c r="C75" s="139"/>
      <c r="D75" s="139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27" t="s">
        <v>141</v>
      </c>
      <c r="C81" s="128"/>
      <c r="D81" s="12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36" t="s">
        <v>142</v>
      </c>
      <c r="C83" s="137"/>
      <c r="D83" s="137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27" t="s">
        <v>143</v>
      </c>
      <c r="C88" s="128"/>
      <c r="D88" s="12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38" t="s">
        <v>144</v>
      </c>
      <c r="C90" s="139"/>
      <c r="D90" s="139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27" t="s">
        <v>145</v>
      </c>
      <c r="C95" s="128"/>
      <c r="D95" s="12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27" t="s">
        <v>146</v>
      </c>
      <c r="C97" s="128"/>
      <c r="D97" s="12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4"/>
  <sheetViews>
    <sheetView topLeftCell="B58" zoomScaleNormal="100" zoomScaleSheetLayoutView="80" workbookViewId="0">
      <selection activeCell="E39" sqref="E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E9+E71+E76+E82+E88+E92+E95+E101+E103+E108+E110+E116+E121</f>
        <v>43677691.600000001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SUM(E10:E70)</f>
        <v>4413024.5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</f>
        <v>7513</v>
      </c>
      <c r="F16" s="79" t="s">
        <v>60</v>
      </c>
      <c r="G16" s="80" t="s">
        <v>125</v>
      </c>
      <c r="H16" s="78"/>
    </row>
    <row r="17" spans="2:8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8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8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10000+7260+80</f>
        <v>17340</v>
      </c>
      <c r="F22" s="79" t="s">
        <v>60</v>
      </c>
      <c r="G22" s="80" t="s">
        <v>125</v>
      </c>
      <c r="H22" s="110"/>
    </row>
    <row r="23" spans="2:8" s="18" customFormat="1" ht="42" customHeight="1">
      <c r="B23" s="65" t="s">
        <v>132</v>
      </c>
      <c r="C23" s="78" t="s">
        <v>174</v>
      </c>
      <c r="D23" s="78" t="s">
        <v>175</v>
      </c>
      <c r="E23" s="56">
        <v>3756</v>
      </c>
      <c r="F23" s="79" t="s">
        <v>91</v>
      </c>
      <c r="G23" s="80" t="s">
        <v>172</v>
      </c>
      <c r="H23" s="81"/>
    </row>
    <row r="24" spans="2:8" s="18" customFormat="1" ht="33.75">
      <c r="B24" s="65" t="s">
        <v>132</v>
      </c>
      <c r="C24" s="23" t="s">
        <v>92</v>
      </c>
      <c r="D24" s="23" t="s">
        <v>93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23" t="s">
        <v>94</v>
      </c>
      <c r="D25" s="23" t="s">
        <v>95</v>
      </c>
      <c r="E25" s="56">
        <v>4800</v>
      </c>
      <c r="F25" s="25" t="s">
        <v>91</v>
      </c>
      <c r="G25" s="26" t="s">
        <v>125</v>
      </c>
      <c r="H25" s="31"/>
    </row>
    <row r="26" spans="2:8" s="18" customFormat="1" ht="33.75">
      <c r="B26" s="65" t="s">
        <v>132</v>
      </c>
      <c r="C26" s="34">
        <v>39800000</v>
      </c>
      <c r="D26" s="34" t="s">
        <v>84</v>
      </c>
      <c r="E26" s="56">
        <v>4800</v>
      </c>
      <c r="F26" s="25" t="s">
        <v>91</v>
      </c>
      <c r="G26" s="26" t="s">
        <v>125</v>
      </c>
      <c r="H26" s="31"/>
    </row>
    <row r="27" spans="2:8" s="18" customFormat="1" ht="33.75">
      <c r="B27" s="65" t="s">
        <v>132</v>
      </c>
      <c r="C27" s="85">
        <v>42900000</v>
      </c>
      <c r="D27" s="85" t="s">
        <v>168</v>
      </c>
      <c r="E27" s="56">
        <v>1920</v>
      </c>
      <c r="F27" s="79" t="s">
        <v>60</v>
      </c>
      <c r="G27" s="110" t="s">
        <v>160</v>
      </c>
      <c r="H27" s="110"/>
    </row>
    <row r="28" spans="2:8" s="18" customFormat="1" ht="51.75" customHeight="1">
      <c r="B28" s="65" t="s">
        <v>132</v>
      </c>
      <c r="C28" s="84">
        <v>41100000</v>
      </c>
      <c r="D28" s="85" t="s">
        <v>149</v>
      </c>
      <c r="E28" s="56">
        <v>6750</v>
      </c>
      <c r="F28" s="79" t="s">
        <v>64</v>
      </c>
      <c r="G28" s="80" t="s">
        <v>125</v>
      </c>
      <c r="H28" s="81"/>
    </row>
    <row r="29" spans="2:8" s="18" customFormat="1" ht="51.75" customHeight="1">
      <c r="B29" s="65" t="s">
        <v>132</v>
      </c>
      <c r="C29" s="84">
        <v>44400000</v>
      </c>
      <c r="D29" s="85" t="s">
        <v>167</v>
      </c>
      <c r="E29" s="56">
        <v>4120</v>
      </c>
      <c r="F29" s="79" t="s">
        <v>64</v>
      </c>
      <c r="G29" s="80" t="s">
        <v>160</v>
      </c>
      <c r="H29" s="81"/>
    </row>
    <row r="30" spans="2:8" s="18" customFormat="1" ht="51.75" customHeight="1">
      <c r="B30" s="65" t="s">
        <v>132</v>
      </c>
      <c r="C30" s="30">
        <v>45400000</v>
      </c>
      <c r="D30" s="34" t="s">
        <v>102</v>
      </c>
      <c r="E30" s="56">
        <v>40000</v>
      </c>
      <c r="F30" s="25" t="s">
        <v>64</v>
      </c>
      <c r="G30" s="26" t="s">
        <v>125</v>
      </c>
      <c r="H30" s="31"/>
    </row>
    <row r="31" spans="2:8" s="18" customFormat="1" ht="37.5" customHeight="1">
      <c r="B31" s="65" t="s">
        <v>133</v>
      </c>
      <c r="C31" s="30">
        <v>48700000</v>
      </c>
      <c r="D31" s="23" t="s">
        <v>104</v>
      </c>
      <c r="E31" s="56">
        <v>30000</v>
      </c>
      <c r="F31" s="25" t="s">
        <v>64</v>
      </c>
      <c r="G31" s="26" t="s">
        <v>125</v>
      </c>
      <c r="H31" s="31"/>
    </row>
    <row r="32" spans="2:8" s="18" customFormat="1" ht="37.5" customHeight="1">
      <c r="B32" s="67" t="s">
        <v>133</v>
      </c>
      <c r="C32" s="82">
        <v>48800000</v>
      </c>
      <c r="D32" s="68" t="s">
        <v>179</v>
      </c>
      <c r="E32" s="69">
        <f>85900-5900</f>
        <v>80000</v>
      </c>
      <c r="F32" s="69" t="s">
        <v>64</v>
      </c>
      <c r="G32" s="113" t="s">
        <v>173</v>
      </c>
      <c r="H32" s="72"/>
    </row>
    <row r="33" spans="2:9" s="18" customFormat="1" ht="37.5" customHeight="1">
      <c r="B33" s="67" t="s">
        <v>132</v>
      </c>
      <c r="C33" s="82">
        <v>48800000</v>
      </c>
      <c r="D33" s="68" t="s">
        <v>179</v>
      </c>
      <c r="E33" s="69">
        <f>500+5900</f>
        <v>6400</v>
      </c>
      <c r="F33" s="69" t="s">
        <v>64</v>
      </c>
      <c r="G33" s="113" t="s">
        <v>173</v>
      </c>
      <c r="H33" s="72"/>
    </row>
    <row r="34" spans="2:9" s="18" customFormat="1" ht="56.25">
      <c r="B34" s="65" t="s">
        <v>132</v>
      </c>
      <c r="C34" s="78">
        <v>50100000</v>
      </c>
      <c r="D34" s="78" t="s">
        <v>44</v>
      </c>
      <c r="E34" s="56">
        <f>10000+30000</f>
        <v>40000</v>
      </c>
      <c r="F34" s="79" t="s">
        <v>61</v>
      </c>
      <c r="G34" s="80" t="s">
        <v>125</v>
      </c>
      <c r="H34" s="102" t="s">
        <v>66</v>
      </c>
    </row>
    <row r="35" spans="2:9" s="1" customFormat="1" ht="92.25" customHeight="1">
      <c r="B35" s="104" t="s">
        <v>132</v>
      </c>
      <c r="C35" s="23" t="s">
        <v>59</v>
      </c>
      <c r="D35" s="23" t="s">
        <v>62</v>
      </c>
      <c r="E35" s="24">
        <f>120000-30000+15000</f>
        <v>105000</v>
      </c>
      <c r="F35" s="25" t="s">
        <v>64</v>
      </c>
      <c r="G35" s="26" t="s">
        <v>125</v>
      </c>
      <c r="H35" s="36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v>2080</v>
      </c>
      <c r="F36" s="79" t="s">
        <v>61</v>
      </c>
      <c r="G36" s="80" t="s">
        <v>160</v>
      </c>
      <c r="H36" s="102" t="s">
        <v>85</v>
      </c>
    </row>
    <row r="37" spans="2:9" s="18" customFormat="1" ht="92.25" customHeight="1">
      <c r="B37" s="65" t="s">
        <v>132</v>
      </c>
      <c r="C37" s="23" t="s">
        <v>107</v>
      </c>
      <c r="D37" s="23" t="s">
        <v>108</v>
      </c>
      <c r="E37" s="56">
        <v>50000</v>
      </c>
      <c r="F37" s="25" t="s">
        <v>64</v>
      </c>
      <c r="G37" s="26" t="s">
        <v>125</v>
      </c>
      <c r="H37" s="31"/>
    </row>
    <row r="38" spans="2:9" s="18" customFormat="1" ht="92.25" customHeight="1">
      <c r="B38" s="65" t="s">
        <v>132</v>
      </c>
      <c r="C38" s="23" t="s">
        <v>105</v>
      </c>
      <c r="D38" s="23" t="s">
        <v>106</v>
      </c>
      <c r="E38" s="56">
        <v>310000</v>
      </c>
      <c r="F38" s="25" t="s">
        <v>64</v>
      </c>
      <c r="G38" s="26" t="s">
        <v>125</v>
      </c>
      <c r="H38" s="36"/>
    </row>
    <row r="39" spans="2:9" s="18" customFormat="1" ht="115.5" customHeight="1">
      <c r="B39" s="67" t="s">
        <v>132</v>
      </c>
      <c r="C39" s="68" t="s">
        <v>105</v>
      </c>
      <c r="D39" s="68" t="s">
        <v>106</v>
      </c>
      <c r="E39" s="69">
        <f>23265*I39</f>
        <v>62815.500000000007</v>
      </c>
      <c r="F39" s="68" t="s">
        <v>61</v>
      </c>
      <c r="G39" s="71" t="s">
        <v>152</v>
      </c>
      <c r="H39" s="68" t="s">
        <v>180</v>
      </c>
      <c r="I39" s="18">
        <v>2.7</v>
      </c>
    </row>
    <row r="40" spans="2:9" s="18" customFormat="1" ht="115.5" customHeight="1">
      <c r="B40" s="65" t="s">
        <v>147</v>
      </c>
      <c r="C40" s="23" t="s">
        <v>109</v>
      </c>
      <c r="D40" s="23" t="s">
        <v>110</v>
      </c>
      <c r="E40" s="56">
        <f>60000+45000-20000</f>
        <v>85000</v>
      </c>
      <c r="F40" s="25" t="s">
        <v>64</v>
      </c>
      <c r="G40" s="26" t="s">
        <v>125</v>
      </c>
      <c r="H40" s="36"/>
    </row>
    <row r="41" spans="2:9" s="18" customFormat="1" ht="102.75" customHeight="1">
      <c r="B41" s="65" t="s">
        <v>132</v>
      </c>
      <c r="C41" s="23" t="s">
        <v>86</v>
      </c>
      <c r="D41" s="23" t="s">
        <v>87</v>
      </c>
      <c r="E41" s="56">
        <v>8000</v>
      </c>
      <c r="F41" s="25" t="s">
        <v>64</v>
      </c>
      <c r="G41" s="26" t="s">
        <v>125</v>
      </c>
      <c r="H41" s="23"/>
    </row>
    <row r="42" spans="2:9" s="18" customFormat="1" ht="115.5" customHeight="1">
      <c r="B42" s="65" t="s">
        <v>132</v>
      </c>
      <c r="C42" s="23">
        <v>50700000</v>
      </c>
      <c r="D42" s="23" t="s">
        <v>13</v>
      </c>
      <c r="E42" s="56">
        <f>1600000-59200</f>
        <v>1540800</v>
      </c>
      <c r="F42" s="23" t="s">
        <v>61</v>
      </c>
      <c r="G42" s="26" t="s">
        <v>125</v>
      </c>
      <c r="H42" s="23" t="s">
        <v>99</v>
      </c>
    </row>
    <row r="43" spans="2:9" s="18" customFormat="1" ht="115.5" customHeight="1">
      <c r="B43" s="65" t="s">
        <v>132</v>
      </c>
      <c r="C43" s="78">
        <v>50700000</v>
      </c>
      <c r="D43" s="78" t="s">
        <v>13</v>
      </c>
      <c r="E43" s="56">
        <f>93000-45000+20000+46148</f>
        <v>114148</v>
      </c>
      <c r="F43" s="78" t="s">
        <v>64</v>
      </c>
      <c r="G43" s="80" t="s">
        <v>125</v>
      </c>
      <c r="H43" s="78"/>
    </row>
    <row r="44" spans="2:9" s="18" customFormat="1" ht="115.5" customHeight="1">
      <c r="B44" s="65" t="s">
        <v>132</v>
      </c>
      <c r="C44" s="78" t="s">
        <v>117</v>
      </c>
      <c r="D44" s="78" t="s">
        <v>118</v>
      </c>
      <c r="E44" s="56">
        <f>120000+68250</f>
        <v>188250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23" t="s">
        <v>111</v>
      </c>
      <c r="D45" s="23" t="s">
        <v>112</v>
      </c>
      <c r="E45" s="56">
        <v>120000</v>
      </c>
      <c r="F45" s="23" t="s">
        <v>64</v>
      </c>
      <c r="G45" s="26" t="s">
        <v>125</v>
      </c>
      <c r="H45" s="23"/>
    </row>
    <row r="46" spans="2:9" s="18" customFormat="1" ht="58.5" customHeight="1">
      <c r="B46" s="65" t="s">
        <v>132</v>
      </c>
      <c r="C46" s="30">
        <v>63700000</v>
      </c>
      <c r="D46" s="23" t="s">
        <v>70</v>
      </c>
      <c r="E46" s="56">
        <v>2000</v>
      </c>
      <c r="F46" s="25" t="s">
        <v>61</v>
      </c>
      <c r="G46" s="26" t="s">
        <v>125</v>
      </c>
      <c r="H46" s="26" t="s">
        <v>85</v>
      </c>
    </row>
    <row r="47" spans="2:9" s="18" customFormat="1" ht="63.75" customHeight="1">
      <c r="B47" s="65" t="s">
        <v>132</v>
      </c>
      <c r="C47" s="23" t="s">
        <v>47</v>
      </c>
      <c r="D47" s="23" t="s">
        <v>48</v>
      </c>
      <c r="E47" s="56">
        <v>6000</v>
      </c>
      <c r="F47" s="25" t="s">
        <v>64</v>
      </c>
      <c r="G47" s="26" t="s">
        <v>125</v>
      </c>
      <c r="H47" s="23"/>
    </row>
    <row r="48" spans="2:9" s="18" customFormat="1" ht="33.75">
      <c r="B48" s="65" t="s">
        <v>132</v>
      </c>
      <c r="C48" s="38" t="s">
        <v>18</v>
      </c>
      <c r="D48" s="23" t="s">
        <v>46</v>
      </c>
      <c r="E48" s="56">
        <v>25000</v>
      </c>
      <c r="F48" s="25" t="s">
        <v>64</v>
      </c>
      <c r="G48" s="26" t="s">
        <v>125</v>
      </c>
      <c r="H48" s="33"/>
    </row>
    <row r="49" spans="2:10" s="18" customFormat="1" ht="56.25">
      <c r="B49" s="65" t="s">
        <v>132</v>
      </c>
      <c r="C49" s="38" t="s">
        <v>18</v>
      </c>
      <c r="D49" s="23" t="s">
        <v>46</v>
      </c>
      <c r="E49" s="56">
        <v>25500</v>
      </c>
      <c r="F49" s="25" t="s">
        <v>61</v>
      </c>
      <c r="G49" s="26" t="s">
        <v>125</v>
      </c>
      <c r="H49" s="26" t="s">
        <v>96</v>
      </c>
    </row>
    <row r="50" spans="2:10" s="18" customFormat="1" ht="56.25">
      <c r="B50" s="65" t="s">
        <v>132</v>
      </c>
      <c r="C50" s="77" t="s">
        <v>161</v>
      </c>
      <c r="D50" s="78" t="s">
        <v>46</v>
      </c>
      <c r="E50" s="56">
        <v>9000</v>
      </c>
      <c r="F50" s="79" t="s">
        <v>61</v>
      </c>
      <c r="G50" s="80" t="s">
        <v>152</v>
      </c>
      <c r="H50" s="80" t="s">
        <v>162</v>
      </c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24000</v>
      </c>
      <c r="F51" s="25" t="s">
        <v>60</v>
      </c>
      <c r="G51" s="26" t="s">
        <v>125</v>
      </c>
      <c r="H51" s="33"/>
    </row>
    <row r="52" spans="2:10" s="18" customFormat="1" ht="33.75">
      <c r="B52" s="65" t="s">
        <v>134</v>
      </c>
      <c r="C52" s="38" t="s">
        <v>114</v>
      </c>
      <c r="D52" s="23" t="s">
        <v>113</v>
      </c>
      <c r="E52" s="56">
        <v>30000</v>
      </c>
      <c r="F52" s="25" t="s">
        <v>64</v>
      </c>
      <c r="G52" s="26" t="s">
        <v>125</v>
      </c>
      <c r="H52" s="26"/>
    </row>
    <row r="53" spans="2:10" s="18" customFormat="1" ht="33.75">
      <c r="B53" s="65" t="s">
        <v>132</v>
      </c>
      <c r="C53" s="38" t="s">
        <v>55</v>
      </c>
      <c r="D53" s="23" t="s">
        <v>56</v>
      </c>
      <c r="E53" s="56">
        <v>1680</v>
      </c>
      <c r="F53" s="25" t="s">
        <v>91</v>
      </c>
      <c r="G53" s="26" t="s">
        <v>125</v>
      </c>
      <c r="H53" s="33"/>
    </row>
    <row r="54" spans="2:10" s="18" customFormat="1" ht="57" customHeight="1">
      <c r="B54" s="65" t="s">
        <v>132</v>
      </c>
      <c r="C54" s="77" t="s">
        <v>17</v>
      </c>
      <c r="D54" s="78" t="s">
        <v>16</v>
      </c>
      <c r="E54" s="56">
        <f>90000+34000</f>
        <v>124000</v>
      </c>
      <c r="F54" s="79" t="s">
        <v>61</v>
      </c>
      <c r="G54" s="80" t="s">
        <v>125</v>
      </c>
      <c r="H54" s="80" t="s">
        <v>67</v>
      </c>
    </row>
    <row r="55" spans="2:10" s="18" customFormat="1" ht="65.25" customHeight="1">
      <c r="B55" s="65" t="s">
        <v>132</v>
      </c>
      <c r="C55" s="77" t="s">
        <v>17</v>
      </c>
      <c r="D55" s="78" t="s">
        <v>16</v>
      </c>
      <c r="E55" s="56">
        <f>150+400+266+21+350</f>
        <v>1187</v>
      </c>
      <c r="F55" s="79" t="s">
        <v>61</v>
      </c>
      <c r="G55" s="80" t="s">
        <v>125</v>
      </c>
      <c r="H55" s="80"/>
      <c r="J55" s="20"/>
    </row>
    <row r="56" spans="2:10" s="18" customFormat="1" ht="56.25">
      <c r="B56" s="65" t="s">
        <v>132</v>
      </c>
      <c r="C56" s="38" t="s">
        <v>77</v>
      </c>
      <c r="D56" s="23" t="s">
        <v>78</v>
      </c>
      <c r="E56" s="56">
        <v>3000</v>
      </c>
      <c r="F56" s="25" t="s">
        <v>61</v>
      </c>
      <c r="G56" s="26" t="s">
        <v>125</v>
      </c>
      <c r="H56" s="26" t="s">
        <v>79</v>
      </c>
    </row>
    <row r="57" spans="2:10" s="18" customFormat="1" ht="56.25">
      <c r="B57" s="65" t="s">
        <v>132</v>
      </c>
      <c r="C57" s="77" t="s">
        <v>163</v>
      </c>
      <c r="D57" s="78" t="s">
        <v>164</v>
      </c>
      <c r="E57" s="56">
        <v>500</v>
      </c>
      <c r="F57" s="79" t="s">
        <v>61</v>
      </c>
      <c r="G57" s="80" t="s">
        <v>152</v>
      </c>
      <c r="H57" s="80" t="s">
        <v>79</v>
      </c>
    </row>
    <row r="58" spans="2:10" s="18" customFormat="1" ht="75" customHeight="1">
      <c r="B58" s="65" t="s">
        <v>132</v>
      </c>
      <c r="C58" s="77" t="s">
        <v>25</v>
      </c>
      <c r="D58" s="78" t="s">
        <v>119</v>
      </c>
      <c r="E58" s="56">
        <v>100000</v>
      </c>
      <c r="F58" s="79" t="s">
        <v>64</v>
      </c>
      <c r="G58" s="80" t="s">
        <v>125</v>
      </c>
      <c r="H58" s="80"/>
    </row>
    <row r="59" spans="2:10" s="1" customFormat="1" ht="63.75" customHeight="1">
      <c r="B59" s="104" t="s">
        <v>132</v>
      </c>
      <c r="C59" s="23" t="s">
        <v>45</v>
      </c>
      <c r="D59" s="23" t="s">
        <v>63</v>
      </c>
      <c r="E59" s="24">
        <f>6000+3850</f>
        <v>9850</v>
      </c>
      <c r="F59" s="25" t="s">
        <v>64</v>
      </c>
      <c r="G59" s="26" t="s">
        <v>125</v>
      </c>
      <c r="H59" s="26"/>
    </row>
    <row r="60" spans="2:10" s="18" customFormat="1" ht="63.75" customHeight="1">
      <c r="B60" s="65" t="s">
        <v>132</v>
      </c>
      <c r="C60" s="78" t="s">
        <v>120</v>
      </c>
      <c r="D60" s="78" t="s">
        <v>121</v>
      </c>
      <c r="E60" s="56">
        <v>450</v>
      </c>
      <c r="F60" s="79" t="s">
        <v>61</v>
      </c>
      <c r="G60" s="80" t="s">
        <v>125</v>
      </c>
      <c r="H60" s="80"/>
    </row>
    <row r="61" spans="2:10" s="18" customFormat="1" ht="77.25" customHeight="1">
      <c r="B61" s="65" t="s">
        <v>132</v>
      </c>
      <c r="C61" s="30">
        <v>79700000</v>
      </c>
      <c r="D61" s="23" t="s">
        <v>27</v>
      </c>
      <c r="E61" s="56">
        <v>600000</v>
      </c>
      <c r="F61" s="25" t="s">
        <v>61</v>
      </c>
      <c r="G61" s="26" t="s">
        <v>125</v>
      </c>
      <c r="H61" s="26" t="s">
        <v>80</v>
      </c>
    </row>
    <row r="62" spans="2:10" s="18" customFormat="1" ht="62.25" customHeight="1">
      <c r="B62" s="65" t="s">
        <v>132</v>
      </c>
      <c r="C62" s="30">
        <v>79800000</v>
      </c>
      <c r="D62" s="23" t="s">
        <v>81</v>
      </c>
      <c r="E62" s="56">
        <v>10000</v>
      </c>
      <c r="F62" s="25" t="s">
        <v>64</v>
      </c>
      <c r="G62" s="26" t="s">
        <v>125</v>
      </c>
      <c r="H62" s="26"/>
    </row>
    <row r="63" spans="2:10" s="18" customFormat="1" ht="62.25" customHeight="1">
      <c r="B63" s="65" t="s">
        <v>132</v>
      </c>
      <c r="C63" s="78" t="s">
        <v>53</v>
      </c>
      <c r="D63" s="78" t="s">
        <v>65</v>
      </c>
      <c r="E63" s="56">
        <f>20000+12000-2305</f>
        <v>29695</v>
      </c>
      <c r="F63" s="79" t="s">
        <v>61</v>
      </c>
      <c r="G63" s="80" t="s">
        <v>125</v>
      </c>
      <c r="H63" s="78" t="s">
        <v>68</v>
      </c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v>2305</v>
      </c>
      <c r="F64" s="79" t="s">
        <v>61</v>
      </c>
      <c r="G64" s="80" t="s">
        <v>173</v>
      </c>
      <c r="H64" s="78"/>
    </row>
    <row r="65" spans="2:13" s="18" customFormat="1" ht="62.25" customHeight="1">
      <c r="B65" s="65" t="s">
        <v>132</v>
      </c>
      <c r="C65" s="38" t="s">
        <v>24</v>
      </c>
      <c r="D65" s="23" t="s">
        <v>71</v>
      </c>
      <c r="E65" s="56">
        <v>12000</v>
      </c>
      <c r="F65" s="25" t="s">
        <v>64</v>
      </c>
      <c r="G65" s="26" t="s">
        <v>125</v>
      </c>
      <c r="H65" s="23"/>
    </row>
    <row r="66" spans="2:13" s="18" customFormat="1" ht="62.25" customHeight="1">
      <c r="B66" s="65" t="s">
        <v>132</v>
      </c>
      <c r="C66" s="38" t="s">
        <v>122</v>
      </c>
      <c r="D66" s="23" t="s">
        <v>123</v>
      </c>
      <c r="E66" s="56">
        <v>1000</v>
      </c>
      <c r="F66" s="25" t="s">
        <v>61</v>
      </c>
      <c r="G66" s="26" t="s">
        <v>125</v>
      </c>
      <c r="H66" s="23"/>
    </row>
    <row r="67" spans="2:13" s="18" customFormat="1" ht="60.75" customHeight="1">
      <c r="B67" s="65" t="s">
        <v>132</v>
      </c>
      <c r="C67" s="78" t="s">
        <v>82</v>
      </c>
      <c r="D67" s="78" t="s">
        <v>83</v>
      </c>
      <c r="E67" s="56">
        <v>10000</v>
      </c>
      <c r="F67" s="79" t="s">
        <v>61</v>
      </c>
      <c r="G67" s="80" t="s">
        <v>125</v>
      </c>
      <c r="H67" s="80" t="s">
        <v>79</v>
      </c>
    </row>
    <row r="68" spans="2:13" s="18" customFormat="1" ht="36.75" customHeight="1">
      <c r="B68" s="65" t="s">
        <v>132</v>
      </c>
      <c r="C68" s="78" t="s">
        <v>12</v>
      </c>
      <c r="D68" s="78" t="s">
        <v>19</v>
      </c>
      <c r="E68" s="56">
        <f>80000+110000</f>
        <v>190000</v>
      </c>
      <c r="F68" s="79" t="s">
        <v>64</v>
      </c>
      <c r="G68" s="80" t="s">
        <v>125</v>
      </c>
      <c r="H68" s="81"/>
    </row>
    <row r="69" spans="2:13" s="18" customFormat="1" ht="54.75" customHeight="1">
      <c r="B69" s="65" t="s">
        <v>132</v>
      </c>
      <c r="C69" s="78" t="s">
        <v>115</v>
      </c>
      <c r="D69" s="78" t="s">
        <v>116</v>
      </c>
      <c r="E69" s="56">
        <v>15000</v>
      </c>
      <c r="F69" s="79" t="s">
        <v>61</v>
      </c>
      <c r="G69" s="80" t="s">
        <v>125</v>
      </c>
      <c r="H69" s="80" t="s">
        <v>79</v>
      </c>
    </row>
    <row r="70" spans="2:13" s="18" customFormat="1" ht="54.75" customHeight="1">
      <c r="B70" s="108" t="s">
        <v>132</v>
      </c>
      <c r="C70" s="78" t="s">
        <v>165</v>
      </c>
      <c r="D70" s="78" t="s">
        <v>166</v>
      </c>
      <c r="E70" s="56">
        <v>4900</v>
      </c>
      <c r="F70" s="79" t="s">
        <v>61</v>
      </c>
      <c r="G70" s="80" t="s">
        <v>152</v>
      </c>
      <c r="H70" s="80" t="s">
        <v>79</v>
      </c>
    </row>
    <row r="71" spans="2:13" s="1" customFormat="1" ht="75" customHeight="1">
      <c r="B71" s="127" t="s">
        <v>135</v>
      </c>
      <c r="C71" s="128"/>
      <c r="D71" s="128"/>
      <c r="E71" s="16">
        <f>SUM(E72:E75)</f>
        <v>1710000</v>
      </c>
      <c r="F71" s="13"/>
      <c r="G71" s="14"/>
      <c r="H71" s="10"/>
      <c r="I71" s="61"/>
      <c r="J71" s="62"/>
    </row>
    <row r="72" spans="2:13" s="1" customFormat="1" ht="59.25" customHeight="1">
      <c r="B72" s="104" t="s">
        <v>132</v>
      </c>
      <c r="C72" s="23" t="s">
        <v>24</v>
      </c>
      <c r="D72" s="23" t="s">
        <v>71</v>
      </c>
      <c r="E72" s="24">
        <f>1710000-142500-E74-E73</f>
        <v>1314302.3999999999</v>
      </c>
      <c r="F72" s="25" t="s">
        <v>64</v>
      </c>
      <c r="G72" s="26" t="s">
        <v>125</v>
      </c>
      <c r="H72" s="41"/>
      <c r="J72" s="62"/>
    </row>
    <row r="73" spans="2:13" s="1" customFormat="1" ht="67.5">
      <c r="B73" s="104" t="s">
        <v>132</v>
      </c>
      <c r="C73" s="23" t="s">
        <v>103</v>
      </c>
      <c r="D73" s="23" t="s">
        <v>71</v>
      </c>
      <c r="E73" s="24">
        <v>33000</v>
      </c>
      <c r="F73" s="25" t="s">
        <v>61</v>
      </c>
      <c r="G73" s="26" t="s">
        <v>151</v>
      </c>
      <c r="H73" s="48" t="s">
        <v>98</v>
      </c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220197.6</v>
      </c>
      <c r="F74" s="25" t="s">
        <v>61</v>
      </c>
      <c r="G74" s="26" t="s">
        <v>150</v>
      </c>
      <c r="H74" s="48" t="s">
        <v>98</v>
      </c>
    </row>
    <row r="75" spans="2:13" s="1" customFormat="1" ht="98.25" customHeight="1">
      <c r="B75" s="104" t="s">
        <v>132</v>
      </c>
      <c r="C75" s="23" t="s">
        <v>24</v>
      </c>
      <c r="D75" s="23" t="s">
        <v>71</v>
      </c>
      <c r="E75" s="24">
        <v>142500</v>
      </c>
      <c r="F75" s="25" t="s">
        <v>61</v>
      </c>
      <c r="G75" s="26" t="s">
        <v>125</v>
      </c>
      <c r="H75" s="48" t="s">
        <v>128</v>
      </c>
      <c r="J75" s="62"/>
    </row>
    <row r="76" spans="2:13" s="1" customFormat="1" ht="31.5" customHeight="1">
      <c r="B76" s="127" t="s">
        <v>136</v>
      </c>
      <c r="C76" s="128"/>
      <c r="D76" s="128"/>
      <c r="E76" s="16">
        <f>SUM(E77:E81)</f>
        <v>22370000</v>
      </c>
      <c r="F76" s="13"/>
      <c r="G76" s="9"/>
      <c r="H76" s="10"/>
      <c r="I76" s="61"/>
      <c r="J76" s="62"/>
    </row>
    <row r="77" spans="2:13" s="1" customFormat="1" ht="75.75" customHeight="1">
      <c r="B77" s="104" t="s">
        <v>132</v>
      </c>
      <c r="C77" s="23" t="s">
        <v>7</v>
      </c>
      <c r="D77" s="23" t="s">
        <v>57</v>
      </c>
      <c r="E77" s="24">
        <f>3750000+400000</f>
        <v>4150000</v>
      </c>
      <c r="F77" s="25" t="s">
        <v>61</v>
      </c>
      <c r="G77" s="26" t="s">
        <v>125</v>
      </c>
      <c r="H77" s="48" t="s">
        <v>97</v>
      </c>
    </row>
    <row r="78" spans="2:13" s="1" customFormat="1" ht="75.75" customHeight="1">
      <c r="B78" s="66" t="s">
        <v>133</v>
      </c>
      <c r="C78" s="23" t="s">
        <v>7</v>
      </c>
      <c r="D78" s="23" t="s">
        <v>57</v>
      </c>
      <c r="E78" s="24">
        <v>100000</v>
      </c>
      <c r="F78" s="25" t="s">
        <v>61</v>
      </c>
      <c r="G78" s="26" t="s">
        <v>125</v>
      </c>
      <c r="H78" s="48" t="s">
        <v>97</v>
      </c>
    </row>
    <row r="79" spans="2:13" s="1" customFormat="1" ht="121.5" customHeight="1">
      <c r="B79" s="104" t="s">
        <v>132</v>
      </c>
      <c r="C79" s="23">
        <v>33600000</v>
      </c>
      <c r="D79" s="23" t="s">
        <v>29</v>
      </c>
      <c r="E79" s="24">
        <f>1440000+270000-22680</f>
        <v>1687320</v>
      </c>
      <c r="F79" s="25" t="s">
        <v>64</v>
      </c>
      <c r="G79" s="26" t="s">
        <v>125</v>
      </c>
      <c r="H79" s="41"/>
      <c r="J79" s="62"/>
      <c r="L79" s="62"/>
      <c r="M79" s="62"/>
    </row>
    <row r="80" spans="2:13" s="1" customFormat="1" ht="121.5" customHeight="1">
      <c r="B80" s="104" t="s">
        <v>132</v>
      </c>
      <c r="C80" s="23" t="s">
        <v>32</v>
      </c>
      <c r="D80" s="23" t="s">
        <v>29</v>
      </c>
      <c r="E80" s="24">
        <v>22680</v>
      </c>
      <c r="F80" s="25" t="s">
        <v>61</v>
      </c>
      <c r="G80" s="26" t="s">
        <v>150</v>
      </c>
      <c r="H80" s="48" t="s">
        <v>157</v>
      </c>
      <c r="J80" s="62"/>
      <c r="L80" s="62"/>
      <c r="M80" s="62"/>
    </row>
    <row r="81" spans="2:11" s="1" customFormat="1" ht="87.75" customHeight="1">
      <c r="B81" s="104" t="s">
        <v>132</v>
      </c>
      <c r="C81" s="23" t="s">
        <v>32</v>
      </c>
      <c r="D81" s="23" t="s">
        <v>29</v>
      </c>
      <c r="E81" s="24">
        <v>16410000</v>
      </c>
      <c r="F81" s="25" t="s">
        <v>61</v>
      </c>
      <c r="G81" s="26" t="s">
        <v>125</v>
      </c>
      <c r="H81" s="48" t="s">
        <v>98</v>
      </c>
      <c r="J81" s="62"/>
      <c r="K81" s="62"/>
    </row>
    <row r="82" spans="2:11" s="1" customFormat="1" ht="60" customHeight="1">
      <c r="B82" s="127" t="s">
        <v>137</v>
      </c>
      <c r="C82" s="128"/>
      <c r="D82" s="128"/>
      <c r="E82" s="16">
        <f>SUM(E83:E87)</f>
        <v>1700000</v>
      </c>
      <c r="F82" s="13"/>
      <c r="G82" s="14"/>
      <c r="H82" s="10"/>
      <c r="I82" s="61"/>
      <c r="J82" s="105"/>
    </row>
    <row r="83" spans="2:11" s="1" customFormat="1" ht="36.75" customHeight="1">
      <c r="B83" s="104" t="s">
        <v>132</v>
      </c>
      <c r="C83" s="23" t="s">
        <v>7</v>
      </c>
      <c r="D83" s="23" t="s">
        <v>28</v>
      </c>
      <c r="E83" s="24">
        <v>42272.9</v>
      </c>
      <c r="F83" s="25" t="s">
        <v>64</v>
      </c>
      <c r="G83" s="26" t="s">
        <v>125</v>
      </c>
      <c r="H83" s="41"/>
    </row>
    <row r="84" spans="2:11" s="1" customFormat="1" ht="51" customHeight="1">
      <c r="B84" s="104" t="s">
        <v>132</v>
      </c>
      <c r="C84" s="23" t="s">
        <v>32</v>
      </c>
      <c r="D84" s="23" t="s">
        <v>29</v>
      </c>
      <c r="E84" s="24">
        <v>60607.14</v>
      </c>
      <c r="F84" s="25" t="s">
        <v>64</v>
      </c>
      <c r="G84" s="26" t="s">
        <v>125</v>
      </c>
      <c r="H84" s="41"/>
      <c r="J84" s="62"/>
    </row>
    <row r="85" spans="2:11" s="1" customFormat="1" ht="45" customHeight="1">
      <c r="B85" s="104" t="s">
        <v>132</v>
      </c>
      <c r="C85" s="23" t="s">
        <v>89</v>
      </c>
      <c r="D85" s="23" t="s">
        <v>90</v>
      </c>
      <c r="E85" s="24">
        <v>798000</v>
      </c>
      <c r="F85" s="25" t="s">
        <v>64</v>
      </c>
      <c r="G85" s="26" t="s">
        <v>125</v>
      </c>
      <c r="H85" s="48"/>
    </row>
    <row r="86" spans="2:11" s="1" customFormat="1" ht="78.75">
      <c r="B86" s="104" t="s">
        <v>132</v>
      </c>
      <c r="C86" s="23" t="s">
        <v>24</v>
      </c>
      <c r="D86" s="23" t="s">
        <v>71</v>
      </c>
      <c r="E86" s="24">
        <v>69239.960000000006</v>
      </c>
      <c r="F86" s="25" t="s">
        <v>61</v>
      </c>
      <c r="G86" s="26" t="s">
        <v>125</v>
      </c>
      <c r="H86" s="48" t="s">
        <v>129</v>
      </c>
      <c r="J86" s="62"/>
    </row>
    <row r="87" spans="2:11" s="1" customFormat="1" ht="67.5">
      <c r="B87" s="104" t="s">
        <v>132</v>
      </c>
      <c r="C87" s="23" t="s">
        <v>24</v>
      </c>
      <c r="D87" s="23" t="s">
        <v>71</v>
      </c>
      <c r="E87" s="24">
        <v>729880</v>
      </c>
      <c r="F87" s="25" t="s">
        <v>61</v>
      </c>
      <c r="G87" s="26" t="s">
        <v>152</v>
      </c>
      <c r="H87" s="48" t="s">
        <v>98</v>
      </c>
    </row>
    <row r="88" spans="2:11" s="1" customFormat="1" ht="65.25" customHeight="1">
      <c r="B88" s="127" t="s">
        <v>138</v>
      </c>
      <c r="C88" s="128"/>
      <c r="D88" s="128"/>
      <c r="E88" s="16">
        <f>SUM(E89:E91)</f>
        <v>1753700.5</v>
      </c>
      <c r="F88" s="13"/>
      <c r="G88" s="14"/>
      <c r="H88" s="10"/>
      <c r="I88" s="61"/>
      <c r="J88" s="62"/>
    </row>
    <row r="89" spans="2:11" s="1" customFormat="1" ht="33.75">
      <c r="B89" s="104" t="s">
        <v>132</v>
      </c>
      <c r="C89" s="36" t="s">
        <v>25</v>
      </c>
      <c r="D89" s="36" t="s">
        <v>69</v>
      </c>
      <c r="E89" s="24">
        <f>55000+145000</f>
        <v>200000</v>
      </c>
      <c r="F89" s="43" t="s">
        <v>64</v>
      </c>
      <c r="G89" s="26" t="s">
        <v>125</v>
      </c>
      <c r="H89" s="44"/>
    </row>
    <row r="90" spans="2:11" s="1" customFormat="1" ht="78.75">
      <c r="B90" s="104" t="s">
        <v>132</v>
      </c>
      <c r="C90" s="23">
        <v>85100000</v>
      </c>
      <c r="D90" s="23" t="s">
        <v>71</v>
      </c>
      <c r="E90" s="24">
        <v>127500.5</v>
      </c>
      <c r="F90" s="25" t="s">
        <v>61</v>
      </c>
      <c r="G90" s="26" t="s">
        <v>125</v>
      </c>
      <c r="H90" s="45" t="s">
        <v>124</v>
      </c>
    </row>
    <row r="91" spans="2:11" s="1" customFormat="1" ht="60.75" customHeight="1">
      <c r="B91" s="104" t="s">
        <v>132</v>
      </c>
      <c r="C91" s="23">
        <v>85100000</v>
      </c>
      <c r="D91" s="23" t="s">
        <v>71</v>
      </c>
      <c r="E91" s="24">
        <f>1460000+111200-145000</f>
        <v>1426200</v>
      </c>
      <c r="F91" s="25" t="s">
        <v>61</v>
      </c>
      <c r="G91" s="26" t="s">
        <v>125</v>
      </c>
      <c r="H91" s="48" t="s">
        <v>98</v>
      </c>
      <c r="K91" s="62"/>
    </row>
    <row r="92" spans="2:11" s="1" customFormat="1" ht="61.5" customHeight="1">
      <c r="B92" s="127" t="s">
        <v>139</v>
      </c>
      <c r="C92" s="128"/>
      <c r="D92" s="128"/>
      <c r="E92" s="16">
        <f>SUM(E93:E94)</f>
        <v>184166.6</v>
      </c>
      <c r="F92" s="13"/>
      <c r="G92" s="14"/>
      <c r="H92" s="10"/>
      <c r="I92" s="61"/>
      <c r="J92" s="62"/>
    </row>
    <row r="93" spans="2:11" s="18" customFormat="1" ht="70.5" customHeight="1">
      <c r="B93" s="65" t="s">
        <v>132</v>
      </c>
      <c r="C93" s="23" t="s">
        <v>24</v>
      </c>
      <c r="D93" s="23" t="s">
        <v>71</v>
      </c>
      <c r="E93" s="56">
        <v>14166.6</v>
      </c>
      <c r="F93" s="25" t="s">
        <v>61</v>
      </c>
      <c r="G93" s="26" t="s">
        <v>125</v>
      </c>
      <c r="H93" s="48" t="s">
        <v>76</v>
      </c>
    </row>
    <row r="94" spans="2:11" s="1" customFormat="1" ht="75" customHeight="1">
      <c r="B94" s="104" t="s">
        <v>132</v>
      </c>
      <c r="C94" s="23" t="s">
        <v>24</v>
      </c>
      <c r="D94" s="23" t="s">
        <v>71</v>
      </c>
      <c r="E94" s="24">
        <v>170000</v>
      </c>
      <c r="F94" s="25" t="s">
        <v>61</v>
      </c>
      <c r="G94" s="26" t="s">
        <v>125</v>
      </c>
      <c r="H94" s="48" t="s">
        <v>98</v>
      </c>
    </row>
    <row r="95" spans="2:11" s="1" customFormat="1" ht="65.25" customHeight="1">
      <c r="B95" s="138" t="s">
        <v>140</v>
      </c>
      <c r="C95" s="139"/>
      <c r="D95" s="139"/>
      <c r="E95" s="16">
        <f>SUM(E96:E100)</f>
        <v>1090000</v>
      </c>
      <c r="F95" s="13"/>
      <c r="G95" s="14"/>
      <c r="H95" s="60"/>
      <c r="I95" s="61"/>
      <c r="J95" s="62"/>
    </row>
    <row r="96" spans="2:11" s="1" customFormat="1" ht="49.5" customHeight="1">
      <c r="B96" s="104" t="s">
        <v>132</v>
      </c>
      <c r="C96" s="23" t="s">
        <v>14</v>
      </c>
      <c r="D96" s="23" t="s">
        <v>15</v>
      </c>
      <c r="E96" s="24">
        <v>24200</v>
      </c>
      <c r="F96" s="25" t="s">
        <v>60</v>
      </c>
      <c r="G96" s="26" t="s">
        <v>125</v>
      </c>
      <c r="H96" s="41"/>
    </row>
    <row r="97" spans="2:10" s="1" customFormat="1" ht="33.75">
      <c r="B97" s="104" t="s">
        <v>132</v>
      </c>
      <c r="C97" s="28">
        <v>33100000</v>
      </c>
      <c r="D97" s="28" t="s">
        <v>28</v>
      </c>
      <c r="E97" s="24">
        <f>240004-87983</f>
        <v>152021</v>
      </c>
      <c r="F97" s="29" t="s">
        <v>64</v>
      </c>
      <c r="G97" s="26" t="s">
        <v>125</v>
      </c>
      <c r="H97" s="46"/>
    </row>
    <row r="98" spans="2:10" s="1" customFormat="1" ht="60.75" customHeight="1">
      <c r="B98" s="104" t="s">
        <v>132</v>
      </c>
      <c r="C98" s="23" t="s">
        <v>59</v>
      </c>
      <c r="D98" s="23" t="s">
        <v>44</v>
      </c>
      <c r="E98" s="24">
        <v>15000</v>
      </c>
      <c r="F98" s="25" t="s">
        <v>64</v>
      </c>
      <c r="G98" s="26" t="s">
        <v>125</v>
      </c>
      <c r="H98" s="41"/>
    </row>
    <row r="99" spans="2:10" s="1" customFormat="1" ht="75" customHeight="1">
      <c r="B99" s="104" t="s">
        <v>132</v>
      </c>
      <c r="C99" s="23">
        <v>85100000</v>
      </c>
      <c r="D99" s="23" t="s">
        <v>71</v>
      </c>
      <c r="E99" s="24">
        <v>48983</v>
      </c>
      <c r="F99" s="25" t="s">
        <v>61</v>
      </c>
      <c r="G99" s="26" t="s">
        <v>125</v>
      </c>
      <c r="H99" s="48" t="s">
        <v>126</v>
      </c>
      <c r="J99" s="62"/>
    </row>
    <row r="100" spans="2:10" s="18" customFormat="1" ht="65.25" customHeight="1">
      <c r="B100" s="65" t="s">
        <v>132</v>
      </c>
      <c r="C100" s="78">
        <v>85100000</v>
      </c>
      <c r="D100" s="78" t="s">
        <v>71</v>
      </c>
      <c r="E100" s="56">
        <f>1071996+37800-260000</f>
        <v>849796</v>
      </c>
      <c r="F100" s="79" t="s">
        <v>61</v>
      </c>
      <c r="G100" s="80" t="s">
        <v>125</v>
      </c>
      <c r="H100" s="111" t="s">
        <v>98</v>
      </c>
    </row>
    <row r="101" spans="2:10" s="1" customFormat="1" ht="80.25" customHeight="1">
      <c r="B101" s="127" t="s">
        <v>141</v>
      </c>
      <c r="C101" s="128"/>
      <c r="D101" s="128"/>
      <c r="E101" s="16">
        <f>SUM(E102:E102)</f>
        <v>1250000</v>
      </c>
      <c r="F101" s="13"/>
      <c r="G101" s="14"/>
      <c r="H101" s="10"/>
      <c r="I101" s="61"/>
      <c r="J101" s="62"/>
    </row>
    <row r="102" spans="2:10" s="1" customFormat="1" ht="84.75" customHeight="1">
      <c r="B102" s="104" t="s">
        <v>132</v>
      </c>
      <c r="C102" s="23" t="s">
        <v>32</v>
      </c>
      <c r="D102" s="23" t="s">
        <v>29</v>
      </c>
      <c r="E102" s="24">
        <v>1250000</v>
      </c>
      <c r="F102" s="25" t="s">
        <v>61</v>
      </c>
      <c r="G102" s="26" t="s">
        <v>125</v>
      </c>
      <c r="H102" s="48" t="s">
        <v>98</v>
      </c>
    </row>
    <row r="103" spans="2:10" s="1" customFormat="1" ht="57.75" customHeight="1">
      <c r="B103" s="136" t="s">
        <v>142</v>
      </c>
      <c r="C103" s="137"/>
      <c r="D103" s="137"/>
      <c r="E103" s="57">
        <f>SUM(E104:E107)</f>
        <v>4000000</v>
      </c>
      <c r="F103" s="58"/>
      <c r="G103" s="58"/>
      <c r="H103" s="59"/>
      <c r="I103" s="61"/>
      <c r="J103" s="62"/>
    </row>
    <row r="104" spans="2:10" s="18" customFormat="1" ht="29.25" customHeight="1">
      <c r="B104" s="65" t="s">
        <v>132</v>
      </c>
      <c r="C104" s="38">
        <v>33100000</v>
      </c>
      <c r="D104" s="23" t="s">
        <v>8</v>
      </c>
      <c r="E104" s="56">
        <v>124876.2</v>
      </c>
      <c r="F104" s="25" t="s">
        <v>64</v>
      </c>
      <c r="G104" s="26" t="s">
        <v>125</v>
      </c>
      <c r="H104" s="26"/>
    </row>
    <row r="105" spans="2:10" s="1" customFormat="1" ht="33.75">
      <c r="B105" s="104" t="s">
        <v>132</v>
      </c>
      <c r="C105" s="38" t="s">
        <v>32</v>
      </c>
      <c r="D105" s="23" t="s">
        <v>9</v>
      </c>
      <c r="E105" s="24">
        <f>2995349.4-3495.8-99984.41</f>
        <v>2891869.19</v>
      </c>
      <c r="F105" s="25" t="s">
        <v>64</v>
      </c>
      <c r="G105" s="26" t="s">
        <v>125</v>
      </c>
      <c r="H105" s="26"/>
    </row>
    <row r="106" spans="2:10" s="1" customFormat="1" ht="67.5">
      <c r="B106" s="104" t="s">
        <v>132</v>
      </c>
      <c r="C106" s="38" t="s">
        <v>24</v>
      </c>
      <c r="D106" s="23" t="s">
        <v>71</v>
      </c>
      <c r="E106" s="24">
        <v>73605.850000000006</v>
      </c>
      <c r="F106" s="25" t="s">
        <v>61</v>
      </c>
      <c r="G106" s="26" t="s">
        <v>125</v>
      </c>
      <c r="H106" s="45" t="s">
        <v>127</v>
      </c>
    </row>
    <row r="107" spans="2:10" s="1" customFormat="1" ht="83.25" customHeight="1">
      <c r="B107" s="104" t="s">
        <v>132</v>
      </c>
      <c r="C107" s="23" t="s">
        <v>24</v>
      </c>
      <c r="D107" s="23" t="s">
        <v>71</v>
      </c>
      <c r="E107" s="24">
        <v>909648.76</v>
      </c>
      <c r="F107" s="25" t="s">
        <v>61</v>
      </c>
      <c r="G107" s="26" t="s">
        <v>152</v>
      </c>
      <c r="H107" s="32" t="s">
        <v>98</v>
      </c>
    </row>
    <row r="108" spans="2:10" ht="122.25" customHeight="1">
      <c r="B108" s="127" t="s">
        <v>143</v>
      </c>
      <c r="C108" s="128"/>
      <c r="D108" s="128"/>
      <c r="E108" s="16">
        <f>SUM(E109)</f>
        <v>2190000</v>
      </c>
      <c r="F108" s="13"/>
      <c r="G108" s="14"/>
      <c r="H108" s="10"/>
      <c r="I108" s="61"/>
      <c r="J108" s="63">
        <f>E103-4000000</f>
        <v>0</v>
      </c>
    </row>
    <row r="109" spans="2:10" s="1" customFormat="1" ht="117.75" customHeight="1">
      <c r="B109" s="104" t="s">
        <v>132</v>
      </c>
      <c r="C109" s="23" t="s">
        <v>32</v>
      </c>
      <c r="D109" s="23" t="s">
        <v>29</v>
      </c>
      <c r="E109" s="24">
        <v>2190000</v>
      </c>
      <c r="F109" s="25" t="s">
        <v>61</v>
      </c>
      <c r="G109" s="26" t="s">
        <v>152</v>
      </c>
      <c r="H109" s="48" t="s">
        <v>98</v>
      </c>
    </row>
    <row r="110" spans="2:10" s="1" customFormat="1" ht="57" customHeight="1">
      <c r="B110" s="138" t="s">
        <v>144</v>
      </c>
      <c r="C110" s="139"/>
      <c r="D110" s="139"/>
      <c r="E110" s="16">
        <f>SUM(E111:E115)</f>
        <v>474000</v>
      </c>
      <c r="F110" s="13"/>
      <c r="G110" s="60"/>
      <c r="H110" s="60"/>
      <c r="I110" s="61"/>
      <c r="J110" s="62"/>
    </row>
    <row r="111" spans="2:10" s="1" customFormat="1" ht="59.25" customHeight="1">
      <c r="B111" s="104" t="s">
        <v>148</v>
      </c>
      <c r="C111" s="23">
        <v>33100000</v>
      </c>
      <c r="D111" s="23" t="s">
        <v>28</v>
      </c>
      <c r="E111" s="24">
        <f>20000+14559.87+22385.83</f>
        <v>56945.700000000004</v>
      </c>
      <c r="F111" s="25" t="s">
        <v>64</v>
      </c>
      <c r="G111" s="26" t="s">
        <v>125</v>
      </c>
      <c r="H111" s="41"/>
    </row>
    <row r="112" spans="2:10" s="1" customFormat="1" ht="38.25">
      <c r="B112" s="104" t="s">
        <v>148</v>
      </c>
      <c r="C112" s="36">
        <v>33600000</v>
      </c>
      <c r="D112" s="36" t="s">
        <v>29</v>
      </c>
      <c r="E112" s="24">
        <f>266824.3+68000-17770</f>
        <v>317054.3</v>
      </c>
      <c r="F112" s="43" t="s">
        <v>64</v>
      </c>
      <c r="G112" s="26" t="s">
        <v>125</v>
      </c>
      <c r="H112" s="44"/>
    </row>
    <row r="113" spans="2:11" s="1" customFormat="1" ht="78.75">
      <c r="B113" s="104" t="s">
        <v>132</v>
      </c>
      <c r="C113" s="38" t="s">
        <v>103</v>
      </c>
      <c r="D113" s="23" t="s">
        <v>71</v>
      </c>
      <c r="E113" s="24">
        <v>6870</v>
      </c>
      <c r="F113" s="25" t="s">
        <v>61</v>
      </c>
      <c r="G113" s="26" t="s">
        <v>125</v>
      </c>
      <c r="H113" s="45" t="s">
        <v>130</v>
      </c>
    </row>
    <row r="114" spans="2:11" s="1" customFormat="1" ht="67.5">
      <c r="B114" s="104" t="s">
        <v>132</v>
      </c>
      <c r="C114" s="38" t="s">
        <v>103</v>
      </c>
      <c r="D114" s="23" t="s">
        <v>71</v>
      </c>
      <c r="E114" s="24">
        <f>13740+6870</f>
        <v>20610</v>
      </c>
      <c r="F114" s="25" t="s">
        <v>61</v>
      </c>
      <c r="G114" s="26" t="s">
        <v>152</v>
      </c>
      <c r="H114" s="48" t="s">
        <v>98</v>
      </c>
      <c r="J114" s="62"/>
      <c r="K114" s="62"/>
    </row>
    <row r="115" spans="2:11" s="1" customFormat="1" ht="51" customHeight="1">
      <c r="B115" s="104" t="s">
        <v>132</v>
      </c>
      <c r="C115" s="38" t="s">
        <v>24</v>
      </c>
      <c r="D115" s="23" t="s">
        <v>71</v>
      </c>
      <c r="E115" s="24">
        <v>72520</v>
      </c>
      <c r="F115" s="25" t="s">
        <v>64</v>
      </c>
      <c r="G115" s="26" t="s">
        <v>153</v>
      </c>
      <c r="H115" s="45"/>
      <c r="J115" s="62"/>
      <c r="K115" s="62"/>
    </row>
    <row r="116" spans="2:11" ht="59.25" customHeight="1">
      <c r="B116" s="127" t="s">
        <v>145</v>
      </c>
      <c r="C116" s="128"/>
      <c r="D116" s="128"/>
      <c r="E116" s="16">
        <f>SUM(E117:E120)</f>
        <v>2100000</v>
      </c>
      <c r="F116" s="13"/>
      <c r="G116" s="14"/>
      <c r="H116" s="10"/>
      <c r="I116" s="61"/>
      <c r="J116" s="63"/>
    </row>
    <row r="117" spans="2:11" s="18" customFormat="1" ht="42.75" customHeight="1">
      <c r="B117" s="104" t="s">
        <v>132</v>
      </c>
      <c r="C117" s="23" t="s">
        <v>25</v>
      </c>
      <c r="D117" s="23" t="s">
        <v>69</v>
      </c>
      <c r="E117" s="24">
        <f>2100000-115976-175000</f>
        <v>1809024</v>
      </c>
      <c r="F117" s="25" t="s">
        <v>64</v>
      </c>
      <c r="G117" s="26" t="s">
        <v>125</v>
      </c>
      <c r="H117" s="53"/>
    </row>
    <row r="118" spans="2:11" s="1" customFormat="1" ht="42.75" customHeight="1">
      <c r="B118" s="104" t="s">
        <v>132</v>
      </c>
      <c r="C118" s="23" t="s">
        <v>25</v>
      </c>
      <c r="D118" s="23" t="s">
        <v>69</v>
      </c>
      <c r="E118" s="24">
        <f>5976</f>
        <v>5976</v>
      </c>
      <c r="F118" s="25" t="s">
        <v>61</v>
      </c>
      <c r="G118" s="26" t="s">
        <v>152</v>
      </c>
      <c r="H118" s="48" t="s">
        <v>98</v>
      </c>
    </row>
    <row r="119" spans="2:11" s="1" customFormat="1" ht="42.75" customHeight="1">
      <c r="B119" s="104" t="s">
        <v>132</v>
      </c>
      <c r="C119" s="23" t="s">
        <v>176</v>
      </c>
      <c r="D119" s="23" t="s">
        <v>177</v>
      </c>
      <c r="E119" s="24">
        <v>175000</v>
      </c>
      <c r="F119" s="25" t="s">
        <v>64</v>
      </c>
      <c r="G119" s="26" t="s">
        <v>178</v>
      </c>
      <c r="H119" s="48"/>
    </row>
    <row r="120" spans="2:11" s="1" customFormat="1" ht="80.25" customHeight="1">
      <c r="B120" s="104" t="s">
        <v>132</v>
      </c>
      <c r="C120" s="23" t="s">
        <v>154</v>
      </c>
      <c r="D120" s="23" t="s">
        <v>155</v>
      </c>
      <c r="E120" s="24">
        <f>115976-5976</f>
        <v>110000</v>
      </c>
      <c r="F120" s="25" t="s">
        <v>61</v>
      </c>
      <c r="G120" s="26" t="s">
        <v>152</v>
      </c>
      <c r="H120" s="48" t="s">
        <v>98</v>
      </c>
    </row>
    <row r="121" spans="2:11" ht="70.5" customHeight="1">
      <c r="B121" s="127" t="s">
        <v>146</v>
      </c>
      <c r="C121" s="128"/>
      <c r="D121" s="128"/>
      <c r="E121" s="16">
        <f>SUM(E122:E124)</f>
        <v>442800</v>
      </c>
      <c r="F121" s="13"/>
      <c r="G121" s="14"/>
      <c r="H121" s="10"/>
      <c r="I121" s="61"/>
      <c r="J121" s="63"/>
    </row>
    <row r="122" spans="2:11" s="18" customFormat="1" ht="33.75">
      <c r="B122" s="65" t="s">
        <v>132</v>
      </c>
      <c r="C122" s="99" t="s">
        <v>32</v>
      </c>
      <c r="D122" s="99" t="s">
        <v>29</v>
      </c>
      <c r="E122" s="56">
        <f>264000-4020</f>
        <v>259980</v>
      </c>
      <c r="F122" s="100" t="s">
        <v>64</v>
      </c>
      <c r="G122" s="80" t="s">
        <v>125</v>
      </c>
      <c r="H122" s="101"/>
    </row>
    <row r="123" spans="2:11" s="18" customFormat="1" ht="33.75">
      <c r="B123" s="65" t="s">
        <v>132</v>
      </c>
      <c r="C123" s="28" t="s">
        <v>7</v>
      </c>
      <c r="D123" s="28" t="s">
        <v>28</v>
      </c>
      <c r="E123" s="24">
        <v>132000</v>
      </c>
      <c r="F123" s="29" t="s">
        <v>64</v>
      </c>
      <c r="G123" s="26" t="s">
        <v>125</v>
      </c>
      <c r="H123" s="55"/>
    </row>
    <row r="124" spans="2:11" s="1" customFormat="1" ht="33.75">
      <c r="B124" s="104" t="s">
        <v>132</v>
      </c>
      <c r="C124" s="23" t="s">
        <v>14</v>
      </c>
      <c r="D124" s="23" t="s">
        <v>40</v>
      </c>
      <c r="E124" s="24">
        <f>4020+46800</f>
        <v>50820</v>
      </c>
      <c r="F124" s="25" t="s">
        <v>60</v>
      </c>
      <c r="G124" s="26" t="s">
        <v>125</v>
      </c>
      <c r="H124" s="23"/>
    </row>
  </sheetData>
  <autoFilter ref="A8:H124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topLeftCell="B94" zoomScaleNormal="100" zoomScaleSheetLayoutView="80" workbookViewId="0">
      <selection activeCell="O16" sqref="O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E9+E72+E77+E83+E89+E93+E96+E102+E104+E109+E111+E117+E122</f>
        <v>43576986.600000001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SUM(E10:E71)</f>
        <v>4432319.5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7" t="s">
        <v>132</v>
      </c>
      <c r="C16" s="68" t="s">
        <v>39</v>
      </c>
      <c r="D16" s="68" t="s">
        <v>58</v>
      </c>
      <c r="E16" s="69">
        <f>23100-15587+18000</f>
        <v>25513</v>
      </c>
      <c r="F16" s="70" t="s">
        <v>60</v>
      </c>
      <c r="G16" s="71" t="s">
        <v>125</v>
      </c>
      <c r="H16" s="6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7" t="s">
        <v>147</v>
      </c>
      <c r="C22" s="82">
        <v>33700000</v>
      </c>
      <c r="D22" s="68" t="s">
        <v>181</v>
      </c>
      <c r="E22" s="69">
        <v>1295</v>
      </c>
      <c r="F22" s="70" t="s">
        <v>61</v>
      </c>
      <c r="G22" s="71" t="s">
        <v>172</v>
      </c>
      <c r="H22" s="90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5" t="s">
        <v>132</v>
      </c>
      <c r="C31" s="30">
        <v>45400000</v>
      </c>
      <c r="D31" s="34" t="s">
        <v>102</v>
      </c>
      <c r="E31" s="56">
        <v>40000</v>
      </c>
      <c r="F31" s="25" t="s">
        <v>64</v>
      </c>
      <c r="G31" s="26" t="s">
        <v>125</v>
      </c>
      <c r="H31" s="31"/>
    </row>
    <row r="32" spans="2:10" s="18" customFormat="1" ht="37.5" customHeight="1">
      <c r="B32" s="65" t="s">
        <v>133</v>
      </c>
      <c r="C32" s="30">
        <v>48700000</v>
      </c>
      <c r="D32" s="23" t="s">
        <v>104</v>
      </c>
      <c r="E32" s="56">
        <v>30000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84">
        <v>48800000</v>
      </c>
      <c r="D33" s="78" t="s">
        <v>179</v>
      </c>
      <c r="E33" s="56">
        <f>85900-5900</f>
        <v>80000</v>
      </c>
      <c r="F33" s="56" t="s">
        <v>64</v>
      </c>
      <c r="G33" s="115" t="s">
        <v>173</v>
      </c>
      <c r="H33" s="81"/>
    </row>
    <row r="34" spans="2:9" s="18" customFormat="1" ht="37.5" customHeight="1">
      <c r="B34" s="65" t="s">
        <v>132</v>
      </c>
      <c r="C34" s="84">
        <v>48800000</v>
      </c>
      <c r="D34" s="78" t="s">
        <v>179</v>
      </c>
      <c r="E34" s="56">
        <f>500+5900</f>
        <v>6400</v>
      </c>
      <c r="F34" s="56" t="s">
        <v>64</v>
      </c>
      <c r="G34" s="115" t="s">
        <v>173</v>
      </c>
      <c r="H34" s="81"/>
    </row>
    <row r="35" spans="2:9" s="18" customFormat="1" ht="56.25">
      <c r="B35" s="65" t="s">
        <v>132</v>
      </c>
      <c r="C35" s="78">
        <v>50100000</v>
      </c>
      <c r="D35" s="78" t="s">
        <v>44</v>
      </c>
      <c r="E35" s="56">
        <f>10000+30000</f>
        <v>40000</v>
      </c>
      <c r="F35" s="79" t="s">
        <v>61</v>
      </c>
      <c r="G35" s="80" t="s">
        <v>125</v>
      </c>
      <c r="H35" s="102" t="s">
        <v>66</v>
      </c>
    </row>
    <row r="36" spans="2:9" s="1" customFormat="1" ht="92.25" customHeight="1">
      <c r="B36" s="104" t="s">
        <v>132</v>
      </c>
      <c r="C36" s="23" t="s">
        <v>59</v>
      </c>
      <c r="D36" s="23" t="s">
        <v>62</v>
      </c>
      <c r="E36" s="24">
        <f>120000-30000+15000</f>
        <v>105000</v>
      </c>
      <c r="F36" s="25" t="s">
        <v>64</v>
      </c>
      <c r="G36" s="26" t="s">
        <v>125</v>
      </c>
      <c r="H36" s="36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v>2080</v>
      </c>
      <c r="F37" s="79" t="s">
        <v>61</v>
      </c>
      <c r="G37" s="80" t="s">
        <v>160</v>
      </c>
      <c r="H37" s="102" t="s">
        <v>85</v>
      </c>
    </row>
    <row r="38" spans="2:9" s="18" customFormat="1" ht="92.25" customHeight="1">
      <c r="B38" s="65" t="s">
        <v>132</v>
      </c>
      <c r="C38" s="23" t="s">
        <v>107</v>
      </c>
      <c r="D38" s="23" t="s">
        <v>108</v>
      </c>
      <c r="E38" s="56">
        <v>50000</v>
      </c>
      <c r="F38" s="25" t="s">
        <v>64</v>
      </c>
      <c r="G38" s="26" t="s">
        <v>125</v>
      </c>
      <c r="H38" s="31"/>
    </row>
    <row r="39" spans="2:9" s="18" customFormat="1" ht="92.25" customHeight="1">
      <c r="B39" s="65" t="s">
        <v>132</v>
      </c>
      <c r="C39" s="23" t="s">
        <v>105</v>
      </c>
      <c r="D39" s="23" t="s">
        <v>106</v>
      </c>
      <c r="E39" s="56">
        <v>310000</v>
      </c>
      <c r="F39" s="25" t="s">
        <v>64</v>
      </c>
      <c r="G39" s="26" t="s">
        <v>125</v>
      </c>
      <c r="H39" s="36"/>
    </row>
    <row r="40" spans="2:9" s="18" customFormat="1" ht="115.5" customHeight="1">
      <c r="B40" s="65" t="s">
        <v>132</v>
      </c>
      <c r="C40" s="78" t="s">
        <v>105</v>
      </c>
      <c r="D40" s="78" t="s">
        <v>106</v>
      </c>
      <c r="E40" s="56">
        <f>23265*I40</f>
        <v>62815.500000000007</v>
      </c>
      <c r="F40" s="78" t="s">
        <v>61</v>
      </c>
      <c r="G40" s="80" t="s">
        <v>152</v>
      </c>
      <c r="H40" s="78" t="s">
        <v>180</v>
      </c>
      <c r="I40" s="18">
        <v>2.7</v>
      </c>
    </row>
    <row r="41" spans="2:9" s="18" customFormat="1" ht="115.5" customHeight="1">
      <c r="B41" s="65" t="s">
        <v>147</v>
      </c>
      <c r="C41" s="23" t="s">
        <v>109</v>
      </c>
      <c r="D41" s="23" t="s">
        <v>110</v>
      </c>
      <c r="E41" s="56">
        <f>60000+45000-20000</f>
        <v>85000</v>
      </c>
      <c r="F41" s="25" t="s">
        <v>64</v>
      </c>
      <c r="G41" s="26" t="s">
        <v>125</v>
      </c>
      <c r="H41" s="36"/>
    </row>
    <row r="42" spans="2:9" s="18" customFormat="1" ht="102.75" customHeight="1">
      <c r="B42" s="65" t="s">
        <v>132</v>
      </c>
      <c r="C42" s="23" t="s">
        <v>86</v>
      </c>
      <c r="D42" s="23" t="s">
        <v>87</v>
      </c>
      <c r="E42" s="56">
        <v>8000</v>
      </c>
      <c r="F42" s="25" t="s">
        <v>64</v>
      </c>
      <c r="G42" s="26" t="s">
        <v>125</v>
      </c>
      <c r="H42" s="23"/>
    </row>
    <row r="43" spans="2:9" s="18" customFormat="1" ht="115.5" customHeight="1">
      <c r="B43" s="65" t="s">
        <v>132</v>
      </c>
      <c r="C43" s="23">
        <v>50700000</v>
      </c>
      <c r="D43" s="23" t="s">
        <v>13</v>
      </c>
      <c r="E43" s="56">
        <f>1600000-59200</f>
        <v>1540800</v>
      </c>
      <c r="F43" s="23" t="s">
        <v>61</v>
      </c>
      <c r="G43" s="26" t="s">
        <v>125</v>
      </c>
      <c r="H43" s="23" t="s">
        <v>99</v>
      </c>
    </row>
    <row r="44" spans="2:9" s="18" customFormat="1" ht="115.5" customHeight="1">
      <c r="B44" s="65" t="s">
        <v>132</v>
      </c>
      <c r="C44" s="78">
        <v>50700000</v>
      </c>
      <c r="D44" s="78" t="s">
        <v>13</v>
      </c>
      <c r="E44" s="56">
        <f>93000-45000+20000+46148</f>
        <v>114148</v>
      </c>
      <c r="F44" s="78" t="s">
        <v>64</v>
      </c>
      <c r="G44" s="80" t="s">
        <v>125</v>
      </c>
      <c r="H44" s="78"/>
    </row>
    <row r="45" spans="2:9" s="18" customFormat="1" ht="115.5" customHeight="1">
      <c r="B45" s="65" t="s">
        <v>132</v>
      </c>
      <c r="C45" s="78" t="s">
        <v>117</v>
      </c>
      <c r="D45" s="78" t="s">
        <v>118</v>
      </c>
      <c r="E45" s="56">
        <f>120000+68250</f>
        <v>188250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23" t="s">
        <v>111</v>
      </c>
      <c r="D46" s="23" t="s">
        <v>112</v>
      </c>
      <c r="E46" s="56">
        <v>120000</v>
      </c>
      <c r="F46" s="23" t="s">
        <v>64</v>
      </c>
      <c r="G46" s="26" t="s">
        <v>125</v>
      </c>
      <c r="H46" s="23"/>
    </row>
    <row r="47" spans="2:9" s="18" customFormat="1" ht="58.5" customHeight="1">
      <c r="B47" s="65" t="s">
        <v>132</v>
      </c>
      <c r="C47" s="30">
        <v>63700000</v>
      </c>
      <c r="D47" s="23" t="s">
        <v>70</v>
      </c>
      <c r="E47" s="56">
        <v>2000</v>
      </c>
      <c r="F47" s="25" t="s">
        <v>61</v>
      </c>
      <c r="G47" s="26" t="s">
        <v>125</v>
      </c>
      <c r="H47" s="26" t="s">
        <v>85</v>
      </c>
    </row>
    <row r="48" spans="2:9" s="18" customFormat="1" ht="63.75" customHeight="1">
      <c r="B48" s="65" t="s">
        <v>132</v>
      </c>
      <c r="C48" s="23" t="s">
        <v>47</v>
      </c>
      <c r="D48" s="23" t="s">
        <v>48</v>
      </c>
      <c r="E48" s="56">
        <v>6000</v>
      </c>
      <c r="F48" s="25" t="s">
        <v>64</v>
      </c>
      <c r="G48" s="26" t="s">
        <v>125</v>
      </c>
      <c r="H48" s="23"/>
    </row>
    <row r="49" spans="2:10" s="18" customFormat="1" ht="33.75">
      <c r="B49" s="65" t="s">
        <v>132</v>
      </c>
      <c r="C49" s="38" t="s">
        <v>18</v>
      </c>
      <c r="D49" s="23" t="s">
        <v>46</v>
      </c>
      <c r="E49" s="56">
        <v>25000</v>
      </c>
      <c r="F49" s="25" t="s">
        <v>64</v>
      </c>
      <c r="G49" s="26" t="s">
        <v>125</v>
      </c>
      <c r="H49" s="33"/>
    </row>
    <row r="50" spans="2:10" s="18" customFormat="1" ht="56.25">
      <c r="B50" s="65" t="s">
        <v>132</v>
      </c>
      <c r="C50" s="38" t="s">
        <v>18</v>
      </c>
      <c r="D50" s="23" t="s">
        <v>46</v>
      </c>
      <c r="E50" s="56">
        <v>25500</v>
      </c>
      <c r="F50" s="25" t="s">
        <v>61</v>
      </c>
      <c r="G50" s="26" t="s">
        <v>125</v>
      </c>
      <c r="H50" s="26" t="s">
        <v>96</v>
      </c>
    </row>
    <row r="51" spans="2:10" s="18" customFormat="1" ht="56.25">
      <c r="B51" s="65" t="s">
        <v>132</v>
      </c>
      <c r="C51" s="77" t="s">
        <v>161</v>
      </c>
      <c r="D51" s="78" t="s">
        <v>46</v>
      </c>
      <c r="E51" s="56">
        <v>9000</v>
      </c>
      <c r="F51" s="79" t="s">
        <v>61</v>
      </c>
      <c r="G51" s="80" t="s">
        <v>152</v>
      </c>
      <c r="H51" s="80" t="s">
        <v>162</v>
      </c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24000</v>
      </c>
      <c r="F52" s="25" t="s">
        <v>60</v>
      </c>
      <c r="G52" s="26" t="s">
        <v>125</v>
      </c>
      <c r="H52" s="33"/>
    </row>
    <row r="53" spans="2:10" s="18" customFormat="1" ht="33.75">
      <c r="B53" s="65" t="s">
        <v>134</v>
      </c>
      <c r="C53" s="38" t="s">
        <v>114</v>
      </c>
      <c r="D53" s="23" t="s">
        <v>113</v>
      </c>
      <c r="E53" s="56">
        <v>30000</v>
      </c>
      <c r="F53" s="25" t="s">
        <v>64</v>
      </c>
      <c r="G53" s="26" t="s">
        <v>125</v>
      </c>
      <c r="H53" s="26"/>
    </row>
    <row r="54" spans="2:10" s="18" customFormat="1" ht="33.75">
      <c r="B54" s="65" t="s">
        <v>132</v>
      </c>
      <c r="C54" s="38" t="s">
        <v>55</v>
      </c>
      <c r="D54" s="23" t="s">
        <v>56</v>
      </c>
      <c r="E54" s="56">
        <v>1680</v>
      </c>
      <c r="F54" s="25" t="s">
        <v>91</v>
      </c>
      <c r="G54" s="26" t="s">
        <v>125</v>
      </c>
      <c r="H54" s="33"/>
    </row>
    <row r="55" spans="2:10" s="18" customFormat="1" ht="57" customHeight="1">
      <c r="B55" s="65" t="s">
        <v>132</v>
      </c>
      <c r="C55" s="77" t="s">
        <v>17</v>
      </c>
      <c r="D55" s="78" t="s">
        <v>16</v>
      </c>
      <c r="E55" s="56">
        <f>90000+34000</f>
        <v>124000</v>
      </c>
      <c r="F55" s="79" t="s">
        <v>61</v>
      </c>
      <c r="G55" s="80" t="s">
        <v>125</v>
      </c>
      <c r="H55" s="80" t="s">
        <v>67</v>
      </c>
    </row>
    <row r="56" spans="2:10" s="18" customFormat="1" ht="65.25" customHeight="1">
      <c r="B56" s="65" t="s">
        <v>132</v>
      </c>
      <c r="C56" s="77" t="s">
        <v>17</v>
      </c>
      <c r="D56" s="78" t="s">
        <v>16</v>
      </c>
      <c r="E56" s="56">
        <f>150+400+266+21+350</f>
        <v>1187</v>
      </c>
      <c r="F56" s="79" t="s">
        <v>61</v>
      </c>
      <c r="G56" s="80" t="s">
        <v>125</v>
      </c>
      <c r="H56" s="80"/>
      <c r="J56" s="20"/>
    </row>
    <row r="57" spans="2:10" s="18" customFormat="1" ht="56.25">
      <c r="B57" s="65" t="s">
        <v>132</v>
      </c>
      <c r="C57" s="38" t="s">
        <v>77</v>
      </c>
      <c r="D57" s="23" t="s">
        <v>78</v>
      </c>
      <c r="E57" s="56">
        <v>3000</v>
      </c>
      <c r="F57" s="25" t="s">
        <v>61</v>
      </c>
      <c r="G57" s="26" t="s">
        <v>125</v>
      </c>
      <c r="H57" s="26" t="s">
        <v>79</v>
      </c>
    </row>
    <row r="58" spans="2:10" s="18" customFormat="1" ht="56.25">
      <c r="B58" s="65" t="s">
        <v>132</v>
      </c>
      <c r="C58" s="77" t="s">
        <v>163</v>
      </c>
      <c r="D58" s="78" t="s">
        <v>164</v>
      </c>
      <c r="E58" s="56">
        <v>500</v>
      </c>
      <c r="F58" s="79" t="s">
        <v>61</v>
      </c>
      <c r="G58" s="80" t="s">
        <v>152</v>
      </c>
      <c r="H58" s="80" t="s">
        <v>79</v>
      </c>
    </row>
    <row r="59" spans="2:10" s="18" customFormat="1" ht="75" customHeight="1">
      <c r="B59" s="65" t="s">
        <v>132</v>
      </c>
      <c r="C59" s="77" t="s">
        <v>25</v>
      </c>
      <c r="D59" s="78" t="s">
        <v>119</v>
      </c>
      <c r="E59" s="56">
        <v>100000</v>
      </c>
      <c r="F59" s="79" t="s">
        <v>64</v>
      </c>
      <c r="G59" s="80" t="s">
        <v>125</v>
      </c>
      <c r="H59" s="80"/>
    </row>
    <row r="60" spans="2:10" s="1" customFormat="1" ht="63.75" customHeight="1">
      <c r="B60" s="104" t="s">
        <v>132</v>
      </c>
      <c r="C60" s="23" t="s">
        <v>45</v>
      </c>
      <c r="D60" s="23" t="s">
        <v>63</v>
      </c>
      <c r="E60" s="24">
        <f>6000+3850</f>
        <v>9850</v>
      </c>
      <c r="F60" s="25" t="s">
        <v>64</v>
      </c>
      <c r="G60" s="26" t="s">
        <v>125</v>
      </c>
      <c r="H60" s="26"/>
    </row>
    <row r="61" spans="2:10" s="18" customFormat="1" ht="63.75" customHeight="1">
      <c r="B61" s="65" t="s">
        <v>132</v>
      </c>
      <c r="C61" s="78" t="s">
        <v>120</v>
      </c>
      <c r="D61" s="78" t="s">
        <v>121</v>
      </c>
      <c r="E61" s="56">
        <v>450</v>
      </c>
      <c r="F61" s="79" t="s">
        <v>61</v>
      </c>
      <c r="G61" s="80" t="s">
        <v>125</v>
      </c>
      <c r="H61" s="80"/>
    </row>
    <row r="62" spans="2:10" s="18" customFormat="1" ht="77.25" customHeight="1">
      <c r="B62" s="65" t="s">
        <v>132</v>
      </c>
      <c r="C62" s="30">
        <v>79700000</v>
      </c>
      <c r="D62" s="23" t="s">
        <v>27</v>
      </c>
      <c r="E62" s="56">
        <v>600000</v>
      </c>
      <c r="F62" s="25" t="s">
        <v>61</v>
      </c>
      <c r="G62" s="26" t="s">
        <v>125</v>
      </c>
      <c r="H62" s="26" t="s">
        <v>80</v>
      </c>
    </row>
    <row r="63" spans="2:10" s="18" customFormat="1" ht="62.25" customHeight="1">
      <c r="B63" s="65" t="s">
        <v>132</v>
      </c>
      <c r="C63" s="30">
        <v>79800000</v>
      </c>
      <c r="D63" s="23" t="s">
        <v>81</v>
      </c>
      <c r="E63" s="56">
        <v>10000</v>
      </c>
      <c r="F63" s="25" t="s">
        <v>64</v>
      </c>
      <c r="G63" s="26" t="s">
        <v>125</v>
      </c>
      <c r="H63" s="26"/>
    </row>
    <row r="64" spans="2:10" s="18" customFormat="1" ht="62.25" customHeight="1">
      <c r="B64" s="65" t="s">
        <v>132</v>
      </c>
      <c r="C64" s="78" t="s">
        <v>53</v>
      </c>
      <c r="D64" s="78" t="s">
        <v>65</v>
      </c>
      <c r="E64" s="56">
        <f>20000+12000-2305</f>
        <v>29695</v>
      </c>
      <c r="F64" s="79" t="s">
        <v>61</v>
      </c>
      <c r="G64" s="80" t="s">
        <v>125</v>
      </c>
      <c r="H64" s="78" t="s">
        <v>68</v>
      </c>
    </row>
    <row r="65" spans="2:13" s="18" customFormat="1" ht="62.25" customHeight="1">
      <c r="B65" s="65" t="s">
        <v>132</v>
      </c>
      <c r="C65" s="78" t="s">
        <v>53</v>
      </c>
      <c r="D65" s="78" t="s">
        <v>65</v>
      </c>
      <c r="E65" s="56">
        <v>2305</v>
      </c>
      <c r="F65" s="79" t="s">
        <v>61</v>
      </c>
      <c r="G65" s="80" t="s">
        <v>173</v>
      </c>
      <c r="H65" s="78"/>
    </row>
    <row r="66" spans="2:13" s="18" customFormat="1" ht="62.25" customHeight="1">
      <c r="B66" s="65" t="s">
        <v>132</v>
      </c>
      <c r="C66" s="38" t="s">
        <v>24</v>
      </c>
      <c r="D66" s="23" t="s">
        <v>71</v>
      </c>
      <c r="E66" s="56">
        <v>12000</v>
      </c>
      <c r="F66" s="25" t="s">
        <v>64</v>
      </c>
      <c r="G66" s="26" t="s">
        <v>125</v>
      </c>
      <c r="H66" s="23"/>
    </row>
    <row r="67" spans="2:13" s="18" customFormat="1" ht="62.25" customHeight="1">
      <c r="B67" s="65" t="s">
        <v>132</v>
      </c>
      <c r="C67" s="38" t="s">
        <v>122</v>
      </c>
      <c r="D67" s="23" t="s">
        <v>123</v>
      </c>
      <c r="E67" s="56">
        <v>1000</v>
      </c>
      <c r="F67" s="25" t="s">
        <v>61</v>
      </c>
      <c r="G67" s="26" t="s">
        <v>125</v>
      </c>
      <c r="H67" s="23"/>
    </row>
    <row r="68" spans="2:13" s="18" customFormat="1" ht="60.75" customHeight="1">
      <c r="B68" s="65" t="s">
        <v>132</v>
      </c>
      <c r="C68" s="78" t="s">
        <v>82</v>
      </c>
      <c r="D68" s="78" t="s">
        <v>83</v>
      </c>
      <c r="E68" s="56">
        <v>10000</v>
      </c>
      <c r="F68" s="79" t="s">
        <v>61</v>
      </c>
      <c r="G68" s="80" t="s">
        <v>125</v>
      </c>
      <c r="H68" s="80" t="s">
        <v>79</v>
      </c>
    </row>
    <row r="69" spans="2:13" s="18" customFormat="1" ht="36.75" customHeight="1">
      <c r="B69" s="65" t="s">
        <v>132</v>
      </c>
      <c r="C69" s="78" t="s">
        <v>12</v>
      </c>
      <c r="D69" s="78" t="s">
        <v>19</v>
      </c>
      <c r="E69" s="56">
        <f>80000+110000</f>
        <v>190000</v>
      </c>
      <c r="F69" s="79" t="s">
        <v>64</v>
      </c>
      <c r="G69" s="80" t="s">
        <v>125</v>
      </c>
      <c r="H69" s="81"/>
    </row>
    <row r="70" spans="2:13" s="18" customFormat="1" ht="54.75" customHeight="1">
      <c r="B70" s="65" t="s">
        <v>132</v>
      </c>
      <c r="C70" s="78" t="s">
        <v>115</v>
      </c>
      <c r="D70" s="78" t="s">
        <v>116</v>
      </c>
      <c r="E70" s="56">
        <v>15000</v>
      </c>
      <c r="F70" s="79" t="s">
        <v>61</v>
      </c>
      <c r="G70" s="80" t="s">
        <v>125</v>
      </c>
      <c r="H70" s="80" t="s">
        <v>79</v>
      </c>
    </row>
    <row r="71" spans="2:13" s="18" customFormat="1" ht="54.75" customHeight="1">
      <c r="B71" s="108" t="s">
        <v>132</v>
      </c>
      <c r="C71" s="78" t="s">
        <v>165</v>
      </c>
      <c r="D71" s="78" t="s">
        <v>166</v>
      </c>
      <c r="E71" s="56">
        <v>4900</v>
      </c>
      <c r="F71" s="79" t="s">
        <v>61</v>
      </c>
      <c r="G71" s="80" t="s">
        <v>152</v>
      </c>
      <c r="H71" s="80" t="s">
        <v>79</v>
      </c>
    </row>
    <row r="72" spans="2:13" s="1" customFormat="1" ht="75" customHeight="1">
      <c r="B72" s="127" t="s">
        <v>135</v>
      </c>
      <c r="C72" s="128"/>
      <c r="D72" s="128"/>
      <c r="E72" s="16">
        <f>SUM(E73:E76)</f>
        <v>1710000</v>
      </c>
      <c r="F72" s="13"/>
      <c r="G72" s="14"/>
      <c r="H72" s="10"/>
      <c r="I72" s="61"/>
      <c r="J72" s="62"/>
    </row>
    <row r="73" spans="2:13" s="1" customFormat="1" ht="59.25" customHeight="1">
      <c r="B73" s="104" t="s">
        <v>132</v>
      </c>
      <c r="C73" s="23" t="s">
        <v>24</v>
      </c>
      <c r="D73" s="23" t="s">
        <v>71</v>
      </c>
      <c r="E73" s="24">
        <f>1710000-142500-E75-E74</f>
        <v>1314302.3999999999</v>
      </c>
      <c r="F73" s="25" t="s">
        <v>64</v>
      </c>
      <c r="G73" s="26" t="s">
        <v>125</v>
      </c>
      <c r="H73" s="41"/>
      <c r="J73" s="62"/>
    </row>
    <row r="74" spans="2:13" s="1" customFormat="1" ht="67.5">
      <c r="B74" s="104" t="s">
        <v>132</v>
      </c>
      <c r="C74" s="23" t="s">
        <v>103</v>
      </c>
      <c r="D74" s="23" t="s">
        <v>71</v>
      </c>
      <c r="E74" s="24">
        <v>33000</v>
      </c>
      <c r="F74" s="25" t="s">
        <v>61</v>
      </c>
      <c r="G74" s="26" t="s">
        <v>151</v>
      </c>
      <c r="H74" s="48" t="s">
        <v>98</v>
      </c>
      <c r="J74" s="62"/>
    </row>
    <row r="75" spans="2:13" s="1" customFormat="1" ht="67.5">
      <c r="B75" s="104" t="s">
        <v>132</v>
      </c>
      <c r="C75" s="23" t="s">
        <v>103</v>
      </c>
      <c r="D75" s="23" t="s">
        <v>71</v>
      </c>
      <c r="E75" s="24">
        <v>220197.6</v>
      </c>
      <c r="F75" s="25" t="s">
        <v>61</v>
      </c>
      <c r="G75" s="26" t="s">
        <v>150</v>
      </c>
      <c r="H75" s="48" t="s">
        <v>98</v>
      </c>
    </row>
    <row r="76" spans="2:13" s="1" customFormat="1" ht="98.25" customHeight="1">
      <c r="B76" s="104" t="s">
        <v>132</v>
      </c>
      <c r="C76" s="23" t="s">
        <v>24</v>
      </c>
      <c r="D76" s="23" t="s">
        <v>71</v>
      </c>
      <c r="E76" s="24">
        <v>142500</v>
      </c>
      <c r="F76" s="25" t="s">
        <v>61</v>
      </c>
      <c r="G76" s="26" t="s">
        <v>125</v>
      </c>
      <c r="H76" s="48" t="s">
        <v>128</v>
      </c>
      <c r="J76" s="62"/>
    </row>
    <row r="77" spans="2:13" s="1" customFormat="1" ht="31.5" customHeight="1">
      <c r="B77" s="127" t="s">
        <v>136</v>
      </c>
      <c r="C77" s="128"/>
      <c r="D77" s="128"/>
      <c r="E77" s="16">
        <f>SUM(E78:E82)</f>
        <v>22370000</v>
      </c>
      <c r="F77" s="13"/>
      <c r="G77" s="9"/>
      <c r="H77" s="10"/>
      <c r="I77" s="61"/>
      <c r="J77" s="62"/>
    </row>
    <row r="78" spans="2:13" s="1" customFormat="1" ht="75.75" customHeight="1">
      <c r="B78" s="104" t="s">
        <v>132</v>
      </c>
      <c r="C78" s="23" t="s">
        <v>7</v>
      </c>
      <c r="D78" s="23" t="s">
        <v>57</v>
      </c>
      <c r="E78" s="24">
        <f>3750000+400000</f>
        <v>4150000</v>
      </c>
      <c r="F78" s="25" t="s">
        <v>61</v>
      </c>
      <c r="G78" s="26" t="s">
        <v>125</v>
      </c>
      <c r="H78" s="48" t="s">
        <v>97</v>
      </c>
    </row>
    <row r="79" spans="2:13" s="1" customFormat="1" ht="75.75" customHeight="1">
      <c r="B79" s="66" t="s">
        <v>133</v>
      </c>
      <c r="C79" s="23" t="s">
        <v>7</v>
      </c>
      <c r="D79" s="23" t="s">
        <v>57</v>
      </c>
      <c r="E79" s="24">
        <v>100000</v>
      </c>
      <c r="F79" s="25" t="s">
        <v>61</v>
      </c>
      <c r="G79" s="26" t="s">
        <v>125</v>
      </c>
      <c r="H79" s="48" t="s">
        <v>97</v>
      </c>
    </row>
    <row r="80" spans="2:13" s="1" customFormat="1" ht="121.5" customHeight="1">
      <c r="B80" s="104" t="s">
        <v>132</v>
      </c>
      <c r="C80" s="23">
        <v>33600000</v>
      </c>
      <c r="D80" s="23" t="s">
        <v>29</v>
      </c>
      <c r="E80" s="24">
        <f>1440000+270000-22680</f>
        <v>1687320</v>
      </c>
      <c r="F80" s="25" t="s">
        <v>64</v>
      </c>
      <c r="G80" s="26" t="s">
        <v>125</v>
      </c>
      <c r="H80" s="41"/>
      <c r="J80" s="62"/>
      <c r="L80" s="62"/>
      <c r="M80" s="62"/>
    </row>
    <row r="81" spans="2:13" s="1" customFormat="1" ht="121.5" customHeight="1">
      <c r="B81" s="104" t="s">
        <v>132</v>
      </c>
      <c r="C81" s="23" t="s">
        <v>32</v>
      </c>
      <c r="D81" s="23" t="s">
        <v>29</v>
      </c>
      <c r="E81" s="24">
        <v>22680</v>
      </c>
      <c r="F81" s="25" t="s">
        <v>61</v>
      </c>
      <c r="G81" s="26" t="s">
        <v>150</v>
      </c>
      <c r="H81" s="48" t="s">
        <v>157</v>
      </c>
      <c r="J81" s="62"/>
      <c r="L81" s="62"/>
      <c r="M81" s="62"/>
    </row>
    <row r="82" spans="2:13" s="1" customFormat="1" ht="87.75" customHeight="1">
      <c r="B82" s="104" t="s">
        <v>132</v>
      </c>
      <c r="C82" s="23" t="s">
        <v>32</v>
      </c>
      <c r="D82" s="23" t="s">
        <v>29</v>
      </c>
      <c r="E82" s="24">
        <v>16410000</v>
      </c>
      <c r="F82" s="25" t="s">
        <v>61</v>
      </c>
      <c r="G82" s="26" t="s">
        <v>125</v>
      </c>
      <c r="H82" s="48" t="s">
        <v>98</v>
      </c>
      <c r="J82" s="62"/>
      <c r="K82" s="62"/>
    </row>
    <row r="83" spans="2:13" s="1" customFormat="1" ht="60" customHeight="1">
      <c r="B83" s="127" t="s">
        <v>137</v>
      </c>
      <c r="C83" s="128"/>
      <c r="D83" s="128"/>
      <c r="E83" s="16">
        <f>SUM(E84:E88)</f>
        <v>1700000</v>
      </c>
      <c r="F83" s="13"/>
      <c r="G83" s="14"/>
      <c r="H83" s="10"/>
      <c r="I83" s="61"/>
      <c r="J83" s="105"/>
    </row>
    <row r="84" spans="2:13" s="1" customFormat="1" ht="36.75" customHeight="1">
      <c r="B84" s="104" t="s">
        <v>132</v>
      </c>
      <c r="C84" s="23" t="s">
        <v>7</v>
      </c>
      <c r="D84" s="23" t="s">
        <v>28</v>
      </c>
      <c r="E84" s="24">
        <v>42272.9</v>
      </c>
      <c r="F84" s="25" t="s">
        <v>64</v>
      </c>
      <c r="G84" s="26" t="s">
        <v>125</v>
      </c>
      <c r="H84" s="41"/>
    </row>
    <row r="85" spans="2:13" s="1" customFormat="1" ht="51" customHeight="1">
      <c r="B85" s="104" t="s">
        <v>132</v>
      </c>
      <c r="C85" s="23" t="s">
        <v>32</v>
      </c>
      <c r="D85" s="23" t="s">
        <v>29</v>
      </c>
      <c r="E85" s="24">
        <v>60607.14</v>
      </c>
      <c r="F85" s="25" t="s">
        <v>64</v>
      </c>
      <c r="G85" s="26" t="s">
        <v>125</v>
      </c>
      <c r="H85" s="41"/>
      <c r="J85" s="62"/>
    </row>
    <row r="86" spans="2:13" s="1" customFormat="1" ht="45" customHeight="1">
      <c r="B86" s="104" t="s">
        <v>132</v>
      </c>
      <c r="C86" s="23" t="s">
        <v>89</v>
      </c>
      <c r="D86" s="23" t="s">
        <v>90</v>
      </c>
      <c r="E86" s="24">
        <v>798000</v>
      </c>
      <c r="F86" s="25" t="s">
        <v>64</v>
      </c>
      <c r="G86" s="26" t="s">
        <v>125</v>
      </c>
      <c r="H86" s="48"/>
    </row>
    <row r="87" spans="2:13" s="1" customFormat="1" ht="78.75">
      <c r="B87" s="104" t="s">
        <v>132</v>
      </c>
      <c r="C87" s="23" t="s">
        <v>24</v>
      </c>
      <c r="D87" s="23" t="s">
        <v>71</v>
      </c>
      <c r="E87" s="24">
        <v>69239.960000000006</v>
      </c>
      <c r="F87" s="25" t="s">
        <v>61</v>
      </c>
      <c r="G87" s="26" t="s">
        <v>125</v>
      </c>
      <c r="H87" s="48" t="s">
        <v>129</v>
      </c>
      <c r="J87" s="62"/>
    </row>
    <row r="88" spans="2:13" s="1" customFormat="1" ht="67.5">
      <c r="B88" s="104" t="s">
        <v>132</v>
      </c>
      <c r="C88" s="23" t="s">
        <v>24</v>
      </c>
      <c r="D88" s="23" t="s">
        <v>71</v>
      </c>
      <c r="E88" s="24">
        <v>729880</v>
      </c>
      <c r="F88" s="25" t="s">
        <v>61</v>
      </c>
      <c r="G88" s="26" t="s">
        <v>152</v>
      </c>
      <c r="H88" s="48" t="s">
        <v>98</v>
      </c>
    </row>
    <row r="89" spans="2:13" s="1" customFormat="1" ht="65.25" customHeight="1">
      <c r="B89" s="127" t="s">
        <v>138</v>
      </c>
      <c r="C89" s="128"/>
      <c r="D89" s="128"/>
      <c r="E89" s="16">
        <f>SUM(E90:E92)</f>
        <v>1753700.5</v>
      </c>
      <c r="F89" s="13"/>
      <c r="G89" s="14"/>
      <c r="H89" s="10"/>
      <c r="I89" s="61"/>
      <c r="J89" s="62"/>
    </row>
    <row r="90" spans="2:13" s="1" customFormat="1" ht="33.75">
      <c r="B90" s="104" t="s">
        <v>132</v>
      </c>
      <c r="C90" s="36" t="s">
        <v>25</v>
      </c>
      <c r="D90" s="36" t="s">
        <v>69</v>
      </c>
      <c r="E90" s="24">
        <f>55000+145000</f>
        <v>200000</v>
      </c>
      <c r="F90" s="43" t="s">
        <v>64</v>
      </c>
      <c r="G90" s="26" t="s">
        <v>125</v>
      </c>
      <c r="H90" s="44"/>
    </row>
    <row r="91" spans="2:13" s="1" customFormat="1" ht="78.75">
      <c r="B91" s="104" t="s">
        <v>132</v>
      </c>
      <c r="C91" s="23">
        <v>85100000</v>
      </c>
      <c r="D91" s="23" t="s">
        <v>71</v>
      </c>
      <c r="E91" s="24">
        <v>127500.5</v>
      </c>
      <c r="F91" s="25" t="s">
        <v>61</v>
      </c>
      <c r="G91" s="26" t="s">
        <v>125</v>
      </c>
      <c r="H91" s="45" t="s">
        <v>124</v>
      </c>
    </row>
    <row r="92" spans="2:13" s="1" customFormat="1" ht="60.75" customHeight="1">
      <c r="B92" s="104" t="s">
        <v>132</v>
      </c>
      <c r="C92" s="23">
        <v>85100000</v>
      </c>
      <c r="D92" s="23" t="s">
        <v>71</v>
      </c>
      <c r="E92" s="24">
        <f>1460000+111200-145000</f>
        <v>1426200</v>
      </c>
      <c r="F92" s="25" t="s">
        <v>61</v>
      </c>
      <c r="G92" s="26" t="s">
        <v>125</v>
      </c>
      <c r="H92" s="48" t="s">
        <v>98</v>
      </c>
      <c r="K92" s="62"/>
    </row>
    <row r="93" spans="2:13" s="1" customFormat="1" ht="61.5" customHeight="1">
      <c r="B93" s="127" t="s">
        <v>139</v>
      </c>
      <c r="C93" s="128"/>
      <c r="D93" s="128"/>
      <c r="E93" s="16">
        <f>SUM(E94:E95)</f>
        <v>184166.6</v>
      </c>
      <c r="F93" s="13"/>
      <c r="G93" s="14"/>
      <c r="H93" s="10"/>
      <c r="I93" s="61"/>
      <c r="J93" s="62"/>
    </row>
    <row r="94" spans="2:13" s="18" customFormat="1" ht="70.5" customHeight="1">
      <c r="B94" s="65" t="s">
        <v>132</v>
      </c>
      <c r="C94" s="23" t="s">
        <v>24</v>
      </c>
      <c r="D94" s="23" t="s">
        <v>71</v>
      </c>
      <c r="E94" s="56">
        <v>14166.6</v>
      </c>
      <c r="F94" s="25" t="s">
        <v>61</v>
      </c>
      <c r="G94" s="26" t="s">
        <v>125</v>
      </c>
      <c r="H94" s="48" t="s">
        <v>76</v>
      </c>
    </row>
    <row r="95" spans="2:13" s="1" customFormat="1" ht="75" customHeight="1">
      <c r="B95" s="104" t="s">
        <v>132</v>
      </c>
      <c r="C95" s="23" t="s">
        <v>24</v>
      </c>
      <c r="D95" s="23" t="s">
        <v>71</v>
      </c>
      <c r="E95" s="24">
        <v>170000</v>
      </c>
      <c r="F95" s="25" t="s">
        <v>61</v>
      </c>
      <c r="G95" s="26" t="s">
        <v>125</v>
      </c>
      <c r="H95" s="48" t="s">
        <v>98</v>
      </c>
    </row>
    <row r="96" spans="2:13" s="1" customFormat="1" ht="65.25" customHeight="1">
      <c r="B96" s="138" t="s">
        <v>140</v>
      </c>
      <c r="C96" s="139"/>
      <c r="D96" s="139"/>
      <c r="E96" s="16">
        <f>SUM(E97:E101)</f>
        <v>1090000</v>
      </c>
      <c r="F96" s="13"/>
      <c r="G96" s="14"/>
      <c r="H96" s="60"/>
      <c r="I96" s="61"/>
      <c r="J96" s="62"/>
    </row>
    <row r="97" spans="2:10" s="1" customFormat="1" ht="49.5" customHeight="1">
      <c r="B97" s="104" t="s">
        <v>132</v>
      </c>
      <c r="C97" s="23" t="s">
        <v>14</v>
      </c>
      <c r="D97" s="23" t="s">
        <v>15</v>
      </c>
      <c r="E97" s="24">
        <v>24200</v>
      </c>
      <c r="F97" s="25" t="s">
        <v>60</v>
      </c>
      <c r="G97" s="26" t="s">
        <v>125</v>
      </c>
      <c r="H97" s="41"/>
    </row>
    <row r="98" spans="2:10" s="1" customFormat="1" ht="33.75">
      <c r="B98" s="104" t="s">
        <v>132</v>
      </c>
      <c r="C98" s="28">
        <v>33100000</v>
      </c>
      <c r="D98" s="28" t="s">
        <v>28</v>
      </c>
      <c r="E98" s="24">
        <f>240004-87983</f>
        <v>152021</v>
      </c>
      <c r="F98" s="29" t="s">
        <v>64</v>
      </c>
      <c r="G98" s="26" t="s">
        <v>125</v>
      </c>
      <c r="H98" s="46"/>
    </row>
    <row r="99" spans="2:10" s="1" customFormat="1" ht="60.75" customHeight="1">
      <c r="B99" s="104" t="s">
        <v>132</v>
      </c>
      <c r="C99" s="23" t="s">
        <v>59</v>
      </c>
      <c r="D99" s="23" t="s">
        <v>44</v>
      </c>
      <c r="E99" s="24">
        <v>15000</v>
      </c>
      <c r="F99" s="25" t="s">
        <v>64</v>
      </c>
      <c r="G99" s="26" t="s">
        <v>125</v>
      </c>
      <c r="H99" s="41"/>
    </row>
    <row r="100" spans="2:10" s="1" customFormat="1" ht="75" customHeight="1">
      <c r="B100" s="104" t="s">
        <v>132</v>
      </c>
      <c r="C100" s="23">
        <v>85100000</v>
      </c>
      <c r="D100" s="23" t="s">
        <v>71</v>
      </c>
      <c r="E100" s="24">
        <v>48983</v>
      </c>
      <c r="F100" s="25" t="s">
        <v>61</v>
      </c>
      <c r="G100" s="26" t="s">
        <v>125</v>
      </c>
      <c r="H100" s="48" t="s">
        <v>126</v>
      </c>
      <c r="J100" s="62"/>
    </row>
    <row r="101" spans="2:10" s="18" customFormat="1" ht="65.25" customHeight="1">
      <c r="B101" s="65" t="s">
        <v>132</v>
      </c>
      <c r="C101" s="78">
        <v>85100000</v>
      </c>
      <c r="D101" s="78" t="s">
        <v>71</v>
      </c>
      <c r="E101" s="56">
        <f>1071996+37800-260000</f>
        <v>849796</v>
      </c>
      <c r="F101" s="79" t="s">
        <v>61</v>
      </c>
      <c r="G101" s="80" t="s">
        <v>125</v>
      </c>
      <c r="H101" s="111" t="s">
        <v>98</v>
      </c>
    </row>
    <row r="102" spans="2:10" s="1" customFormat="1" ht="80.25" customHeight="1">
      <c r="B102" s="127" t="s">
        <v>141</v>
      </c>
      <c r="C102" s="128"/>
      <c r="D102" s="128"/>
      <c r="E102" s="16">
        <f>SUM(E103:E103)</f>
        <v>1250000</v>
      </c>
      <c r="F102" s="13"/>
      <c r="G102" s="14"/>
      <c r="H102" s="10"/>
      <c r="I102" s="61"/>
      <c r="J102" s="62"/>
    </row>
    <row r="103" spans="2:10" s="1" customFormat="1" ht="84.75" customHeight="1">
      <c r="B103" s="104" t="s">
        <v>132</v>
      </c>
      <c r="C103" s="23" t="s">
        <v>32</v>
      </c>
      <c r="D103" s="23" t="s">
        <v>29</v>
      </c>
      <c r="E103" s="24">
        <v>1250000</v>
      </c>
      <c r="F103" s="25" t="s">
        <v>61</v>
      </c>
      <c r="G103" s="26" t="s">
        <v>125</v>
      </c>
      <c r="H103" s="48" t="s">
        <v>98</v>
      </c>
    </row>
    <row r="104" spans="2:10" s="1" customFormat="1" ht="57.75" customHeight="1">
      <c r="B104" s="136" t="s">
        <v>142</v>
      </c>
      <c r="C104" s="137"/>
      <c r="D104" s="137"/>
      <c r="E104" s="57">
        <f>SUM(E105:E108)</f>
        <v>3880000</v>
      </c>
      <c r="F104" s="58"/>
      <c r="G104" s="58"/>
      <c r="H104" s="59"/>
      <c r="I104" s="61"/>
      <c r="J104" s="62"/>
    </row>
    <row r="105" spans="2:10" s="18" customFormat="1" ht="29.25" customHeight="1">
      <c r="B105" s="65" t="s">
        <v>132</v>
      </c>
      <c r="C105" s="38">
        <v>33100000</v>
      </c>
      <c r="D105" s="23" t="s">
        <v>8</v>
      </c>
      <c r="E105" s="56">
        <v>124876.2</v>
      </c>
      <c r="F105" s="25" t="s">
        <v>64</v>
      </c>
      <c r="G105" s="26" t="s">
        <v>125</v>
      </c>
      <c r="H105" s="26"/>
      <c r="J105" s="21"/>
    </row>
    <row r="106" spans="2:10" s="1" customFormat="1" ht="33.75">
      <c r="B106" s="67" t="s">
        <v>132</v>
      </c>
      <c r="C106" s="76" t="s">
        <v>32</v>
      </c>
      <c r="D106" s="68" t="s">
        <v>9</v>
      </c>
      <c r="E106" s="69">
        <f>2995349.4-3495.8-99984.41-120000</f>
        <v>2771869.19</v>
      </c>
      <c r="F106" s="70" t="s">
        <v>64</v>
      </c>
      <c r="G106" s="71" t="s">
        <v>125</v>
      </c>
      <c r="H106" s="71"/>
    </row>
    <row r="107" spans="2:10" s="1" customFormat="1" ht="67.5">
      <c r="B107" s="104" t="s">
        <v>132</v>
      </c>
      <c r="C107" s="38" t="s">
        <v>24</v>
      </c>
      <c r="D107" s="23" t="s">
        <v>71</v>
      </c>
      <c r="E107" s="24">
        <v>73605.850000000006</v>
      </c>
      <c r="F107" s="25" t="s">
        <v>61</v>
      </c>
      <c r="G107" s="26" t="s">
        <v>125</v>
      </c>
      <c r="H107" s="45" t="s">
        <v>127</v>
      </c>
    </row>
    <row r="108" spans="2:10" s="1" customFormat="1" ht="83.25" customHeight="1">
      <c r="B108" s="104" t="s">
        <v>132</v>
      </c>
      <c r="C108" s="23" t="s">
        <v>24</v>
      </c>
      <c r="D108" s="23" t="s">
        <v>71</v>
      </c>
      <c r="E108" s="24">
        <v>909648.76</v>
      </c>
      <c r="F108" s="25" t="s">
        <v>61</v>
      </c>
      <c r="G108" s="26" t="s">
        <v>152</v>
      </c>
      <c r="H108" s="32" t="s">
        <v>98</v>
      </c>
    </row>
    <row r="109" spans="2:10" ht="122.25" customHeight="1">
      <c r="B109" s="127" t="s">
        <v>143</v>
      </c>
      <c r="C109" s="128"/>
      <c r="D109" s="128"/>
      <c r="E109" s="16">
        <f>SUM(E110)</f>
        <v>2190000</v>
      </c>
      <c r="F109" s="13"/>
      <c r="G109" s="14"/>
      <c r="H109" s="10"/>
      <c r="I109" s="61"/>
      <c r="J109" s="63"/>
    </row>
    <row r="110" spans="2:10" s="1" customFormat="1" ht="117.75" customHeight="1">
      <c r="B110" s="104" t="s">
        <v>132</v>
      </c>
      <c r="C110" s="23" t="s">
        <v>32</v>
      </c>
      <c r="D110" s="23" t="s">
        <v>29</v>
      </c>
      <c r="E110" s="24">
        <v>2190000</v>
      </c>
      <c r="F110" s="25" t="s">
        <v>61</v>
      </c>
      <c r="G110" s="26" t="s">
        <v>152</v>
      </c>
      <c r="H110" s="48" t="s">
        <v>98</v>
      </c>
    </row>
    <row r="111" spans="2:10" s="1" customFormat="1" ht="57" customHeight="1">
      <c r="B111" s="138" t="s">
        <v>144</v>
      </c>
      <c r="C111" s="139"/>
      <c r="D111" s="139"/>
      <c r="E111" s="16">
        <f>SUM(E112:E116)</f>
        <v>474000</v>
      </c>
      <c r="F111" s="13"/>
      <c r="G111" s="60"/>
      <c r="H111" s="60"/>
      <c r="I111" s="61"/>
      <c r="J111" s="62"/>
    </row>
    <row r="112" spans="2:10" s="1" customFormat="1" ht="59.25" customHeight="1">
      <c r="B112" s="104" t="s">
        <v>148</v>
      </c>
      <c r="C112" s="23">
        <v>33100000</v>
      </c>
      <c r="D112" s="23" t="s">
        <v>28</v>
      </c>
      <c r="E112" s="24">
        <f>20000+14559.87+22385.83</f>
        <v>56945.700000000004</v>
      </c>
      <c r="F112" s="25" t="s">
        <v>64</v>
      </c>
      <c r="G112" s="26" t="s">
        <v>125</v>
      </c>
      <c r="H112" s="41"/>
    </row>
    <row r="113" spans="2:11" s="1" customFormat="1" ht="38.25">
      <c r="B113" s="104" t="s">
        <v>148</v>
      </c>
      <c r="C113" s="36">
        <v>33600000</v>
      </c>
      <c r="D113" s="36" t="s">
        <v>29</v>
      </c>
      <c r="E113" s="24">
        <f>266824.3+68000-17770</f>
        <v>317054.3</v>
      </c>
      <c r="F113" s="43" t="s">
        <v>64</v>
      </c>
      <c r="G113" s="26" t="s">
        <v>125</v>
      </c>
      <c r="H113" s="44"/>
    </row>
    <row r="114" spans="2:11" s="1" customFormat="1" ht="78.75">
      <c r="B114" s="104" t="s">
        <v>132</v>
      </c>
      <c r="C114" s="38" t="s">
        <v>103</v>
      </c>
      <c r="D114" s="23" t="s">
        <v>71</v>
      </c>
      <c r="E114" s="24">
        <v>6870</v>
      </c>
      <c r="F114" s="25" t="s">
        <v>61</v>
      </c>
      <c r="G114" s="26" t="s">
        <v>125</v>
      </c>
      <c r="H114" s="45" t="s">
        <v>130</v>
      </c>
    </row>
    <row r="115" spans="2:11" s="1" customFormat="1" ht="67.5">
      <c r="B115" s="104" t="s">
        <v>132</v>
      </c>
      <c r="C115" s="38" t="s">
        <v>103</v>
      </c>
      <c r="D115" s="23" t="s">
        <v>71</v>
      </c>
      <c r="E115" s="24">
        <f>13740+6870</f>
        <v>20610</v>
      </c>
      <c r="F115" s="25" t="s">
        <v>61</v>
      </c>
      <c r="G115" s="26" t="s">
        <v>152</v>
      </c>
      <c r="H115" s="48" t="s">
        <v>98</v>
      </c>
      <c r="J115" s="62"/>
      <c r="K115" s="62"/>
    </row>
    <row r="116" spans="2:11" s="1" customFormat="1" ht="51" customHeight="1">
      <c r="B116" s="104" t="s">
        <v>132</v>
      </c>
      <c r="C116" s="38" t="s">
        <v>24</v>
      </c>
      <c r="D116" s="23" t="s">
        <v>71</v>
      </c>
      <c r="E116" s="24">
        <v>72520</v>
      </c>
      <c r="F116" s="25" t="s">
        <v>64</v>
      </c>
      <c r="G116" s="26" t="s">
        <v>153</v>
      </c>
      <c r="H116" s="45"/>
      <c r="J116" s="62"/>
      <c r="K116" s="62"/>
    </row>
    <row r="117" spans="2:11" ht="59.25" customHeight="1">
      <c r="B117" s="127" t="s">
        <v>145</v>
      </c>
      <c r="C117" s="128"/>
      <c r="D117" s="128"/>
      <c r="E117" s="16">
        <f>SUM(E118:E121)</f>
        <v>2100000</v>
      </c>
      <c r="F117" s="13"/>
      <c r="G117" s="14"/>
      <c r="H117" s="10"/>
      <c r="I117" s="61"/>
      <c r="J117" s="63"/>
    </row>
    <row r="118" spans="2:11" s="18" customFormat="1" ht="42.75" customHeight="1">
      <c r="B118" s="104" t="s">
        <v>132</v>
      </c>
      <c r="C118" s="23" t="s">
        <v>25</v>
      </c>
      <c r="D118" s="23" t="s">
        <v>69</v>
      </c>
      <c r="E118" s="24">
        <f>2100000-115976-175000</f>
        <v>1809024</v>
      </c>
      <c r="F118" s="25" t="s">
        <v>64</v>
      </c>
      <c r="G118" s="26" t="s">
        <v>125</v>
      </c>
      <c r="H118" s="53"/>
    </row>
    <row r="119" spans="2:11" s="1" customFormat="1" ht="42.75" customHeight="1">
      <c r="B119" s="104" t="s">
        <v>132</v>
      </c>
      <c r="C119" s="23" t="s">
        <v>25</v>
      </c>
      <c r="D119" s="23" t="s">
        <v>69</v>
      </c>
      <c r="E119" s="24">
        <f>5976</f>
        <v>5976</v>
      </c>
      <c r="F119" s="25" t="s">
        <v>61</v>
      </c>
      <c r="G119" s="26" t="s">
        <v>152</v>
      </c>
      <c r="H119" s="48" t="s">
        <v>98</v>
      </c>
    </row>
    <row r="120" spans="2:11" s="1" customFormat="1" ht="42.75" customHeight="1">
      <c r="B120" s="104" t="s">
        <v>132</v>
      </c>
      <c r="C120" s="23" t="s">
        <v>176</v>
      </c>
      <c r="D120" s="23" t="s">
        <v>177</v>
      </c>
      <c r="E120" s="24">
        <v>175000</v>
      </c>
      <c r="F120" s="25" t="s">
        <v>64</v>
      </c>
      <c r="G120" s="26" t="s">
        <v>178</v>
      </c>
      <c r="H120" s="48"/>
    </row>
    <row r="121" spans="2:11" s="1" customFormat="1" ht="80.25" customHeight="1">
      <c r="B121" s="104" t="s">
        <v>132</v>
      </c>
      <c r="C121" s="23" t="s">
        <v>154</v>
      </c>
      <c r="D121" s="23" t="s">
        <v>155</v>
      </c>
      <c r="E121" s="24">
        <f>115976-5976</f>
        <v>110000</v>
      </c>
      <c r="F121" s="25" t="s">
        <v>61</v>
      </c>
      <c r="G121" s="26" t="s">
        <v>152</v>
      </c>
      <c r="H121" s="48" t="s">
        <v>98</v>
      </c>
    </row>
    <row r="122" spans="2:11" ht="70.5" customHeight="1">
      <c r="B122" s="127" t="s">
        <v>146</v>
      </c>
      <c r="C122" s="128"/>
      <c r="D122" s="128"/>
      <c r="E122" s="16">
        <f>SUM(E123:E126)</f>
        <v>442800</v>
      </c>
      <c r="F122" s="13"/>
      <c r="G122" s="14"/>
      <c r="H122" s="10"/>
      <c r="I122" s="61"/>
      <c r="J122" s="63"/>
    </row>
    <row r="123" spans="2:11" s="18" customFormat="1" ht="33.75">
      <c r="B123" s="65" t="s">
        <v>132</v>
      </c>
      <c r="C123" s="99" t="s">
        <v>32</v>
      </c>
      <c r="D123" s="99" t="s">
        <v>29</v>
      </c>
      <c r="E123" s="56">
        <f>264000-4020</f>
        <v>259980</v>
      </c>
      <c r="F123" s="100" t="s">
        <v>64</v>
      </c>
      <c r="G123" s="80" t="s">
        <v>125</v>
      </c>
      <c r="H123" s="101"/>
    </row>
    <row r="124" spans="2:11" s="18" customFormat="1" ht="33.75">
      <c r="B124" s="67" t="s">
        <v>132</v>
      </c>
      <c r="C124" s="87" t="s">
        <v>7</v>
      </c>
      <c r="D124" s="87" t="s">
        <v>28</v>
      </c>
      <c r="E124" s="69">
        <f>132000-62000</f>
        <v>70000</v>
      </c>
      <c r="F124" s="88" t="s">
        <v>64</v>
      </c>
      <c r="G124" s="71" t="s">
        <v>125</v>
      </c>
      <c r="H124" s="116"/>
    </row>
    <row r="125" spans="2:11" s="18" customFormat="1" ht="25.5">
      <c r="B125" s="67" t="s">
        <v>132</v>
      </c>
      <c r="C125" s="87" t="s">
        <v>7</v>
      </c>
      <c r="D125" s="87" t="s">
        <v>28</v>
      </c>
      <c r="E125" s="69">
        <v>62000</v>
      </c>
      <c r="F125" s="70" t="s">
        <v>60</v>
      </c>
      <c r="G125" s="71" t="s">
        <v>178</v>
      </c>
      <c r="H125" s="116"/>
    </row>
    <row r="126" spans="2:11" s="1" customFormat="1" ht="33.75">
      <c r="B126" s="104" t="s">
        <v>132</v>
      </c>
      <c r="C126" s="23" t="s">
        <v>14</v>
      </c>
      <c r="D126" s="23" t="s">
        <v>40</v>
      </c>
      <c r="E126" s="24">
        <f>4020+46800</f>
        <v>50820</v>
      </c>
      <c r="F126" s="25" t="s">
        <v>60</v>
      </c>
      <c r="G126" s="26" t="s">
        <v>125</v>
      </c>
      <c r="H126" s="2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7:D77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topLeftCell="B73" zoomScaleNormal="100" zoomScaleSheetLayoutView="80" workbookViewId="0">
      <selection activeCell="B77" sqref="A77:XFD7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E9+E74+E79+E85+E91+E95+E98+E106+E108+E113+E115+E121+E126</f>
        <v>43586100.600000001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SUM(E10:E73)</f>
        <v>4441433.5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25.5">
      <c r="B20" s="65" t="s">
        <v>147</v>
      </c>
      <c r="C20" s="84">
        <v>35800000</v>
      </c>
      <c r="D20" s="78" t="s">
        <v>171</v>
      </c>
      <c r="E20" s="56">
        <v>405</v>
      </c>
      <c r="F20" s="79" t="s">
        <v>61</v>
      </c>
      <c r="G20" s="80" t="s">
        <v>172</v>
      </c>
      <c r="H20" s="102"/>
    </row>
    <row r="21" spans="2:10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</row>
    <row r="22" spans="2:10" s="18" customFormat="1" ht="25.5">
      <c r="B22" s="65" t="s">
        <v>147</v>
      </c>
      <c r="C22" s="84">
        <v>33700000</v>
      </c>
      <c r="D22" s="78" t="s">
        <v>181</v>
      </c>
      <c r="E22" s="56">
        <v>1295</v>
      </c>
      <c r="F22" s="79" t="s">
        <v>61</v>
      </c>
      <c r="G22" s="80" t="s">
        <v>172</v>
      </c>
      <c r="H22" s="102"/>
    </row>
    <row r="23" spans="2:10" s="18" customFormat="1" ht="38.25" customHeight="1">
      <c r="B23" s="65" t="s">
        <v>147</v>
      </c>
      <c r="C23" s="78" t="s">
        <v>43</v>
      </c>
      <c r="D23" s="78" t="s">
        <v>42</v>
      </c>
      <c r="E23" s="56">
        <f>10000+7260+80</f>
        <v>17340</v>
      </c>
      <c r="F23" s="79" t="s">
        <v>60</v>
      </c>
      <c r="G23" s="80" t="s">
        <v>125</v>
      </c>
      <c r="H23" s="110"/>
    </row>
    <row r="24" spans="2:10" s="18" customFormat="1" ht="42" customHeight="1">
      <c r="B24" s="65" t="s">
        <v>132</v>
      </c>
      <c r="C24" s="78" t="s">
        <v>174</v>
      </c>
      <c r="D24" s="78" t="s">
        <v>175</v>
      </c>
      <c r="E24" s="56">
        <v>3756</v>
      </c>
      <c r="F24" s="79" t="s">
        <v>91</v>
      </c>
      <c r="G24" s="80" t="s">
        <v>172</v>
      </c>
      <c r="H24" s="81"/>
    </row>
    <row r="25" spans="2:10" s="18" customFormat="1" ht="33.75">
      <c r="B25" s="65" t="s">
        <v>132</v>
      </c>
      <c r="C25" s="23" t="s">
        <v>92</v>
      </c>
      <c r="D25" s="23" t="s">
        <v>93</v>
      </c>
      <c r="E25" s="56">
        <v>4800</v>
      </c>
      <c r="F25" s="25" t="s">
        <v>91</v>
      </c>
      <c r="G25" s="26" t="s">
        <v>125</v>
      </c>
      <c r="H25" s="31"/>
    </row>
    <row r="26" spans="2:10" s="18" customFormat="1" ht="33.75">
      <c r="B26" s="65" t="s">
        <v>132</v>
      </c>
      <c r="C26" s="23" t="s">
        <v>94</v>
      </c>
      <c r="D26" s="23" t="s">
        <v>95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34">
        <v>39800000</v>
      </c>
      <c r="D27" s="34" t="s">
        <v>84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85">
        <v>42900000</v>
      </c>
      <c r="D28" s="85" t="s">
        <v>168</v>
      </c>
      <c r="E28" s="56">
        <v>1920</v>
      </c>
      <c r="F28" s="79" t="s">
        <v>60</v>
      </c>
      <c r="G28" s="110" t="s">
        <v>160</v>
      </c>
      <c r="H28" s="110"/>
    </row>
    <row r="29" spans="2:10" s="18" customFormat="1" ht="51.75" customHeight="1">
      <c r="B29" s="65" t="s">
        <v>132</v>
      </c>
      <c r="C29" s="84">
        <v>41100000</v>
      </c>
      <c r="D29" s="85" t="s">
        <v>149</v>
      </c>
      <c r="E29" s="56">
        <v>6750</v>
      </c>
      <c r="F29" s="79" t="s">
        <v>64</v>
      </c>
      <c r="G29" s="80" t="s">
        <v>125</v>
      </c>
      <c r="H29" s="81"/>
    </row>
    <row r="30" spans="2:10" s="18" customFormat="1" ht="51.75" customHeight="1">
      <c r="B30" s="65" t="s">
        <v>132</v>
      </c>
      <c r="C30" s="84">
        <v>44400000</v>
      </c>
      <c r="D30" s="85" t="s">
        <v>167</v>
      </c>
      <c r="E30" s="56">
        <v>4120</v>
      </c>
      <c r="F30" s="79" t="s">
        <v>64</v>
      </c>
      <c r="G30" s="80" t="s">
        <v>160</v>
      </c>
      <c r="H30" s="81"/>
    </row>
    <row r="31" spans="2:10" s="18" customFormat="1" ht="51.75" customHeight="1">
      <c r="B31" s="67" t="s">
        <v>132</v>
      </c>
      <c r="C31" s="82">
        <v>48400000</v>
      </c>
      <c r="D31" s="83" t="s">
        <v>182</v>
      </c>
      <c r="E31" s="69">
        <f>3234+980</f>
        <v>4214</v>
      </c>
      <c r="F31" s="70" t="s">
        <v>61</v>
      </c>
      <c r="G31" s="71" t="s">
        <v>172</v>
      </c>
      <c r="H31" s="90"/>
    </row>
    <row r="32" spans="2:10" s="18" customFormat="1" ht="51.75" customHeight="1">
      <c r="B32" s="65" t="s">
        <v>132</v>
      </c>
      <c r="C32" s="30">
        <v>45400000</v>
      </c>
      <c r="D32" s="34" t="s">
        <v>102</v>
      </c>
      <c r="E32" s="56">
        <v>40000</v>
      </c>
      <c r="F32" s="25" t="s">
        <v>64</v>
      </c>
      <c r="G32" s="26" t="s">
        <v>125</v>
      </c>
      <c r="H32" s="31"/>
    </row>
    <row r="33" spans="2:9" s="18" customFormat="1" ht="37.5" customHeight="1">
      <c r="B33" s="65" t="s">
        <v>133</v>
      </c>
      <c r="C33" s="30">
        <v>48700000</v>
      </c>
      <c r="D33" s="23" t="s">
        <v>104</v>
      </c>
      <c r="E33" s="56">
        <v>30000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84">
        <v>48800000</v>
      </c>
      <c r="D34" s="78" t="s">
        <v>179</v>
      </c>
      <c r="E34" s="56">
        <f>85900-5900</f>
        <v>80000</v>
      </c>
      <c r="F34" s="56" t="s">
        <v>64</v>
      </c>
      <c r="G34" s="115" t="s">
        <v>173</v>
      </c>
      <c r="H34" s="81"/>
    </row>
    <row r="35" spans="2:9" s="18" customFormat="1" ht="37.5" customHeight="1">
      <c r="B35" s="65" t="s">
        <v>132</v>
      </c>
      <c r="C35" s="84">
        <v>48800000</v>
      </c>
      <c r="D35" s="78" t="s">
        <v>179</v>
      </c>
      <c r="E35" s="56">
        <f>500+5900</f>
        <v>6400</v>
      </c>
      <c r="F35" s="56" t="s">
        <v>64</v>
      </c>
      <c r="G35" s="115" t="s">
        <v>173</v>
      </c>
      <c r="H35" s="81"/>
    </row>
    <row r="36" spans="2:9" s="18" customFormat="1" ht="56.25">
      <c r="B36" s="65" t="s">
        <v>132</v>
      </c>
      <c r="C36" s="78">
        <v>50100000</v>
      </c>
      <c r="D36" s="78" t="s">
        <v>44</v>
      </c>
      <c r="E36" s="56">
        <f>10000+30000</f>
        <v>40000</v>
      </c>
      <c r="F36" s="79" t="s">
        <v>61</v>
      </c>
      <c r="G36" s="80" t="s">
        <v>125</v>
      </c>
      <c r="H36" s="102" t="s">
        <v>66</v>
      </c>
    </row>
    <row r="37" spans="2:9" s="1" customFormat="1" ht="92.25" customHeight="1">
      <c r="B37" s="104" t="s">
        <v>132</v>
      </c>
      <c r="C37" s="23" t="s">
        <v>59</v>
      </c>
      <c r="D37" s="23" t="s">
        <v>62</v>
      </c>
      <c r="E37" s="24">
        <f>120000-30000+15000</f>
        <v>105000</v>
      </c>
      <c r="F37" s="25" t="s">
        <v>64</v>
      </c>
      <c r="G37" s="26" t="s">
        <v>125</v>
      </c>
      <c r="H37" s="36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v>2080</v>
      </c>
      <c r="F38" s="79" t="s">
        <v>61</v>
      </c>
      <c r="G38" s="80" t="s">
        <v>160</v>
      </c>
      <c r="H38" s="102" t="s">
        <v>85</v>
      </c>
    </row>
    <row r="39" spans="2:9" s="18" customFormat="1" ht="92.25" customHeight="1">
      <c r="B39" s="65" t="s">
        <v>132</v>
      </c>
      <c r="C39" s="23" t="s">
        <v>107</v>
      </c>
      <c r="D39" s="23" t="s">
        <v>108</v>
      </c>
      <c r="E39" s="56">
        <v>50000</v>
      </c>
      <c r="F39" s="25" t="s">
        <v>64</v>
      </c>
      <c r="G39" s="26" t="s">
        <v>125</v>
      </c>
      <c r="H39" s="31"/>
    </row>
    <row r="40" spans="2:9" s="18" customFormat="1" ht="92.25" customHeight="1">
      <c r="B40" s="65" t="s">
        <v>132</v>
      </c>
      <c r="C40" s="23" t="s">
        <v>105</v>
      </c>
      <c r="D40" s="23" t="s">
        <v>106</v>
      </c>
      <c r="E40" s="56">
        <v>310000</v>
      </c>
      <c r="F40" s="25" t="s">
        <v>64</v>
      </c>
      <c r="G40" s="26" t="s">
        <v>125</v>
      </c>
      <c r="H40" s="36"/>
    </row>
    <row r="41" spans="2:9" s="18" customFormat="1" ht="115.5" customHeight="1">
      <c r="B41" s="65" t="s">
        <v>132</v>
      </c>
      <c r="C41" s="78" t="s">
        <v>105</v>
      </c>
      <c r="D41" s="78" t="s">
        <v>106</v>
      </c>
      <c r="E41" s="56">
        <f>23265*I41</f>
        <v>62815.500000000007</v>
      </c>
      <c r="F41" s="78" t="s">
        <v>61</v>
      </c>
      <c r="G41" s="80" t="s">
        <v>152</v>
      </c>
      <c r="H41" s="78" t="s">
        <v>180</v>
      </c>
      <c r="I41" s="18">
        <v>2.7</v>
      </c>
    </row>
    <row r="42" spans="2:9" s="18" customFormat="1" ht="115.5" customHeight="1">
      <c r="B42" s="65" t="s">
        <v>147</v>
      </c>
      <c r="C42" s="23" t="s">
        <v>109</v>
      </c>
      <c r="D42" s="23" t="s">
        <v>110</v>
      </c>
      <c r="E42" s="56">
        <f>60000+45000-20000</f>
        <v>85000</v>
      </c>
      <c r="F42" s="25" t="s">
        <v>64</v>
      </c>
      <c r="G42" s="26" t="s">
        <v>125</v>
      </c>
      <c r="H42" s="36"/>
    </row>
    <row r="43" spans="2:9" s="18" customFormat="1" ht="102.75" customHeight="1">
      <c r="B43" s="65" t="s">
        <v>132</v>
      </c>
      <c r="C43" s="23" t="s">
        <v>86</v>
      </c>
      <c r="D43" s="23" t="s">
        <v>87</v>
      </c>
      <c r="E43" s="56">
        <v>8000</v>
      </c>
      <c r="F43" s="25" t="s">
        <v>64</v>
      </c>
      <c r="G43" s="26" t="s">
        <v>125</v>
      </c>
      <c r="H43" s="23"/>
    </row>
    <row r="44" spans="2:9" s="18" customFormat="1" ht="115.5" customHeight="1">
      <c r="B44" s="65" t="s">
        <v>132</v>
      </c>
      <c r="C44" s="23">
        <v>50700000</v>
      </c>
      <c r="D44" s="23" t="s">
        <v>13</v>
      </c>
      <c r="E44" s="56">
        <f>1600000-59200</f>
        <v>1540800</v>
      </c>
      <c r="F44" s="23" t="s">
        <v>61</v>
      </c>
      <c r="G44" s="26" t="s">
        <v>125</v>
      </c>
      <c r="H44" s="23" t="s">
        <v>99</v>
      </c>
    </row>
    <row r="45" spans="2:9" s="18" customFormat="1" ht="115.5" customHeight="1">
      <c r="B45" s="65" t="s">
        <v>132</v>
      </c>
      <c r="C45" s="78">
        <v>50700000</v>
      </c>
      <c r="D45" s="78" t="s">
        <v>13</v>
      </c>
      <c r="E45" s="56">
        <f>93000-45000+20000+46148</f>
        <v>114148</v>
      </c>
      <c r="F45" s="78" t="s">
        <v>64</v>
      </c>
      <c r="G45" s="80" t="s">
        <v>125</v>
      </c>
      <c r="H45" s="78"/>
    </row>
    <row r="46" spans="2:9" s="18" customFormat="1" ht="115.5" customHeight="1">
      <c r="B46" s="65" t="s">
        <v>132</v>
      </c>
      <c r="C46" s="78" t="s">
        <v>117</v>
      </c>
      <c r="D46" s="78" t="s">
        <v>118</v>
      </c>
      <c r="E46" s="56">
        <f>120000+68250</f>
        <v>188250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23" t="s">
        <v>111</v>
      </c>
      <c r="D47" s="23" t="s">
        <v>112</v>
      </c>
      <c r="E47" s="56">
        <v>120000</v>
      </c>
      <c r="F47" s="23" t="s">
        <v>64</v>
      </c>
      <c r="G47" s="26" t="s">
        <v>125</v>
      </c>
      <c r="H47" s="23"/>
    </row>
    <row r="48" spans="2:9" s="18" customFormat="1" ht="58.5" customHeight="1">
      <c r="B48" s="65" t="s">
        <v>132</v>
      </c>
      <c r="C48" s="30">
        <v>63700000</v>
      </c>
      <c r="D48" s="23" t="s">
        <v>70</v>
      </c>
      <c r="E48" s="56">
        <v>2000</v>
      </c>
      <c r="F48" s="25" t="s">
        <v>61</v>
      </c>
      <c r="G48" s="26" t="s">
        <v>125</v>
      </c>
      <c r="H48" s="26" t="s">
        <v>85</v>
      </c>
    </row>
    <row r="49" spans="2:10" s="18" customFormat="1" ht="63.75" customHeight="1">
      <c r="B49" s="65" t="s">
        <v>132</v>
      </c>
      <c r="C49" s="23" t="s">
        <v>47</v>
      </c>
      <c r="D49" s="23" t="s">
        <v>48</v>
      </c>
      <c r="E49" s="56">
        <v>6000</v>
      </c>
      <c r="F49" s="25" t="s">
        <v>64</v>
      </c>
      <c r="G49" s="26" t="s">
        <v>125</v>
      </c>
      <c r="H49" s="23"/>
    </row>
    <row r="50" spans="2:10" s="18" customFormat="1" ht="33.75">
      <c r="B50" s="65" t="s">
        <v>132</v>
      </c>
      <c r="C50" s="38" t="s">
        <v>18</v>
      </c>
      <c r="D50" s="23" t="s">
        <v>46</v>
      </c>
      <c r="E50" s="56">
        <v>25000</v>
      </c>
      <c r="F50" s="25" t="s">
        <v>64</v>
      </c>
      <c r="G50" s="26" t="s">
        <v>125</v>
      </c>
      <c r="H50" s="33"/>
    </row>
    <row r="51" spans="2:10" s="18" customFormat="1" ht="56.25">
      <c r="B51" s="65" t="s">
        <v>132</v>
      </c>
      <c r="C51" s="38" t="s">
        <v>18</v>
      </c>
      <c r="D51" s="23" t="s">
        <v>46</v>
      </c>
      <c r="E51" s="56">
        <v>25500</v>
      </c>
      <c r="F51" s="25" t="s">
        <v>61</v>
      </c>
      <c r="G51" s="26" t="s">
        <v>125</v>
      </c>
      <c r="H51" s="26" t="s">
        <v>96</v>
      </c>
    </row>
    <row r="52" spans="2:10" s="18" customFormat="1" ht="56.25">
      <c r="B52" s="65" t="s">
        <v>132</v>
      </c>
      <c r="C52" s="77" t="s">
        <v>161</v>
      </c>
      <c r="D52" s="78" t="s">
        <v>46</v>
      </c>
      <c r="E52" s="56">
        <v>9000</v>
      </c>
      <c r="F52" s="79" t="s">
        <v>61</v>
      </c>
      <c r="G52" s="80" t="s">
        <v>152</v>
      </c>
      <c r="H52" s="80" t="s">
        <v>162</v>
      </c>
    </row>
    <row r="53" spans="2:10" s="18" customFormat="1" ht="33.75">
      <c r="B53" s="65" t="s">
        <v>132</v>
      </c>
      <c r="C53" s="38" t="s">
        <v>18</v>
      </c>
      <c r="D53" s="23" t="s">
        <v>46</v>
      </c>
      <c r="E53" s="56">
        <v>24000</v>
      </c>
      <c r="F53" s="25" t="s">
        <v>60</v>
      </c>
      <c r="G53" s="26" t="s">
        <v>125</v>
      </c>
      <c r="H53" s="33"/>
    </row>
    <row r="54" spans="2:10" s="18" customFormat="1" ht="33.75">
      <c r="B54" s="65" t="s">
        <v>134</v>
      </c>
      <c r="C54" s="38" t="s">
        <v>114</v>
      </c>
      <c r="D54" s="23" t="s">
        <v>113</v>
      </c>
      <c r="E54" s="56">
        <v>30000</v>
      </c>
      <c r="F54" s="25" t="s">
        <v>64</v>
      </c>
      <c r="G54" s="26" t="s">
        <v>125</v>
      </c>
      <c r="H54" s="26"/>
    </row>
    <row r="55" spans="2:10" s="18" customFormat="1" ht="33.75">
      <c r="B55" s="65" t="s">
        <v>132</v>
      </c>
      <c r="C55" s="38" t="s">
        <v>55</v>
      </c>
      <c r="D55" s="23" t="s">
        <v>56</v>
      </c>
      <c r="E55" s="56">
        <v>1680</v>
      </c>
      <c r="F55" s="25" t="s">
        <v>91</v>
      </c>
      <c r="G55" s="26" t="s">
        <v>125</v>
      </c>
      <c r="H55" s="33"/>
    </row>
    <row r="56" spans="2:10" s="18" customFormat="1" ht="57" customHeight="1">
      <c r="B56" s="65" t="s">
        <v>132</v>
      </c>
      <c r="C56" s="77" t="s">
        <v>17</v>
      </c>
      <c r="D56" s="78" t="s">
        <v>16</v>
      </c>
      <c r="E56" s="56">
        <f>90000+34000</f>
        <v>124000</v>
      </c>
      <c r="F56" s="79" t="s">
        <v>61</v>
      </c>
      <c r="G56" s="80" t="s">
        <v>125</v>
      </c>
      <c r="H56" s="80" t="s">
        <v>67</v>
      </c>
    </row>
    <row r="57" spans="2:10" s="18" customFormat="1" ht="65.25" customHeight="1">
      <c r="B57" s="65" t="s">
        <v>132</v>
      </c>
      <c r="C57" s="77" t="s">
        <v>17</v>
      </c>
      <c r="D57" s="78" t="s">
        <v>16</v>
      </c>
      <c r="E57" s="56">
        <f>150+400+266+21+350</f>
        <v>1187</v>
      </c>
      <c r="F57" s="79" t="s">
        <v>61</v>
      </c>
      <c r="G57" s="80" t="s">
        <v>125</v>
      </c>
      <c r="H57" s="80"/>
      <c r="J57" s="20"/>
    </row>
    <row r="58" spans="2:10" s="18" customFormat="1" ht="56.25">
      <c r="B58" s="65" t="s">
        <v>132</v>
      </c>
      <c r="C58" s="38" t="s">
        <v>77</v>
      </c>
      <c r="D58" s="23" t="s">
        <v>78</v>
      </c>
      <c r="E58" s="56">
        <v>3000</v>
      </c>
      <c r="F58" s="25" t="s">
        <v>61</v>
      </c>
      <c r="G58" s="26" t="s">
        <v>125</v>
      </c>
      <c r="H58" s="26" t="s">
        <v>79</v>
      </c>
    </row>
    <row r="59" spans="2:10" s="18" customFormat="1" ht="56.25">
      <c r="B59" s="65" t="s">
        <v>132</v>
      </c>
      <c r="C59" s="77" t="s">
        <v>163</v>
      </c>
      <c r="D59" s="78" t="s">
        <v>164</v>
      </c>
      <c r="E59" s="56">
        <v>500</v>
      </c>
      <c r="F59" s="79" t="s">
        <v>61</v>
      </c>
      <c r="G59" s="80" t="s">
        <v>152</v>
      </c>
      <c r="H59" s="80" t="s">
        <v>79</v>
      </c>
    </row>
    <row r="60" spans="2:10" s="18" customFormat="1" ht="75" customHeight="1">
      <c r="B60" s="65" t="s">
        <v>132</v>
      </c>
      <c r="C60" s="77" t="s">
        <v>25</v>
      </c>
      <c r="D60" s="78" t="s">
        <v>119</v>
      </c>
      <c r="E60" s="56">
        <v>100000</v>
      </c>
      <c r="F60" s="79" t="s">
        <v>64</v>
      </c>
      <c r="G60" s="80" t="s">
        <v>125</v>
      </c>
      <c r="H60" s="80"/>
    </row>
    <row r="61" spans="2:10" s="18" customFormat="1" ht="75" customHeight="1">
      <c r="B61" s="67" t="s">
        <v>132</v>
      </c>
      <c r="C61" s="76" t="s">
        <v>163</v>
      </c>
      <c r="D61" s="68" t="s">
        <v>164</v>
      </c>
      <c r="E61" s="69">
        <v>4900</v>
      </c>
      <c r="F61" s="70" t="s">
        <v>61</v>
      </c>
      <c r="G61" s="71" t="s">
        <v>183</v>
      </c>
      <c r="H61" s="71"/>
    </row>
    <row r="62" spans="2:10" s="1" customFormat="1" ht="63.75" customHeight="1">
      <c r="B62" s="104" t="s">
        <v>132</v>
      </c>
      <c r="C62" s="23" t="s">
        <v>45</v>
      </c>
      <c r="D62" s="23" t="s">
        <v>63</v>
      </c>
      <c r="E62" s="24">
        <f>6000+3850</f>
        <v>9850</v>
      </c>
      <c r="F62" s="25" t="s">
        <v>64</v>
      </c>
      <c r="G62" s="26" t="s">
        <v>125</v>
      </c>
      <c r="H62" s="26"/>
    </row>
    <row r="63" spans="2:10" s="18" customFormat="1" ht="63.75" customHeight="1">
      <c r="B63" s="65" t="s">
        <v>132</v>
      </c>
      <c r="C63" s="78" t="s">
        <v>120</v>
      </c>
      <c r="D63" s="78" t="s">
        <v>121</v>
      </c>
      <c r="E63" s="56">
        <v>450</v>
      </c>
      <c r="F63" s="79" t="s">
        <v>61</v>
      </c>
      <c r="G63" s="80" t="s">
        <v>125</v>
      </c>
      <c r="H63" s="80"/>
    </row>
    <row r="64" spans="2:10" s="18" customFormat="1" ht="77.25" customHeight="1">
      <c r="B64" s="65" t="s">
        <v>132</v>
      </c>
      <c r="C64" s="30">
        <v>79700000</v>
      </c>
      <c r="D64" s="23" t="s">
        <v>27</v>
      </c>
      <c r="E64" s="56">
        <v>600000</v>
      </c>
      <c r="F64" s="25" t="s">
        <v>61</v>
      </c>
      <c r="G64" s="26" t="s">
        <v>125</v>
      </c>
      <c r="H64" s="26" t="s">
        <v>80</v>
      </c>
    </row>
    <row r="65" spans="2:10" s="18" customFormat="1" ht="62.25" customHeight="1">
      <c r="B65" s="65" t="s">
        <v>132</v>
      </c>
      <c r="C65" s="30">
        <v>79800000</v>
      </c>
      <c r="D65" s="23" t="s">
        <v>81</v>
      </c>
      <c r="E65" s="56">
        <v>10000</v>
      </c>
      <c r="F65" s="25" t="s">
        <v>64</v>
      </c>
      <c r="G65" s="26" t="s">
        <v>125</v>
      </c>
      <c r="H65" s="26"/>
    </row>
    <row r="66" spans="2:10" s="18" customFormat="1" ht="62.25" customHeight="1">
      <c r="B66" s="65" t="s">
        <v>132</v>
      </c>
      <c r="C66" s="78" t="s">
        <v>53</v>
      </c>
      <c r="D66" s="78" t="s">
        <v>65</v>
      </c>
      <c r="E66" s="56">
        <f>20000+12000-2305</f>
        <v>29695</v>
      </c>
      <c r="F66" s="79" t="s">
        <v>61</v>
      </c>
      <c r="G66" s="80" t="s">
        <v>125</v>
      </c>
      <c r="H66" s="78" t="s">
        <v>68</v>
      </c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v>2305</v>
      </c>
      <c r="F67" s="79" t="s">
        <v>61</v>
      </c>
      <c r="G67" s="80" t="s">
        <v>173</v>
      </c>
      <c r="H67" s="78"/>
    </row>
    <row r="68" spans="2:10" s="18" customFormat="1" ht="62.25" customHeight="1">
      <c r="B68" s="65" t="s">
        <v>132</v>
      </c>
      <c r="C68" s="38" t="s">
        <v>24</v>
      </c>
      <c r="D68" s="23" t="s">
        <v>71</v>
      </c>
      <c r="E68" s="56">
        <v>12000</v>
      </c>
      <c r="F68" s="25" t="s">
        <v>64</v>
      </c>
      <c r="G68" s="26" t="s">
        <v>125</v>
      </c>
      <c r="H68" s="23"/>
    </row>
    <row r="69" spans="2:10" s="18" customFormat="1" ht="62.25" customHeight="1">
      <c r="B69" s="65" t="s">
        <v>132</v>
      </c>
      <c r="C69" s="38" t="s">
        <v>122</v>
      </c>
      <c r="D69" s="23" t="s">
        <v>123</v>
      </c>
      <c r="E69" s="56">
        <v>1000</v>
      </c>
      <c r="F69" s="25" t="s">
        <v>61</v>
      </c>
      <c r="G69" s="26" t="s">
        <v>125</v>
      </c>
      <c r="H69" s="23"/>
    </row>
    <row r="70" spans="2:10" s="18" customFormat="1" ht="60.75" customHeight="1">
      <c r="B70" s="65" t="s">
        <v>132</v>
      </c>
      <c r="C70" s="78" t="s">
        <v>82</v>
      </c>
      <c r="D70" s="78" t="s">
        <v>83</v>
      </c>
      <c r="E70" s="56">
        <v>10000</v>
      </c>
      <c r="F70" s="79" t="s">
        <v>61</v>
      </c>
      <c r="G70" s="80" t="s">
        <v>125</v>
      </c>
      <c r="H70" s="80" t="s">
        <v>79</v>
      </c>
    </row>
    <row r="71" spans="2:10" s="18" customFormat="1" ht="36.75" customHeight="1">
      <c r="B71" s="65" t="s">
        <v>132</v>
      </c>
      <c r="C71" s="78" t="s">
        <v>12</v>
      </c>
      <c r="D71" s="78" t="s">
        <v>19</v>
      </c>
      <c r="E71" s="56">
        <f>80000+110000</f>
        <v>190000</v>
      </c>
      <c r="F71" s="79" t="s">
        <v>64</v>
      </c>
      <c r="G71" s="80" t="s">
        <v>125</v>
      </c>
      <c r="H71" s="81"/>
    </row>
    <row r="72" spans="2:10" s="18" customFormat="1" ht="54.75" customHeight="1">
      <c r="B72" s="65" t="s">
        <v>132</v>
      </c>
      <c r="C72" s="78" t="s">
        <v>115</v>
      </c>
      <c r="D72" s="78" t="s">
        <v>116</v>
      </c>
      <c r="E72" s="56">
        <v>15000</v>
      </c>
      <c r="F72" s="79" t="s">
        <v>61</v>
      </c>
      <c r="G72" s="80" t="s">
        <v>125</v>
      </c>
      <c r="H72" s="80" t="s">
        <v>79</v>
      </c>
    </row>
    <row r="73" spans="2:10" s="18" customFormat="1" ht="54.75" customHeight="1">
      <c r="B73" s="108" t="s">
        <v>132</v>
      </c>
      <c r="C73" s="78" t="s">
        <v>165</v>
      </c>
      <c r="D73" s="78" t="s">
        <v>166</v>
      </c>
      <c r="E73" s="56">
        <v>4900</v>
      </c>
      <c r="F73" s="79" t="s">
        <v>61</v>
      </c>
      <c r="G73" s="80" t="s">
        <v>152</v>
      </c>
      <c r="H73" s="80" t="s">
        <v>79</v>
      </c>
    </row>
    <row r="74" spans="2:10" s="1" customFormat="1" ht="75" customHeight="1">
      <c r="B74" s="127" t="s">
        <v>135</v>
      </c>
      <c r="C74" s="128"/>
      <c r="D74" s="128"/>
      <c r="E74" s="16">
        <f>SUM(E75:E78)</f>
        <v>1710000</v>
      </c>
      <c r="F74" s="13"/>
      <c r="G74" s="14"/>
      <c r="H74" s="10"/>
      <c r="I74" s="61"/>
      <c r="J74" s="62"/>
    </row>
    <row r="75" spans="2:10" s="1" customFormat="1" ht="59.25" customHeight="1">
      <c r="B75" s="104" t="s">
        <v>132</v>
      </c>
      <c r="C75" s="23" t="s">
        <v>24</v>
      </c>
      <c r="D75" s="23" t="s">
        <v>71</v>
      </c>
      <c r="E75" s="24">
        <f>1710000-142500-E77-E76</f>
        <v>1314302.3999999999</v>
      </c>
      <c r="F75" s="25" t="s">
        <v>64</v>
      </c>
      <c r="G75" s="26" t="s">
        <v>125</v>
      </c>
      <c r="H75" s="41"/>
      <c r="J75" s="62"/>
    </row>
    <row r="76" spans="2:10" s="1" customFormat="1" ht="67.5">
      <c r="B76" s="104" t="s">
        <v>132</v>
      </c>
      <c r="C76" s="23" t="s">
        <v>103</v>
      </c>
      <c r="D76" s="23" t="s">
        <v>71</v>
      </c>
      <c r="E76" s="24">
        <v>33000</v>
      </c>
      <c r="F76" s="25" t="s">
        <v>61</v>
      </c>
      <c r="G76" s="26" t="s">
        <v>151</v>
      </c>
      <c r="H76" s="48" t="s">
        <v>98</v>
      </c>
      <c r="J76" s="62"/>
    </row>
    <row r="77" spans="2:10" s="1" customFormat="1" ht="67.5">
      <c r="B77" s="104" t="s">
        <v>132</v>
      </c>
      <c r="C77" s="23" t="s">
        <v>103</v>
      </c>
      <c r="D77" s="23" t="s">
        <v>71</v>
      </c>
      <c r="E77" s="24">
        <v>220197.6</v>
      </c>
      <c r="F77" s="25" t="s">
        <v>61</v>
      </c>
      <c r="G77" s="26" t="s">
        <v>150</v>
      </c>
      <c r="H77" s="48" t="s">
        <v>98</v>
      </c>
    </row>
    <row r="78" spans="2:10" s="1" customFormat="1" ht="98.25" customHeight="1">
      <c r="B78" s="104" t="s">
        <v>132</v>
      </c>
      <c r="C78" s="23" t="s">
        <v>24</v>
      </c>
      <c r="D78" s="23" t="s">
        <v>71</v>
      </c>
      <c r="E78" s="24">
        <v>142500</v>
      </c>
      <c r="F78" s="25" t="s">
        <v>61</v>
      </c>
      <c r="G78" s="26" t="s">
        <v>125</v>
      </c>
      <c r="H78" s="48" t="s">
        <v>128</v>
      </c>
      <c r="J78" s="62"/>
    </row>
    <row r="79" spans="2:10" s="1" customFormat="1" ht="31.5" customHeight="1">
      <c r="B79" s="127" t="s">
        <v>136</v>
      </c>
      <c r="C79" s="128"/>
      <c r="D79" s="128"/>
      <c r="E79" s="16">
        <f>SUM(E80:E84)</f>
        <v>22370000</v>
      </c>
      <c r="F79" s="13"/>
      <c r="G79" s="9"/>
      <c r="H79" s="10"/>
      <c r="I79" s="61"/>
      <c r="J79" s="62"/>
    </row>
    <row r="80" spans="2:10" s="1" customFormat="1" ht="75.75" customHeight="1">
      <c r="B80" s="104" t="s">
        <v>132</v>
      </c>
      <c r="C80" s="23" t="s">
        <v>7</v>
      </c>
      <c r="D80" s="23" t="s">
        <v>57</v>
      </c>
      <c r="E80" s="24">
        <f>3750000+400000</f>
        <v>4150000</v>
      </c>
      <c r="F80" s="25" t="s">
        <v>61</v>
      </c>
      <c r="G80" s="26" t="s">
        <v>125</v>
      </c>
      <c r="H80" s="48" t="s">
        <v>97</v>
      </c>
    </row>
    <row r="81" spans="2:13" s="1" customFormat="1" ht="75.75" customHeight="1">
      <c r="B81" s="66" t="s">
        <v>133</v>
      </c>
      <c r="C81" s="23" t="s">
        <v>7</v>
      </c>
      <c r="D81" s="23" t="s">
        <v>57</v>
      </c>
      <c r="E81" s="24">
        <v>100000</v>
      </c>
      <c r="F81" s="25" t="s">
        <v>61</v>
      </c>
      <c r="G81" s="26" t="s">
        <v>125</v>
      </c>
      <c r="H81" s="48" t="s">
        <v>97</v>
      </c>
    </row>
    <row r="82" spans="2:13" s="1" customFormat="1" ht="121.5" customHeight="1">
      <c r="B82" s="104" t="s">
        <v>132</v>
      </c>
      <c r="C82" s="23">
        <v>33600000</v>
      </c>
      <c r="D82" s="23" t="s">
        <v>29</v>
      </c>
      <c r="E82" s="24">
        <f>1440000+270000-22680</f>
        <v>1687320</v>
      </c>
      <c r="F82" s="25" t="s">
        <v>64</v>
      </c>
      <c r="G82" s="26" t="s">
        <v>125</v>
      </c>
      <c r="H82" s="41"/>
      <c r="J82" s="62"/>
      <c r="L82" s="62"/>
      <c r="M82" s="62"/>
    </row>
    <row r="83" spans="2:13" s="1" customFormat="1" ht="121.5" customHeight="1">
      <c r="B83" s="104" t="s">
        <v>132</v>
      </c>
      <c r="C83" s="23" t="s">
        <v>32</v>
      </c>
      <c r="D83" s="23" t="s">
        <v>29</v>
      </c>
      <c r="E83" s="24">
        <v>22680</v>
      </c>
      <c r="F83" s="25" t="s">
        <v>61</v>
      </c>
      <c r="G83" s="26" t="s">
        <v>150</v>
      </c>
      <c r="H83" s="48" t="s">
        <v>157</v>
      </c>
      <c r="J83" s="62"/>
      <c r="L83" s="62"/>
      <c r="M83" s="62"/>
    </row>
    <row r="84" spans="2:13" s="1" customFormat="1" ht="87.75" customHeight="1">
      <c r="B84" s="104" t="s">
        <v>132</v>
      </c>
      <c r="C84" s="23" t="s">
        <v>32</v>
      </c>
      <c r="D84" s="23" t="s">
        <v>29</v>
      </c>
      <c r="E84" s="24">
        <v>16410000</v>
      </c>
      <c r="F84" s="25" t="s">
        <v>61</v>
      </c>
      <c r="G84" s="26" t="s">
        <v>125</v>
      </c>
      <c r="H84" s="48" t="s">
        <v>98</v>
      </c>
      <c r="J84" s="62"/>
      <c r="K84" s="62"/>
    </row>
    <row r="85" spans="2:13" s="1" customFormat="1" ht="60" customHeight="1">
      <c r="B85" s="127" t="s">
        <v>137</v>
      </c>
      <c r="C85" s="128"/>
      <c r="D85" s="128"/>
      <c r="E85" s="16">
        <f>SUM(E86:E90)</f>
        <v>1700000</v>
      </c>
      <c r="F85" s="13"/>
      <c r="G85" s="14"/>
      <c r="H85" s="10"/>
      <c r="I85" s="61"/>
      <c r="J85" s="105"/>
    </row>
    <row r="86" spans="2:13" s="1" customFormat="1" ht="36.75" customHeight="1">
      <c r="B86" s="104" t="s">
        <v>132</v>
      </c>
      <c r="C86" s="23" t="s">
        <v>7</v>
      </c>
      <c r="D86" s="23" t="s">
        <v>28</v>
      </c>
      <c r="E86" s="24">
        <v>42272.9</v>
      </c>
      <c r="F86" s="25" t="s">
        <v>64</v>
      </c>
      <c r="G86" s="26" t="s">
        <v>125</v>
      </c>
      <c r="H86" s="41"/>
    </row>
    <row r="87" spans="2:13" s="1" customFormat="1" ht="51" customHeight="1">
      <c r="B87" s="104" t="s">
        <v>132</v>
      </c>
      <c r="C87" s="23" t="s">
        <v>32</v>
      </c>
      <c r="D87" s="23" t="s">
        <v>29</v>
      </c>
      <c r="E87" s="24">
        <v>60607.14</v>
      </c>
      <c r="F87" s="25" t="s">
        <v>64</v>
      </c>
      <c r="G87" s="26" t="s">
        <v>125</v>
      </c>
      <c r="H87" s="41"/>
      <c r="J87" s="62"/>
    </row>
    <row r="88" spans="2:13" s="1" customFormat="1" ht="45" customHeight="1">
      <c r="B88" s="104" t="s">
        <v>132</v>
      </c>
      <c r="C88" s="23" t="s">
        <v>89</v>
      </c>
      <c r="D88" s="23" t="s">
        <v>90</v>
      </c>
      <c r="E88" s="24">
        <v>798000</v>
      </c>
      <c r="F88" s="25" t="s">
        <v>64</v>
      </c>
      <c r="G88" s="26" t="s">
        <v>125</v>
      </c>
      <c r="H88" s="48"/>
    </row>
    <row r="89" spans="2:13" s="1" customFormat="1" ht="78.75">
      <c r="B89" s="104" t="s">
        <v>132</v>
      </c>
      <c r="C89" s="23" t="s">
        <v>24</v>
      </c>
      <c r="D89" s="23" t="s">
        <v>71</v>
      </c>
      <c r="E89" s="24">
        <v>69239.960000000006</v>
      </c>
      <c r="F89" s="25" t="s">
        <v>61</v>
      </c>
      <c r="G89" s="26" t="s">
        <v>125</v>
      </c>
      <c r="H89" s="48" t="s">
        <v>129</v>
      </c>
      <c r="J89" s="62"/>
    </row>
    <row r="90" spans="2:13" s="1" customFormat="1" ht="67.5">
      <c r="B90" s="104" t="s">
        <v>132</v>
      </c>
      <c r="C90" s="23" t="s">
        <v>24</v>
      </c>
      <c r="D90" s="23" t="s">
        <v>71</v>
      </c>
      <c r="E90" s="24">
        <v>729880</v>
      </c>
      <c r="F90" s="25" t="s">
        <v>61</v>
      </c>
      <c r="G90" s="26" t="s">
        <v>152</v>
      </c>
      <c r="H90" s="48" t="s">
        <v>98</v>
      </c>
    </row>
    <row r="91" spans="2:13" s="1" customFormat="1" ht="65.25" customHeight="1">
      <c r="B91" s="127" t="s">
        <v>138</v>
      </c>
      <c r="C91" s="128"/>
      <c r="D91" s="128"/>
      <c r="E91" s="16">
        <f>SUM(E92:E94)</f>
        <v>1753700.5</v>
      </c>
      <c r="F91" s="13"/>
      <c r="G91" s="14"/>
      <c r="H91" s="10"/>
      <c r="I91" s="61"/>
      <c r="J91" s="62"/>
    </row>
    <row r="92" spans="2:13" s="1" customFormat="1" ht="33.75">
      <c r="B92" s="104" t="s">
        <v>132</v>
      </c>
      <c r="C92" s="36" t="s">
        <v>25</v>
      </c>
      <c r="D92" s="36" t="s">
        <v>69</v>
      </c>
      <c r="E92" s="24">
        <f>55000+145000</f>
        <v>200000</v>
      </c>
      <c r="F92" s="43" t="s">
        <v>64</v>
      </c>
      <c r="G92" s="26" t="s">
        <v>125</v>
      </c>
      <c r="H92" s="44"/>
    </row>
    <row r="93" spans="2:13" s="1" customFormat="1" ht="78.75">
      <c r="B93" s="104" t="s">
        <v>132</v>
      </c>
      <c r="C93" s="23">
        <v>85100000</v>
      </c>
      <c r="D93" s="23" t="s">
        <v>71</v>
      </c>
      <c r="E93" s="24">
        <v>127500.5</v>
      </c>
      <c r="F93" s="25" t="s">
        <v>61</v>
      </c>
      <c r="G93" s="26" t="s">
        <v>125</v>
      </c>
      <c r="H93" s="45" t="s">
        <v>124</v>
      </c>
    </row>
    <row r="94" spans="2:13" s="1" customFormat="1" ht="60.75" customHeight="1">
      <c r="B94" s="104" t="s">
        <v>132</v>
      </c>
      <c r="C94" s="23">
        <v>85100000</v>
      </c>
      <c r="D94" s="23" t="s">
        <v>71</v>
      </c>
      <c r="E94" s="24">
        <f>1460000+111200-145000</f>
        <v>1426200</v>
      </c>
      <c r="F94" s="25" t="s">
        <v>61</v>
      </c>
      <c r="G94" s="26" t="s">
        <v>125</v>
      </c>
      <c r="H94" s="48" t="s">
        <v>98</v>
      </c>
      <c r="K94" s="62"/>
    </row>
    <row r="95" spans="2:13" s="1" customFormat="1" ht="61.5" customHeight="1">
      <c r="B95" s="127" t="s">
        <v>139</v>
      </c>
      <c r="C95" s="128"/>
      <c r="D95" s="128"/>
      <c r="E95" s="16">
        <f>SUM(E96:E97)</f>
        <v>184166.6</v>
      </c>
      <c r="F95" s="13"/>
      <c r="G95" s="14"/>
      <c r="H95" s="10"/>
      <c r="I95" s="61"/>
      <c r="J95" s="62"/>
    </row>
    <row r="96" spans="2:13" s="18" customFormat="1" ht="70.5" customHeight="1">
      <c r="B96" s="65" t="s">
        <v>132</v>
      </c>
      <c r="C96" s="23" t="s">
        <v>24</v>
      </c>
      <c r="D96" s="23" t="s">
        <v>71</v>
      </c>
      <c r="E96" s="56">
        <v>14166.6</v>
      </c>
      <c r="F96" s="25" t="s">
        <v>61</v>
      </c>
      <c r="G96" s="26" t="s">
        <v>125</v>
      </c>
      <c r="H96" s="48" t="s">
        <v>76</v>
      </c>
    </row>
    <row r="97" spans="2:10" s="1" customFormat="1" ht="75" customHeight="1">
      <c r="B97" s="104" t="s">
        <v>132</v>
      </c>
      <c r="C97" s="23" t="s">
        <v>24</v>
      </c>
      <c r="D97" s="23" t="s">
        <v>71</v>
      </c>
      <c r="E97" s="24">
        <v>170000</v>
      </c>
      <c r="F97" s="25" t="s">
        <v>61</v>
      </c>
      <c r="G97" s="26" t="s">
        <v>125</v>
      </c>
      <c r="H97" s="48" t="s">
        <v>98</v>
      </c>
    </row>
    <row r="98" spans="2:10" s="1" customFormat="1" ht="65.25" customHeight="1">
      <c r="B98" s="138" t="s">
        <v>140</v>
      </c>
      <c r="C98" s="139"/>
      <c r="D98" s="139"/>
      <c r="E98" s="16">
        <f>SUM(E99:E105)</f>
        <v>1090000</v>
      </c>
      <c r="F98" s="13"/>
      <c r="G98" s="14"/>
      <c r="H98" s="60"/>
      <c r="I98" s="61"/>
      <c r="J98" s="62"/>
    </row>
    <row r="99" spans="2:10" s="1" customFormat="1" ht="49.5" customHeight="1">
      <c r="B99" s="104" t="s">
        <v>132</v>
      </c>
      <c r="C99" s="23" t="s">
        <v>14</v>
      </c>
      <c r="D99" s="23" t="s">
        <v>15</v>
      </c>
      <c r="E99" s="24">
        <v>24200</v>
      </c>
      <c r="F99" s="25" t="s">
        <v>60</v>
      </c>
      <c r="G99" s="26" t="s">
        <v>125</v>
      </c>
      <c r="H99" s="41"/>
    </row>
    <row r="100" spans="2:10" s="1" customFormat="1" ht="33.75">
      <c r="B100" s="104" t="s">
        <v>132</v>
      </c>
      <c r="C100" s="28">
        <v>33100000</v>
      </c>
      <c r="D100" s="28" t="s">
        <v>28</v>
      </c>
      <c r="E100" s="24">
        <f>240004-87983</f>
        <v>152021</v>
      </c>
      <c r="F100" s="29" t="s">
        <v>64</v>
      </c>
      <c r="G100" s="26" t="s">
        <v>125</v>
      </c>
      <c r="H100" s="46"/>
    </row>
    <row r="101" spans="2:10" s="1" customFormat="1" ht="25.5">
      <c r="B101" s="67" t="s">
        <v>132</v>
      </c>
      <c r="C101" s="87" t="s">
        <v>32</v>
      </c>
      <c r="D101" s="68" t="s">
        <v>29</v>
      </c>
      <c r="E101" s="69">
        <v>33830</v>
      </c>
      <c r="F101" s="88" t="s">
        <v>64</v>
      </c>
      <c r="G101" s="71" t="s">
        <v>178</v>
      </c>
      <c r="H101" s="96"/>
    </row>
    <row r="102" spans="2:10" s="1" customFormat="1" ht="25.5">
      <c r="B102" s="67" t="s">
        <v>132</v>
      </c>
      <c r="C102" s="87" t="s">
        <v>184</v>
      </c>
      <c r="D102" s="68" t="s">
        <v>185</v>
      </c>
      <c r="E102" s="69">
        <v>2980</v>
      </c>
      <c r="F102" s="88" t="s">
        <v>64</v>
      </c>
      <c r="G102" s="71" t="s">
        <v>178</v>
      </c>
      <c r="H102" s="96"/>
    </row>
    <row r="103" spans="2:10" s="1" customFormat="1" ht="60.75" customHeight="1">
      <c r="B103" s="104" t="s">
        <v>132</v>
      </c>
      <c r="C103" s="23" t="s">
        <v>59</v>
      </c>
      <c r="D103" s="23" t="s">
        <v>44</v>
      </c>
      <c r="E103" s="24">
        <v>15000</v>
      </c>
      <c r="F103" s="25" t="s">
        <v>64</v>
      </c>
      <c r="G103" s="26" t="s">
        <v>125</v>
      </c>
      <c r="H103" s="41"/>
    </row>
    <row r="104" spans="2:10" s="1" customFormat="1" ht="75" customHeight="1">
      <c r="B104" s="104" t="s">
        <v>132</v>
      </c>
      <c r="C104" s="23">
        <v>85100000</v>
      </c>
      <c r="D104" s="23" t="s">
        <v>71</v>
      </c>
      <c r="E104" s="24">
        <v>48983</v>
      </c>
      <c r="F104" s="25" t="s">
        <v>61</v>
      </c>
      <c r="G104" s="26" t="s">
        <v>125</v>
      </c>
      <c r="H104" s="48" t="s">
        <v>126</v>
      </c>
      <c r="J104" s="62"/>
    </row>
    <row r="105" spans="2:10" s="18" customFormat="1" ht="65.25" customHeight="1">
      <c r="B105" s="67" t="s">
        <v>132</v>
      </c>
      <c r="C105" s="68">
        <v>85100000</v>
      </c>
      <c r="D105" s="68" t="s">
        <v>71</v>
      </c>
      <c r="E105" s="69">
        <f>1071996+37800-260000-33830-2980</f>
        <v>812986</v>
      </c>
      <c r="F105" s="70" t="s">
        <v>61</v>
      </c>
      <c r="G105" s="71" t="s">
        <v>125</v>
      </c>
      <c r="H105" s="92" t="s">
        <v>98</v>
      </c>
    </row>
    <row r="106" spans="2:10" s="1" customFormat="1" ht="80.25" customHeight="1">
      <c r="B106" s="127" t="s">
        <v>141</v>
      </c>
      <c r="C106" s="128"/>
      <c r="D106" s="128"/>
      <c r="E106" s="16">
        <f>SUM(E107:E107)</f>
        <v>1250000</v>
      </c>
      <c r="F106" s="13"/>
      <c r="G106" s="14"/>
      <c r="H106" s="10"/>
      <c r="I106" s="61"/>
      <c r="J106" s="62"/>
    </row>
    <row r="107" spans="2:10" s="1" customFormat="1" ht="84.75" customHeight="1">
      <c r="B107" s="104" t="s">
        <v>132</v>
      </c>
      <c r="C107" s="23" t="s">
        <v>32</v>
      </c>
      <c r="D107" s="23" t="s">
        <v>29</v>
      </c>
      <c r="E107" s="24">
        <v>1250000</v>
      </c>
      <c r="F107" s="25" t="s">
        <v>61</v>
      </c>
      <c r="G107" s="26" t="s">
        <v>125</v>
      </c>
      <c r="H107" s="48" t="s">
        <v>98</v>
      </c>
    </row>
    <row r="108" spans="2:10" s="1" customFormat="1" ht="57.75" customHeight="1">
      <c r="B108" s="136" t="s">
        <v>142</v>
      </c>
      <c r="C108" s="137"/>
      <c r="D108" s="137"/>
      <c r="E108" s="57">
        <f>SUM(E109:E112)</f>
        <v>3880000</v>
      </c>
      <c r="F108" s="58"/>
      <c r="G108" s="58"/>
      <c r="H108" s="59"/>
      <c r="I108" s="61"/>
      <c r="J108" s="62"/>
    </row>
    <row r="109" spans="2:10" s="18" customFormat="1" ht="29.25" customHeight="1">
      <c r="B109" s="65" t="s">
        <v>132</v>
      </c>
      <c r="C109" s="38">
        <v>33100000</v>
      </c>
      <c r="D109" s="23" t="s">
        <v>8</v>
      </c>
      <c r="E109" s="56">
        <v>124876.2</v>
      </c>
      <c r="F109" s="25" t="s">
        <v>64</v>
      </c>
      <c r="G109" s="26" t="s">
        <v>125</v>
      </c>
      <c r="H109" s="26"/>
      <c r="J109" s="21"/>
    </row>
    <row r="110" spans="2:10" s="18" customFormat="1" ht="33.75">
      <c r="B110" s="65" t="s">
        <v>132</v>
      </c>
      <c r="C110" s="77" t="s">
        <v>32</v>
      </c>
      <c r="D110" s="78" t="s">
        <v>9</v>
      </c>
      <c r="E110" s="56">
        <f>2995349.4-3495.8-99984.41-120000</f>
        <v>2771869.19</v>
      </c>
      <c r="F110" s="79" t="s">
        <v>64</v>
      </c>
      <c r="G110" s="80" t="s">
        <v>125</v>
      </c>
      <c r="H110" s="80"/>
    </row>
    <row r="111" spans="2:10" s="1" customFormat="1" ht="67.5">
      <c r="B111" s="104" t="s">
        <v>132</v>
      </c>
      <c r="C111" s="38" t="s">
        <v>24</v>
      </c>
      <c r="D111" s="23" t="s">
        <v>71</v>
      </c>
      <c r="E111" s="24">
        <v>73605.850000000006</v>
      </c>
      <c r="F111" s="25" t="s">
        <v>61</v>
      </c>
      <c r="G111" s="26" t="s">
        <v>125</v>
      </c>
      <c r="H111" s="45" t="s">
        <v>127</v>
      </c>
    </row>
    <row r="112" spans="2:10" s="1" customFormat="1" ht="83.25" customHeight="1">
      <c r="B112" s="104" t="s">
        <v>132</v>
      </c>
      <c r="C112" s="23" t="s">
        <v>24</v>
      </c>
      <c r="D112" s="23" t="s">
        <v>71</v>
      </c>
      <c r="E112" s="24">
        <v>909648.76</v>
      </c>
      <c r="F112" s="25" t="s">
        <v>61</v>
      </c>
      <c r="G112" s="26" t="s">
        <v>152</v>
      </c>
      <c r="H112" s="32" t="s">
        <v>98</v>
      </c>
    </row>
    <row r="113" spans="2:11" ht="122.25" customHeight="1">
      <c r="B113" s="127" t="s">
        <v>143</v>
      </c>
      <c r="C113" s="128"/>
      <c r="D113" s="128"/>
      <c r="E113" s="16">
        <f>SUM(E114)</f>
        <v>2190000</v>
      </c>
      <c r="F113" s="13"/>
      <c r="G113" s="14"/>
      <c r="H113" s="10"/>
      <c r="I113" s="61"/>
      <c r="J113" s="63"/>
    </row>
    <row r="114" spans="2:11" s="1" customFormat="1" ht="117.75" customHeight="1">
      <c r="B114" s="104" t="s">
        <v>132</v>
      </c>
      <c r="C114" s="23" t="s">
        <v>32</v>
      </c>
      <c r="D114" s="23" t="s">
        <v>29</v>
      </c>
      <c r="E114" s="24">
        <v>2190000</v>
      </c>
      <c r="F114" s="25" t="s">
        <v>61</v>
      </c>
      <c r="G114" s="26" t="s">
        <v>152</v>
      </c>
      <c r="H114" s="48" t="s">
        <v>98</v>
      </c>
    </row>
    <row r="115" spans="2:11" s="1" customFormat="1" ht="57" customHeight="1">
      <c r="B115" s="138" t="s">
        <v>144</v>
      </c>
      <c r="C115" s="139"/>
      <c r="D115" s="139"/>
      <c r="E115" s="16">
        <f>SUM(E116:E120)</f>
        <v>474000</v>
      </c>
      <c r="F115" s="13"/>
      <c r="G115" s="60"/>
      <c r="H115" s="60"/>
      <c r="I115" s="61"/>
      <c r="J115" s="62"/>
    </row>
    <row r="116" spans="2:11" s="1" customFormat="1" ht="59.25" customHeight="1">
      <c r="B116" s="104" t="s">
        <v>148</v>
      </c>
      <c r="C116" s="23">
        <v>33100000</v>
      </c>
      <c r="D116" s="23" t="s">
        <v>28</v>
      </c>
      <c r="E116" s="24">
        <f>20000+14559.87+22385.83</f>
        <v>56945.700000000004</v>
      </c>
      <c r="F116" s="25" t="s">
        <v>64</v>
      </c>
      <c r="G116" s="26" t="s">
        <v>125</v>
      </c>
      <c r="H116" s="41"/>
    </row>
    <row r="117" spans="2:11" s="1" customFormat="1" ht="38.25">
      <c r="B117" s="104" t="s">
        <v>148</v>
      </c>
      <c r="C117" s="36">
        <v>33600000</v>
      </c>
      <c r="D117" s="36" t="s">
        <v>29</v>
      </c>
      <c r="E117" s="24">
        <f>266824.3+68000-17770</f>
        <v>317054.3</v>
      </c>
      <c r="F117" s="43" t="s">
        <v>64</v>
      </c>
      <c r="G117" s="26" t="s">
        <v>125</v>
      </c>
      <c r="H117" s="44"/>
    </row>
    <row r="118" spans="2:11" s="1" customFormat="1" ht="78.75">
      <c r="B118" s="104" t="s">
        <v>132</v>
      </c>
      <c r="C118" s="38" t="s">
        <v>103</v>
      </c>
      <c r="D118" s="23" t="s">
        <v>71</v>
      </c>
      <c r="E118" s="24">
        <v>6870</v>
      </c>
      <c r="F118" s="25" t="s">
        <v>61</v>
      </c>
      <c r="G118" s="26" t="s">
        <v>125</v>
      </c>
      <c r="H118" s="45" t="s">
        <v>130</v>
      </c>
    </row>
    <row r="119" spans="2:11" s="1" customFormat="1" ht="67.5">
      <c r="B119" s="104" t="s">
        <v>132</v>
      </c>
      <c r="C119" s="38" t="s">
        <v>103</v>
      </c>
      <c r="D119" s="23" t="s">
        <v>71</v>
      </c>
      <c r="E119" s="24">
        <f>13740+6870</f>
        <v>20610</v>
      </c>
      <c r="F119" s="25" t="s">
        <v>61</v>
      </c>
      <c r="G119" s="26" t="s">
        <v>152</v>
      </c>
      <c r="H119" s="48" t="s">
        <v>98</v>
      </c>
      <c r="J119" s="62"/>
      <c r="K119" s="62"/>
    </row>
    <row r="120" spans="2:11" s="1" customFormat="1" ht="51" customHeight="1">
      <c r="B120" s="104" t="s">
        <v>132</v>
      </c>
      <c r="C120" s="38" t="s">
        <v>24</v>
      </c>
      <c r="D120" s="23" t="s">
        <v>71</v>
      </c>
      <c r="E120" s="24">
        <v>72520</v>
      </c>
      <c r="F120" s="25" t="s">
        <v>64</v>
      </c>
      <c r="G120" s="26" t="s">
        <v>153</v>
      </c>
      <c r="H120" s="45"/>
      <c r="J120" s="62"/>
      <c r="K120" s="62"/>
    </row>
    <row r="121" spans="2:11" ht="59.25" customHeight="1">
      <c r="B121" s="127" t="s">
        <v>145</v>
      </c>
      <c r="C121" s="128"/>
      <c r="D121" s="128"/>
      <c r="E121" s="16">
        <f>SUM(E122:E125)</f>
        <v>2100000</v>
      </c>
      <c r="F121" s="13"/>
      <c r="G121" s="14"/>
      <c r="H121" s="10"/>
      <c r="I121" s="61"/>
      <c r="J121" s="63"/>
    </row>
    <row r="122" spans="2:11" s="18" customFormat="1" ht="42.75" customHeight="1">
      <c r="B122" s="104" t="s">
        <v>132</v>
      </c>
      <c r="C122" s="23" t="s">
        <v>25</v>
      </c>
      <c r="D122" s="23" t="s">
        <v>69</v>
      </c>
      <c r="E122" s="24">
        <f>2100000-115976-175000</f>
        <v>1809024</v>
      </c>
      <c r="F122" s="25" t="s">
        <v>64</v>
      </c>
      <c r="G122" s="26" t="s">
        <v>125</v>
      </c>
      <c r="H122" s="53"/>
    </row>
    <row r="123" spans="2:11" s="1" customFormat="1" ht="42.75" customHeight="1">
      <c r="B123" s="104" t="s">
        <v>132</v>
      </c>
      <c r="C123" s="23" t="s">
        <v>25</v>
      </c>
      <c r="D123" s="23" t="s">
        <v>69</v>
      </c>
      <c r="E123" s="24">
        <f>5976</f>
        <v>5976</v>
      </c>
      <c r="F123" s="25" t="s">
        <v>61</v>
      </c>
      <c r="G123" s="26" t="s">
        <v>152</v>
      </c>
      <c r="H123" s="48" t="s">
        <v>98</v>
      </c>
    </row>
    <row r="124" spans="2:11" s="1" customFormat="1" ht="42.75" customHeight="1">
      <c r="B124" s="104" t="s">
        <v>132</v>
      </c>
      <c r="C124" s="23" t="s">
        <v>176</v>
      </c>
      <c r="D124" s="23" t="s">
        <v>177</v>
      </c>
      <c r="E124" s="24">
        <v>175000</v>
      </c>
      <c r="F124" s="25" t="s">
        <v>64</v>
      </c>
      <c r="G124" s="26" t="s">
        <v>178</v>
      </c>
      <c r="H124" s="48"/>
    </row>
    <row r="125" spans="2:11" s="1" customFormat="1" ht="80.25" customHeight="1">
      <c r="B125" s="104" t="s">
        <v>132</v>
      </c>
      <c r="C125" s="23" t="s">
        <v>154</v>
      </c>
      <c r="D125" s="23" t="s">
        <v>155</v>
      </c>
      <c r="E125" s="24">
        <f>115976-5976</f>
        <v>110000</v>
      </c>
      <c r="F125" s="25" t="s">
        <v>61</v>
      </c>
      <c r="G125" s="26" t="s">
        <v>152</v>
      </c>
      <c r="H125" s="48" t="s">
        <v>98</v>
      </c>
    </row>
    <row r="126" spans="2:11" ht="70.5" customHeight="1">
      <c r="B126" s="127" t="s">
        <v>146</v>
      </c>
      <c r="C126" s="128"/>
      <c r="D126" s="128"/>
      <c r="E126" s="16">
        <f>SUM(E127:E130)</f>
        <v>442800</v>
      </c>
      <c r="F126" s="13"/>
      <c r="G126" s="14"/>
      <c r="H126" s="10"/>
      <c r="I126" s="61"/>
      <c r="J126" s="63"/>
    </row>
    <row r="127" spans="2:11" s="18" customFormat="1" ht="33.75">
      <c r="B127" s="65" t="s">
        <v>132</v>
      </c>
      <c r="C127" s="99" t="s">
        <v>32</v>
      </c>
      <c r="D127" s="99" t="s">
        <v>29</v>
      </c>
      <c r="E127" s="56">
        <f>264000-4020</f>
        <v>259980</v>
      </c>
      <c r="F127" s="100" t="s">
        <v>64</v>
      </c>
      <c r="G127" s="80" t="s">
        <v>125</v>
      </c>
      <c r="H127" s="101"/>
    </row>
    <row r="128" spans="2:11" s="18" customFormat="1" ht="33.75">
      <c r="B128" s="65" t="s">
        <v>132</v>
      </c>
      <c r="C128" s="99" t="s">
        <v>7</v>
      </c>
      <c r="D128" s="99" t="s">
        <v>28</v>
      </c>
      <c r="E128" s="56">
        <f>132000-62000</f>
        <v>70000</v>
      </c>
      <c r="F128" s="100" t="s">
        <v>64</v>
      </c>
      <c r="G128" s="80" t="s">
        <v>125</v>
      </c>
      <c r="H128" s="117"/>
    </row>
    <row r="129" spans="2:8" s="18" customFormat="1" ht="25.5">
      <c r="B129" s="65" t="s">
        <v>132</v>
      </c>
      <c r="C129" s="99" t="s">
        <v>7</v>
      </c>
      <c r="D129" s="99" t="s">
        <v>28</v>
      </c>
      <c r="E129" s="56">
        <v>62000</v>
      </c>
      <c r="F129" s="79" t="s">
        <v>60</v>
      </c>
      <c r="G129" s="80" t="s">
        <v>178</v>
      </c>
      <c r="H129" s="117"/>
    </row>
    <row r="130" spans="2:8" s="1" customFormat="1" ht="33.75">
      <c r="B130" s="104" t="s">
        <v>132</v>
      </c>
      <c r="C130" s="23" t="s">
        <v>14</v>
      </c>
      <c r="D130" s="23" t="s">
        <v>40</v>
      </c>
      <c r="E130" s="24">
        <f>4020+46800</f>
        <v>50820</v>
      </c>
      <c r="F130" s="25" t="s">
        <v>60</v>
      </c>
      <c r="G130" s="26" t="s">
        <v>125</v>
      </c>
      <c r="H130" s="23"/>
    </row>
  </sheetData>
  <autoFilter ref="A8:H130"/>
  <mergeCells count="20">
    <mergeCell ref="B121:D121"/>
    <mergeCell ref="B126:D126"/>
    <mergeCell ref="B95:D95"/>
    <mergeCell ref="B98:D98"/>
    <mergeCell ref="B106:D106"/>
    <mergeCell ref="B108:D108"/>
    <mergeCell ref="B113:D113"/>
    <mergeCell ref="B115:D115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9:D79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2"/>
  <sheetViews>
    <sheetView topLeftCell="B13" zoomScaleNormal="100" zoomScaleSheetLayoutView="80" workbookViewId="0">
      <selection activeCell="D25" sqref="D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E9+E75+E81+E87+E93+E97+E100+E108+E110+E115+E117+E123+E128</f>
        <v>43606455.600000001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SUM(E10:E74)</f>
        <v>4461788.5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7" t="s">
        <v>147</v>
      </c>
      <c r="C20" s="82">
        <v>35100000</v>
      </c>
      <c r="D20" s="68" t="s">
        <v>188</v>
      </c>
      <c r="E20" s="69">
        <v>20355</v>
      </c>
      <c r="F20" s="70" t="s">
        <v>64</v>
      </c>
      <c r="G20" s="71" t="s">
        <v>173</v>
      </c>
      <c r="H20" s="90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65.25" customHeight="1">
      <c r="B58" s="65" t="s">
        <v>132</v>
      </c>
      <c r="C58" s="77" t="s">
        <v>17</v>
      </c>
      <c r="D58" s="78" t="s">
        <v>16</v>
      </c>
      <c r="E58" s="56">
        <f>150+400+266+21+350</f>
        <v>1187</v>
      </c>
      <c r="F58" s="79" t="s">
        <v>61</v>
      </c>
      <c r="G58" s="80" t="s">
        <v>125</v>
      </c>
      <c r="H58" s="80"/>
      <c r="J58" s="20"/>
    </row>
    <row r="59" spans="2:10" s="18" customFormat="1" ht="56.25">
      <c r="B59" s="65" t="s">
        <v>132</v>
      </c>
      <c r="C59" s="38" t="s">
        <v>77</v>
      </c>
      <c r="D59" s="23" t="s">
        <v>78</v>
      </c>
      <c r="E59" s="56">
        <v>3000</v>
      </c>
      <c r="F59" s="25" t="s">
        <v>61</v>
      </c>
      <c r="G59" s="26" t="s">
        <v>125</v>
      </c>
      <c r="H59" s="26" t="s">
        <v>79</v>
      </c>
    </row>
    <row r="60" spans="2:10" s="18" customFormat="1" ht="56.25">
      <c r="B60" s="65" t="s">
        <v>132</v>
      </c>
      <c r="C60" s="77" t="s">
        <v>163</v>
      </c>
      <c r="D60" s="78" t="s">
        <v>164</v>
      </c>
      <c r="E60" s="56">
        <v>500</v>
      </c>
      <c r="F60" s="79" t="s">
        <v>61</v>
      </c>
      <c r="G60" s="80" t="s">
        <v>152</v>
      </c>
      <c r="H60" s="80" t="s">
        <v>79</v>
      </c>
    </row>
    <row r="61" spans="2:10" s="18" customFormat="1" ht="75" customHeight="1">
      <c r="B61" s="65" t="s">
        <v>132</v>
      </c>
      <c r="C61" s="77" t="s">
        <v>25</v>
      </c>
      <c r="D61" s="78" t="s">
        <v>119</v>
      </c>
      <c r="E61" s="56">
        <v>100000</v>
      </c>
      <c r="F61" s="79" t="s">
        <v>64</v>
      </c>
      <c r="G61" s="80" t="s">
        <v>125</v>
      </c>
      <c r="H61" s="80"/>
    </row>
    <row r="62" spans="2:10" s="1" customFormat="1" ht="75" customHeight="1">
      <c r="B62" s="104" t="s">
        <v>132</v>
      </c>
      <c r="C62" s="38" t="s">
        <v>163</v>
      </c>
      <c r="D62" s="23" t="s">
        <v>164</v>
      </c>
      <c r="E62" s="24">
        <v>4900</v>
      </c>
      <c r="F62" s="25" t="s">
        <v>61</v>
      </c>
      <c r="G62" s="26" t="s">
        <v>183</v>
      </c>
      <c r="H62" s="26"/>
    </row>
    <row r="63" spans="2:10" s="1" customFormat="1" ht="63.75" customHeight="1">
      <c r="B63" s="104" t="s">
        <v>132</v>
      </c>
      <c r="C63" s="23" t="s">
        <v>45</v>
      </c>
      <c r="D63" s="23" t="s">
        <v>63</v>
      </c>
      <c r="E63" s="24">
        <f>6000+3850</f>
        <v>9850</v>
      </c>
      <c r="F63" s="25" t="s">
        <v>64</v>
      </c>
      <c r="G63" s="26" t="s">
        <v>125</v>
      </c>
      <c r="H63" s="26"/>
    </row>
    <row r="64" spans="2:10" s="18" customFormat="1" ht="63.75" customHeight="1">
      <c r="B64" s="65" t="s">
        <v>132</v>
      </c>
      <c r="C64" s="78" t="s">
        <v>120</v>
      </c>
      <c r="D64" s="78" t="s">
        <v>121</v>
      </c>
      <c r="E64" s="56">
        <v>450</v>
      </c>
      <c r="F64" s="79" t="s">
        <v>61</v>
      </c>
      <c r="G64" s="80" t="s">
        <v>125</v>
      </c>
      <c r="H64" s="80"/>
    </row>
    <row r="65" spans="2:10" s="18" customFormat="1" ht="77.25" customHeight="1">
      <c r="B65" s="65" t="s">
        <v>132</v>
      </c>
      <c r="C65" s="30">
        <v>79700000</v>
      </c>
      <c r="D65" s="23" t="s">
        <v>27</v>
      </c>
      <c r="E65" s="56">
        <v>600000</v>
      </c>
      <c r="F65" s="25" t="s">
        <v>61</v>
      </c>
      <c r="G65" s="26" t="s">
        <v>125</v>
      </c>
      <c r="H65" s="26" t="s">
        <v>80</v>
      </c>
    </row>
    <row r="66" spans="2:10" s="18" customFormat="1" ht="62.25" customHeight="1">
      <c r="B66" s="65" t="s">
        <v>132</v>
      </c>
      <c r="C66" s="30">
        <v>79800000</v>
      </c>
      <c r="D66" s="23" t="s">
        <v>81</v>
      </c>
      <c r="E66" s="56">
        <v>10000</v>
      </c>
      <c r="F66" s="25" t="s">
        <v>64</v>
      </c>
      <c r="G66" s="26" t="s">
        <v>125</v>
      </c>
      <c r="H66" s="26"/>
    </row>
    <row r="67" spans="2:10" s="18" customFormat="1" ht="62.25" customHeight="1">
      <c r="B67" s="65" t="s">
        <v>132</v>
      </c>
      <c r="C67" s="78" t="s">
        <v>53</v>
      </c>
      <c r="D67" s="78" t="s">
        <v>65</v>
      </c>
      <c r="E67" s="56">
        <f>20000+12000-2305</f>
        <v>29695</v>
      </c>
      <c r="F67" s="79" t="s">
        <v>61</v>
      </c>
      <c r="G67" s="80" t="s">
        <v>125</v>
      </c>
      <c r="H67" s="78" t="s">
        <v>68</v>
      </c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v>2305</v>
      </c>
      <c r="F68" s="79" t="s">
        <v>61</v>
      </c>
      <c r="G68" s="80" t="s">
        <v>173</v>
      </c>
      <c r="H68" s="78"/>
    </row>
    <row r="69" spans="2:10" s="18" customFormat="1" ht="62.25" customHeight="1">
      <c r="B69" s="65" t="s">
        <v>132</v>
      </c>
      <c r="C69" s="38" t="s">
        <v>24</v>
      </c>
      <c r="D69" s="23" t="s">
        <v>71</v>
      </c>
      <c r="E69" s="56">
        <v>12000</v>
      </c>
      <c r="F69" s="25" t="s">
        <v>64</v>
      </c>
      <c r="G69" s="26" t="s">
        <v>125</v>
      </c>
      <c r="H69" s="23"/>
    </row>
    <row r="70" spans="2:10" s="18" customFormat="1" ht="62.25" customHeight="1">
      <c r="B70" s="65" t="s">
        <v>132</v>
      </c>
      <c r="C70" s="38" t="s">
        <v>122</v>
      </c>
      <c r="D70" s="23" t="s">
        <v>123</v>
      </c>
      <c r="E70" s="56">
        <v>1000</v>
      </c>
      <c r="F70" s="25" t="s">
        <v>61</v>
      </c>
      <c r="G70" s="26" t="s">
        <v>125</v>
      </c>
      <c r="H70" s="23"/>
    </row>
    <row r="71" spans="2:10" s="18" customFormat="1" ht="60.75" customHeight="1">
      <c r="B71" s="65" t="s">
        <v>132</v>
      </c>
      <c r="C71" s="78" t="s">
        <v>82</v>
      </c>
      <c r="D71" s="78" t="s">
        <v>83</v>
      </c>
      <c r="E71" s="56">
        <v>10000</v>
      </c>
      <c r="F71" s="79" t="s">
        <v>61</v>
      </c>
      <c r="G71" s="80" t="s">
        <v>125</v>
      </c>
      <c r="H71" s="80" t="s">
        <v>79</v>
      </c>
    </row>
    <row r="72" spans="2:10" s="18" customFormat="1" ht="36.75" customHeight="1">
      <c r="B72" s="65" t="s">
        <v>132</v>
      </c>
      <c r="C72" s="78" t="s">
        <v>12</v>
      </c>
      <c r="D72" s="78" t="s">
        <v>19</v>
      </c>
      <c r="E72" s="56">
        <f>80000+110000</f>
        <v>190000</v>
      </c>
      <c r="F72" s="79" t="s">
        <v>64</v>
      </c>
      <c r="G72" s="80" t="s">
        <v>125</v>
      </c>
      <c r="H72" s="81"/>
    </row>
    <row r="73" spans="2:10" s="18" customFormat="1" ht="54.75" customHeight="1">
      <c r="B73" s="65" t="s">
        <v>132</v>
      </c>
      <c r="C73" s="78" t="s">
        <v>115</v>
      </c>
      <c r="D73" s="78" t="s">
        <v>116</v>
      </c>
      <c r="E73" s="56">
        <v>15000</v>
      </c>
      <c r="F73" s="79" t="s">
        <v>61</v>
      </c>
      <c r="G73" s="80" t="s">
        <v>125</v>
      </c>
      <c r="H73" s="80" t="s">
        <v>79</v>
      </c>
    </row>
    <row r="74" spans="2:10" s="18" customFormat="1" ht="54.75" customHeight="1">
      <c r="B74" s="108" t="s">
        <v>132</v>
      </c>
      <c r="C74" s="78" t="s">
        <v>165</v>
      </c>
      <c r="D74" s="78" t="s">
        <v>166</v>
      </c>
      <c r="E74" s="56">
        <v>4900</v>
      </c>
      <c r="F74" s="79" t="s">
        <v>61</v>
      </c>
      <c r="G74" s="80" t="s">
        <v>152</v>
      </c>
      <c r="H74" s="80" t="s">
        <v>79</v>
      </c>
    </row>
    <row r="75" spans="2:10" s="1" customFormat="1" ht="75" customHeight="1">
      <c r="B75" s="127" t="s">
        <v>135</v>
      </c>
      <c r="C75" s="128"/>
      <c r="D75" s="128"/>
      <c r="E75" s="16">
        <f>SUM(E76:E80)</f>
        <v>1710000</v>
      </c>
      <c r="F75" s="13"/>
      <c r="G75" s="14"/>
      <c r="H75" s="10"/>
      <c r="I75" s="61"/>
      <c r="J75" s="62"/>
    </row>
    <row r="76" spans="2:10" s="1" customFormat="1" ht="59.25" customHeight="1">
      <c r="B76" s="104" t="s">
        <v>132</v>
      </c>
      <c r="C76" s="23" t="s">
        <v>24</v>
      </c>
      <c r="D76" s="23" t="s">
        <v>71</v>
      </c>
      <c r="E76" s="24">
        <f>1710000-142500-E79-E78-100000</f>
        <v>1214302.3999999999</v>
      </c>
      <c r="F76" s="25" t="s">
        <v>64</v>
      </c>
      <c r="G76" s="26" t="s">
        <v>125</v>
      </c>
      <c r="H76" s="41"/>
      <c r="J76" s="62"/>
    </row>
    <row r="77" spans="2:10" s="1" customFormat="1" ht="59.25" customHeight="1">
      <c r="B77" s="67" t="s">
        <v>132</v>
      </c>
      <c r="C77" s="68" t="s">
        <v>25</v>
      </c>
      <c r="D77" s="91" t="s">
        <v>69</v>
      </c>
      <c r="E77" s="69">
        <v>100000</v>
      </c>
      <c r="F77" s="70" t="s">
        <v>64</v>
      </c>
      <c r="G77" s="71" t="s">
        <v>187</v>
      </c>
      <c r="H77" s="92"/>
      <c r="J77" s="62"/>
    </row>
    <row r="78" spans="2:10" s="1" customFormat="1" ht="67.5">
      <c r="B78" s="104" t="s">
        <v>132</v>
      </c>
      <c r="C78" s="23" t="s">
        <v>103</v>
      </c>
      <c r="D78" s="23" t="s">
        <v>71</v>
      </c>
      <c r="E78" s="24">
        <v>33000</v>
      </c>
      <c r="F78" s="25" t="s">
        <v>61</v>
      </c>
      <c r="G78" s="26" t="s">
        <v>186</v>
      </c>
      <c r="H78" s="48" t="s">
        <v>98</v>
      </c>
      <c r="J78" s="62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220197.6</v>
      </c>
      <c r="F79" s="25" t="s">
        <v>61</v>
      </c>
      <c r="G79" s="26" t="s">
        <v>150</v>
      </c>
      <c r="H79" s="48" t="s">
        <v>98</v>
      </c>
    </row>
    <row r="80" spans="2:10" s="1" customFormat="1" ht="98.25" customHeight="1">
      <c r="B80" s="104" t="s">
        <v>132</v>
      </c>
      <c r="C80" s="23" t="s">
        <v>24</v>
      </c>
      <c r="D80" s="23" t="s">
        <v>71</v>
      </c>
      <c r="E80" s="24">
        <v>142500</v>
      </c>
      <c r="F80" s="25" t="s">
        <v>61</v>
      </c>
      <c r="G80" s="26" t="s">
        <v>125</v>
      </c>
      <c r="H80" s="48" t="s">
        <v>128</v>
      </c>
      <c r="J80" s="62"/>
    </row>
    <row r="81" spans="2:13" s="1" customFormat="1" ht="31.5" customHeight="1">
      <c r="B81" s="127" t="s">
        <v>136</v>
      </c>
      <c r="C81" s="128"/>
      <c r="D81" s="128"/>
      <c r="E81" s="16">
        <f>SUM(E82:E86)</f>
        <v>22370000</v>
      </c>
      <c r="F81" s="13"/>
      <c r="G81" s="9"/>
      <c r="H81" s="10"/>
      <c r="I81" s="61"/>
      <c r="J81" s="62"/>
    </row>
    <row r="82" spans="2:13" s="1" customFormat="1" ht="75.75" customHeight="1">
      <c r="B82" s="104" t="s">
        <v>132</v>
      </c>
      <c r="C82" s="23" t="s">
        <v>7</v>
      </c>
      <c r="D82" s="23" t="s">
        <v>57</v>
      </c>
      <c r="E82" s="24">
        <f>3750000+400000</f>
        <v>4150000</v>
      </c>
      <c r="F82" s="25" t="s">
        <v>61</v>
      </c>
      <c r="G82" s="26" t="s">
        <v>125</v>
      </c>
      <c r="H82" s="48" t="s">
        <v>97</v>
      </c>
    </row>
    <row r="83" spans="2:13" s="1" customFormat="1" ht="75.75" customHeight="1">
      <c r="B83" s="66" t="s">
        <v>133</v>
      </c>
      <c r="C83" s="23" t="s">
        <v>7</v>
      </c>
      <c r="D83" s="23" t="s">
        <v>57</v>
      </c>
      <c r="E83" s="24">
        <v>100000</v>
      </c>
      <c r="F83" s="25" t="s">
        <v>61</v>
      </c>
      <c r="G83" s="26" t="s">
        <v>125</v>
      </c>
      <c r="H83" s="48" t="s">
        <v>97</v>
      </c>
    </row>
    <row r="84" spans="2:13" s="1" customFormat="1" ht="121.5" customHeight="1">
      <c r="B84" s="104" t="s">
        <v>132</v>
      </c>
      <c r="C84" s="23">
        <v>33600000</v>
      </c>
      <c r="D84" s="23" t="s">
        <v>29</v>
      </c>
      <c r="E84" s="24">
        <f>1440000+270000-22680</f>
        <v>1687320</v>
      </c>
      <c r="F84" s="25" t="s">
        <v>64</v>
      </c>
      <c r="G84" s="26" t="s">
        <v>125</v>
      </c>
      <c r="H84" s="41"/>
      <c r="J84" s="62"/>
      <c r="L84" s="62"/>
      <c r="M84" s="62"/>
    </row>
    <row r="85" spans="2:13" s="1" customFormat="1" ht="121.5" customHeight="1">
      <c r="B85" s="104" t="s">
        <v>132</v>
      </c>
      <c r="C85" s="23" t="s">
        <v>32</v>
      </c>
      <c r="D85" s="23" t="s">
        <v>29</v>
      </c>
      <c r="E85" s="24">
        <v>22680</v>
      </c>
      <c r="F85" s="25" t="s">
        <v>61</v>
      </c>
      <c r="G85" s="26" t="s">
        <v>150</v>
      </c>
      <c r="H85" s="48" t="s">
        <v>157</v>
      </c>
      <c r="J85" s="62"/>
      <c r="L85" s="62"/>
      <c r="M85" s="62"/>
    </row>
    <row r="86" spans="2:13" s="1" customFormat="1" ht="87.75" customHeight="1">
      <c r="B86" s="104" t="s">
        <v>132</v>
      </c>
      <c r="C86" s="23" t="s">
        <v>32</v>
      </c>
      <c r="D86" s="23" t="s">
        <v>29</v>
      </c>
      <c r="E86" s="24">
        <v>16410000</v>
      </c>
      <c r="F86" s="25" t="s">
        <v>61</v>
      </c>
      <c r="G86" s="26" t="s">
        <v>125</v>
      </c>
      <c r="H86" s="48" t="s">
        <v>98</v>
      </c>
      <c r="J86" s="62"/>
      <c r="K86" s="62"/>
    </row>
    <row r="87" spans="2:13" s="1" customFormat="1" ht="60" customHeight="1">
      <c r="B87" s="127" t="s">
        <v>137</v>
      </c>
      <c r="C87" s="128"/>
      <c r="D87" s="128"/>
      <c r="E87" s="16">
        <f>SUM(E88:E92)</f>
        <v>1700000</v>
      </c>
      <c r="F87" s="13"/>
      <c r="G87" s="14"/>
      <c r="H87" s="10"/>
      <c r="I87" s="61"/>
      <c r="J87" s="105"/>
    </row>
    <row r="88" spans="2:13" s="1" customFormat="1" ht="36.75" customHeight="1">
      <c r="B88" s="104" t="s">
        <v>132</v>
      </c>
      <c r="C88" s="23" t="s">
        <v>7</v>
      </c>
      <c r="D88" s="23" t="s">
        <v>28</v>
      </c>
      <c r="E88" s="24">
        <v>42272.9</v>
      </c>
      <c r="F88" s="25" t="s">
        <v>64</v>
      </c>
      <c r="G88" s="26" t="s">
        <v>125</v>
      </c>
      <c r="H88" s="41"/>
    </row>
    <row r="89" spans="2:13" s="1" customFormat="1" ht="51" customHeight="1">
      <c r="B89" s="104" t="s">
        <v>132</v>
      </c>
      <c r="C89" s="23" t="s">
        <v>32</v>
      </c>
      <c r="D89" s="23" t="s">
        <v>29</v>
      </c>
      <c r="E89" s="24">
        <v>60607.14</v>
      </c>
      <c r="F89" s="25" t="s">
        <v>64</v>
      </c>
      <c r="G89" s="26" t="s">
        <v>125</v>
      </c>
      <c r="H89" s="41"/>
      <c r="J89" s="62"/>
    </row>
    <row r="90" spans="2:13" s="1" customFormat="1" ht="45" customHeight="1">
      <c r="B90" s="104" t="s">
        <v>132</v>
      </c>
      <c r="C90" s="23" t="s">
        <v>89</v>
      </c>
      <c r="D90" s="23" t="s">
        <v>90</v>
      </c>
      <c r="E90" s="24">
        <v>798000</v>
      </c>
      <c r="F90" s="25" t="s">
        <v>64</v>
      </c>
      <c r="G90" s="26" t="s">
        <v>125</v>
      </c>
      <c r="H90" s="48"/>
    </row>
    <row r="91" spans="2:13" s="1" customFormat="1" ht="78.75">
      <c r="B91" s="104" t="s">
        <v>132</v>
      </c>
      <c r="C91" s="23" t="s">
        <v>24</v>
      </c>
      <c r="D91" s="23" t="s">
        <v>71</v>
      </c>
      <c r="E91" s="24">
        <v>69239.960000000006</v>
      </c>
      <c r="F91" s="25" t="s">
        <v>61</v>
      </c>
      <c r="G91" s="26" t="s">
        <v>125</v>
      </c>
      <c r="H91" s="48" t="s">
        <v>129</v>
      </c>
      <c r="J91" s="62"/>
    </row>
    <row r="92" spans="2:13" s="1" customFormat="1" ht="67.5">
      <c r="B92" s="104" t="s">
        <v>132</v>
      </c>
      <c r="C92" s="23" t="s">
        <v>24</v>
      </c>
      <c r="D92" s="23" t="s">
        <v>71</v>
      </c>
      <c r="E92" s="24">
        <v>729880</v>
      </c>
      <c r="F92" s="25" t="s">
        <v>61</v>
      </c>
      <c r="G92" s="26" t="s">
        <v>152</v>
      </c>
      <c r="H92" s="48" t="s">
        <v>98</v>
      </c>
    </row>
    <row r="93" spans="2:13" s="1" customFormat="1" ht="65.25" customHeight="1">
      <c r="B93" s="127" t="s">
        <v>138</v>
      </c>
      <c r="C93" s="128"/>
      <c r="D93" s="128"/>
      <c r="E93" s="16">
        <f>SUM(E94:E96)</f>
        <v>1753700.5</v>
      </c>
      <c r="F93" s="13"/>
      <c r="G93" s="14"/>
      <c r="H93" s="10"/>
      <c r="I93" s="61"/>
      <c r="J93" s="62"/>
    </row>
    <row r="94" spans="2:13" s="1" customFormat="1" ht="33.75">
      <c r="B94" s="104" t="s">
        <v>132</v>
      </c>
      <c r="C94" s="36" t="s">
        <v>25</v>
      </c>
      <c r="D94" s="36" t="s">
        <v>69</v>
      </c>
      <c r="E94" s="24">
        <f>55000+145000</f>
        <v>200000</v>
      </c>
      <c r="F94" s="43" t="s">
        <v>64</v>
      </c>
      <c r="G94" s="26" t="s">
        <v>125</v>
      </c>
      <c r="H94" s="44"/>
    </row>
    <row r="95" spans="2:13" s="1" customFormat="1" ht="78.75">
      <c r="B95" s="104" t="s">
        <v>132</v>
      </c>
      <c r="C95" s="23">
        <v>85100000</v>
      </c>
      <c r="D95" s="23" t="s">
        <v>71</v>
      </c>
      <c r="E95" s="24">
        <v>127500.5</v>
      </c>
      <c r="F95" s="25" t="s">
        <v>61</v>
      </c>
      <c r="G95" s="26" t="s">
        <v>125</v>
      </c>
      <c r="H95" s="45" t="s">
        <v>124</v>
      </c>
    </row>
    <row r="96" spans="2:13" s="1" customFormat="1" ht="60.75" customHeight="1">
      <c r="B96" s="104" t="s">
        <v>132</v>
      </c>
      <c r="C96" s="23">
        <v>85100000</v>
      </c>
      <c r="D96" s="23" t="s">
        <v>71</v>
      </c>
      <c r="E96" s="24">
        <f>1460000+111200-145000</f>
        <v>1426200</v>
      </c>
      <c r="F96" s="25" t="s">
        <v>61</v>
      </c>
      <c r="G96" s="26" t="s">
        <v>125</v>
      </c>
      <c r="H96" s="48" t="s">
        <v>98</v>
      </c>
      <c r="K96" s="62"/>
    </row>
    <row r="97" spans="2:10" s="1" customFormat="1" ht="61.5" customHeight="1">
      <c r="B97" s="127" t="s">
        <v>139</v>
      </c>
      <c r="C97" s="128"/>
      <c r="D97" s="128"/>
      <c r="E97" s="16">
        <f>SUM(E98:E99)</f>
        <v>184166.6</v>
      </c>
      <c r="F97" s="13"/>
      <c r="G97" s="14"/>
      <c r="H97" s="10"/>
      <c r="I97" s="61"/>
      <c r="J97" s="62"/>
    </row>
    <row r="98" spans="2:10" s="18" customFormat="1" ht="70.5" customHeight="1">
      <c r="B98" s="65" t="s">
        <v>132</v>
      </c>
      <c r="C98" s="23" t="s">
        <v>24</v>
      </c>
      <c r="D98" s="23" t="s">
        <v>71</v>
      </c>
      <c r="E98" s="56">
        <v>14166.6</v>
      </c>
      <c r="F98" s="25" t="s">
        <v>61</v>
      </c>
      <c r="G98" s="26" t="s">
        <v>125</v>
      </c>
      <c r="H98" s="48" t="s">
        <v>76</v>
      </c>
    </row>
    <row r="99" spans="2:10" s="1" customFormat="1" ht="75" customHeight="1">
      <c r="B99" s="104" t="s">
        <v>132</v>
      </c>
      <c r="C99" s="23" t="s">
        <v>24</v>
      </c>
      <c r="D99" s="23" t="s">
        <v>71</v>
      </c>
      <c r="E99" s="24">
        <v>170000</v>
      </c>
      <c r="F99" s="25" t="s">
        <v>61</v>
      </c>
      <c r="G99" s="26" t="s">
        <v>125</v>
      </c>
      <c r="H99" s="48" t="s">
        <v>98</v>
      </c>
    </row>
    <row r="100" spans="2:10" s="1" customFormat="1" ht="65.25" customHeight="1">
      <c r="B100" s="138" t="s">
        <v>140</v>
      </c>
      <c r="C100" s="139"/>
      <c r="D100" s="139"/>
      <c r="E100" s="16">
        <f>SUM(E101:E107)</f>
        <v>1090000</v>
      </c>
      <c r="F100" s="13"/>
      <c r="G100" s="14"/>
      <c r="H100" s="60"/>
      <c r="I100" s="61"/>
      <c r="J100" s="62"/>
    </row>
    <row r="101" spans="2:10" s="1" customFormat="1" ht="49.5" customHeight="1">
      <c r="B101" s="104" t="s">
        <v>132</v>
      </c>
      <c r="C101" s="23" t="s">
        <v>14</v>
      </c>
      <c r="D101" s="23" t="s">
        <v>15</v>
      </c>
      <c r="E101" s="24">
        <v>24200</v>
      </c>
      <c r="F101" s="25" t="s">
        <v>60</v>
      </c>
      <c r="G101" s="26" t="s">
        <v>125</v>
      </c>
      <c r="H101" s="41"/>
    </row>
    <row r="102" spans="2:10" s="1" customFormat="1" ht="33.75">
      <c r="B102" s="104" t="s">
        <v>132</v>
      </c>
      <c r="C102" s="28">
        <v>33100000</v>
      </c>
      <c r="D102" s="28" t="s">
        <v>28</v>
      </c>
      <c r="E102" s="24">
        <f>240004-87983</f>
        <v>152021</v>
      </c>
      <c r="F102" s="29" t="s">
        <v>64</v>
      </c>
      <c r="G102" s="26" t="s">
        <v>125</v>
      </c>
      <c r="H102" s="46"/>
    </row>
    <row r="103" spans="2:10" s="1" customFormat="1" ht="25.5">
      <c r="B103" s="67" t="s">
        <v>132</v>
      </c>
      <c r="C103" s="87" t="s">
        <v>32</v>
      </c>
      <c r="D103" s="68" t="s">
        <v>29</v>
      </c>
      <c r="E103" s="69">
        <v>33830</v>
      </c>
      <c r="F103" s="88" t="s">
        <v>64</v>
      </c>
      <c r="G103" s="71" t="s">
        <v>178</v>
      </c>
      <c r="H103" s="96"/>
    </row>
    <row r="104" spans="2:10" s="1" customFormat="1" ht="25.5">
      <c r="B104" s="67" t="s">
        <v>132</v>
      </c>
      <c r="C104" s="87" t="s">
        <v>184</v>
      </c>
      <c r="D104" s="68" t="s">
        <v>185</v>
      </c>
      <c r="E104" s="69">
        <v>2980</v>
      </c>
      <c r="F104" s="88" t="s">
        <v>64</v>
      </c>
      <c r="G104" s="71" t="s">
        <v>178</v>
      </c>
      <c r="H104" s="96"/>
    </row>
    <row r="105" spans="2:10" s="1" customFormat="1" ht="60.75" customHeight="1">
      <c r="B105" s="104" t="s">
        <v>132</v>
      </c>
      <c r="C105" s="23" t="s">
        <v>59</v>
      </c>
      <c r="D105" s="23" t="s">
        <v>44</v>
      </c>
      <c r="E105" s="24">
        <v>15000</v>
      </c>
      <c r="F105" s="25" t="s">
        <v>64</v>
      </c>
      <c r="G105" s="26" t="s">
        <v>125</v>
      </c>
      <c r="H105" s="41"/>
    </row>
    <row r="106" spans="2:10" s="1" customFormat="1" ht="75" customHeight="1">
      <c r="B106" s="104" t="s">
        <v>132</v>
      </c>
      <c r="C106" s="23">
        <v>85100000</v>
      </c>
      <c r="D106" s="23" t="s">
        <v>71</v>
      </c>
      <c r="E106" s="24">
        <v>48983</v>
      </c>
      <c r="F106" s="25" t="s">
        <v>61</v>
      </c>
      <c r="G106" s="26" t="s">
        <v>125</v>
      </c>
      <c r="H106" s="48" t="s">
        <v>126</v>
      </c>
      <c r="J106" s="62"/>
    </row>
    <row r="107" spans="2:10" s="18" customFormat="1" ht="65.25" customHeight="1">
      <c r="B107" s="67" t="s">
        <v>132</v>
      </c>
      <c r="C107" s="68">
        <v>85100000</v>
      </c>
      <c r="D107" s="68" t="s">
        <v>71</v>
      </c>
      <c r="E107" s="69">
        <f>1071996+37800-260000-33830-2980</f>
        <v>812986</v>
      </c>
      <c r="F107" s="70" t="s">
        <v>61</v>
      </c>
      <c r="G107" s="71" t="s">
        <v>125</v>
      </c>
      <c r="H107" s="92" t="s">
        <v>98</v>
      </c>
    </row>
    <row r="108" spans="2:10" s="1" customFormat="1" ht="80.25" customHeight="1">
      <c r="B108" s="127" t="s">
        <v>141</v>
      </c>
      <c r="C108" s="128"/>
      <c r="D108" s="128"/>
      <c r="E108" s="16">
        <f>SUM(E109:E109)</f>
        <v>1250000</v>
      </c>
      <c r="F108" s="13"/>
      <c r="G108" s="14"/>
      <c r="H108" s="10"/>
      <c r="I108" s="61"/>
      <c r="J108" s="62"/>
    </row>
    <row r="109" spans="2:10" s="1" customFormat="1" ht="84.75" customHeight="1">
      <c r="B109" s="104" t="s">
        <v>132</v>
      </c>
      <c r="C109" s="23" t="s">
        <v>32</v>
      </c>
      <c r="D109" s="23" t="s">
        <v>29</v>
      </c>
      <c r="E109" s="24">
        <v>1250000</v>
      </c>
      <c r="F109" s="25" t="s">
        <v>61</v>
      </c>
      <c r="G109" s="26" t="s">
        <v>125</v>
      </c>
      <c r="H109" s="48" t="s">
        <v>98</v>
      </c>
    </row>
    <row r="110" spans="2:10" s="1" customFormat="1" ht="57.75" customHeight="1">
      <c r="B110" s="136" t="s">
        <v>142</v>
      </c>
      <c r="C110" s="137"/>
      <c r="D110" s="137"/>
      <c r="E110" s="57">
        <f>SUM(E111:E114)</f>
        <v>3880000</v>
      </c>
      <c r="F110" s="58"/>
      <c r="G110" s="58"/>
      <c r="H110" s="59"/>
      <c r="I110" s="61"/>
      <c r="J110" s="62"/>
    </row>
    <row r="111" spans="2:10" s="18" customFormat="1" ht="29.25" customHeight="1">
      <c r="B111" s="65" t="s">
        <v>132</v>
      </c>
      <c r="C111" s="38">
        <v>33100000</v>
      </c>
      <c r="D111" s="23" t="s">
        <v>8</v>
      </c>
      <c r="E111" s="56">
        <v>124876.2</v>
      </c>
      <c r="F111" s="25" t="s">
        <v>64</v>
      </c>
      <c r="G111" s="26" t="s">
        <v>125</v>
      </c>
      <c r="H111" s="26"/>
      <c r="J111" s="21"/>
    </row>
    <row r="112" spans="2:10" s="18" customFormat="1" ht="33.75">
      <c r="B112" s="65" t="s">
        <v>132</v>
      </c>
      <c r="C112" s="77" t="s">
        <v>32</v>
      </c>
      <c r="D112" s="78" t="s">
        <v>9</v>
      </c>
      <c r="E112" s="56">
        <f>2995349.4-3495.8-99984.41-120000</f>
        <v>2771869.19</v>
      </c>
      <c r="F112" s="79" t="s">
        <v>64</v>
      </c>
      <c r="G112" s="80" t="s">
        <v>125</v>
      </c>
      <c r="H112" s="80"/>
    </row>
    <row r="113" spans="2:11" s="1" customFormat="1" ht="67.5">
      <c r="B113" s="104" t="s">
        <v>132</v>
      </c>
      <c r="C113" s="38" t="s">
        <v>24</v>
      </c>
      <c r="D113" s="23" t="s">
        <v>71</v>
      </c>
      <c r="E113" s="24">
        <v>73605.850000000006</v>
      </c>
      <c r="F113" s="25" t="s">
        <v>61</v>
      </c>
      <c r="G113" s="26" t="s">
        <v>125</v>
      </c>
      <c r="H113" s="45" t="s">
        <v>127</v>
      </c>
    </row>
    <row r="114" spans="2:11" s="1" customFormat="1" ht="83.25" customHeight="1">
      <c r="B114" s="104" t="s">
        <v>132</v>
      </c>
      <c r="C114" s="23" t="s">
        <v>24</v>
      </c>
      <c r="D114" s="23" t="s">
        <v>71</v>
      </c>
      <c r="E114" s="24">
        <v>909648.76</v>
      </c>
      <c r="F114" s="25" t="s">
        <v>61</v>
      </c>
      <c r="G114" s="26" t="s">
        <v>152</v>
      </c>
      <c r="H114" s="32" t="s">
        <v>98</v>
      </c>
    </row>
    <row r="115" spans="2:11" ht="122.25" customHeight="1">
      <c r="B115" s="127" t="s">
        <v>143</v>
      </c>
      <c r="C115" s="128"/>
      <c r="D115" s="128"/>
      <c r="E115" s="16">
        <f>SUM(E116)</f>
        <v>2190000</v>
      </c>
      <c r="F115" s="13"/>
      <c r="G115" s="14"/>
      <c r="H115" s="10"/>
      <c r="I115" s="61"/>
      <c r="J115" s="63"/>
    </row>
    <row r="116" spans="2:11" s="1" customFormat="1" ht="117.75" customHeight="1">
      <c r="B116" s="104" t="s">
        <v>132</v>
      </c>
      <c r="C116" s="23" t="s">
        <v>32</v>
      </c>
      <c r="D116" s="23" t="s">
        <v>29</v>
      </c>
      <c r="E116" s="24">
        <v>2190000</v>
      </c>
      <c r="F116" s="25" t="s">
        <v>61</v>
      </c>
      <c r="G116" s="26" t="s">
        <v>152</v>
      </c>
      <c r="H116" s="48" t="s">
        <v>98</v>
      </c>
    </row>
    <row r="117" spans="2:11" s="1" customFormat="1" ht="57" customHeight="1">
      <c r="B117" s="138" t="s">
        <v>144</v>
      </c>
      <c r="C117" s="139"/>
      <c r="D117" s="139"/>
      <c r="E117" s="16">
        <f>SUM(E118:E122)</f>
        <v>474000</v>
      </c>
      <c r="F117" s="13"/>
      <c r="G117" s="60"/>
      <c r="H117" s="60"/>
      <c r="I117" s="61"/>
      <c r="J117" s="62"/>
    </row>
    <row r="118" spans="2:11" s="1" customFormat="1" ht="59.25" customHeight="1">
      <c r="B118" s="104" t="s">
        <v>148</v>
      </c>
      <c r="C118" s="23">
        <v>33100000</v>
      </c>
      <c r="D118" s="23" t="s">
        <v>28</v>
      </c>
      <c r="E118" s="24">
        <f>20000+14559.87+22385.83</f>
        <v>56945.700000000004</v>
      </c>
      <c r="F118" s="25" t="s">
        <v>64</v>
      </c>
      <c r="G118" s="26" t="s">
        <v>125</v>
      </c>
      <c r="H118" s="41"/>
    </row>
    <row r="119" spans="2:11" s="1" customFormat="1" ht="38.25">
      <c r="B119" s="104" t="s">
        <v>148</v>
      </c>
      <c r="C119" s="36">
        <v>33600000</v>
      </c>
      <c r="D119" s="36" t="s">
        <v>29</v>
      </c>
      <c r="E119" s="24">
        <f>266824.3+68000-17770</f>
        <v>317054.3</v>
      </c>
      <c r="F119" s="43" t="s">
        <v>64</v>
      </c>
      <c r="G119" s="26" t="s">
        <v>125</v>
      </c>
      <c r="H119" s="44"/>
    </row>
    <row r="120" spans="2:11" s="1" customFormat="1" ht="78.75">
      <c r="B120" s="104" t="s">
        <v>132</v>
      </c>
      <c r="C120" s="38" t="s">
        <v>103</v>
      </c>
      <c r="D120" s="23" t="s">
        <v>71</v>
      </c>
      <c r="E120" s="24">
        <v>6870</v>
      </c>
      <c r="F120" s="25" t="s">
        <v>61</v>
      </c>
      <c r="G120" s="26" t="s">
        <v>125</v>
      </c>
      <c r="H120" s="45" t="s">
        <v>130</v>
      </c>
    </row>
    <row r="121" spans="2:11" s="1" customFormat="1" ht="67.5">
      <c r="B121" s="104" t="s">
        <v>132</v>
      </c>
      <c r="C121" s="38" t="s">
        <v>103</v>
      </c>
      <c r="D121" s="23" t="s">
        <v>71</v>
      </c>
      <c r="E121" s="24">
        <f>13740+6870</f>
        <v>20610</v>
      </c>
      <c r="F121" s="25" t="s">
        <v>61</v>
      </c>
      <c r="G121" s="26" t="s">
        <v>152</v>
      </c>
      <c r="H121" s="48" t="s">
        <v>98</v>
      </c>
      <c r="J121" s="62"/>
      <c r="K121" s="62"/>
    </row>
    <row r="122" spans="2:11" s="1" customFormat="1" ht="51" customHeight="1">
      <c r="B122" s="104" t="s">
        <v>132</v>
      </c>
      <c r="C122" s="38" t="s">
        <v>24</v>
      </c>
      <c r="D122" s="23" t="s">
        <v>71</v>
      </c>
      <c r="E122" s="24">
        <v>72520</v>
      </c>
      <c r="F122" s="25" t="s">
        <v>64</v>
      </c>
      <c r="G122" s="26" t="s">
        <v>153</v>
      </c>
      <c r="H122" s="45"/>
      <c r="J122" s="62"/>
      <c r="K122" s="62"/>
    </row>
    <row r="123" spans="2:11" ht="59.25" customHeight="1">
      <c r="B123" s="127" t="s">
        <v>145</v>
      </c>
      <c r="C123" s="128"/>
      <c r="D123" s="128"/>
      <c r="E123" s="16">
        <f>SUM(E124:E127)</f>
        <v>2100000</v>
      </c>
      <c r="F123" s="13"/>
      <c r="G123" s="14"/>
      <c r="H123" s="10"/>
      <c r="I123" s="61"/>
      <c r="J123" s="63"/>
    </row>
    <row r="124" spans="2:11" s="18" customFormat="1" ht="42.75" customHeight="1">
      <c r="B124" s="104" t="s">
        <v>132</v>
      </c>
      <c r="C124" s="23" t="s">
        <v>25</v>
      </c>
      <c r="D124" s="23" t="s">
        <v>69</v>
      </c>
      <c r="E124" s="24">
        <f>2100000-115976-175000</f>
        <v>1809024</v>
      </c>
      <c r="F124" s="25" t="s">
        <v>64</v>
      </c>
      <c r="G124" s="26" t="s">
        <v>125</v>
      </c>
      <c r="H124" s="53"/>
    </row>
    <row r="125" spans="2:11" s="1" customFormat="1" ht="42.75" customHeight="1">
      <c r="B125" s="104" t="s">
        <v>132</v>
      </c>
      <c r="C125" s="23" t="s">
        <v>25</v>
      </c>
      <c r="D125" s="23" t="s">
        <v>69</v>
      </c>
      <c r="E125" s="24">
        <f>5976</f>
        <v>5976</v>
      </c>
      <c r="F125" s="25" t="s">
        <v>61</v>
      </c>
      <c r="G125" s="26" t="s">
        <v>152</v>
      </c>
      <c r="H125" s="48" t="s">
        <v>98</v>
      </c>
    </row>
    <row r="126" spans="2:11" s="1" customFormat="1" ht="42.75" customHeight="1">
      <c r="B126" s="104" t="s">
        <v>132</v>
      </c>
      <c r="C126" s="23" t="s">
        <v>176</v>
      </c>
      <c r="D126" s="23" t="s">
        <v>177</v>
      </c>
      <c r="E126" s="24">
        <v>175000</v>
      </c>
      <c r="F126" s="25" t="s">
        <v>64</v>
      </c>
      <c r="G126" s="26" t="s">
        <v>178</v>
      </c>
      <c r="H126" s="48"/>
    </row>
    <row r="127" spans="2:11" s="1" customFormat="1" ht="80.25" customHeight="1">
      <c r="B127" s="104" t="s">
        <v>132</v>
      </c>
      <c r="C127" s="23" t="s">
        <v>154</v>
      </c>
      <c r="D127" s="23" t="s">
        <v>155</v>
      </c>
      <c r="E127" s="24">
        <f>115976-5976</f>
        <v>110000</v>
      </c>
      <c r="F127" s="25" t="s">
        <v>61</v>
      </c>
      <c r="G127" s="26" t="s">
        <v>152</v>
      </c>
      <c r="H127" s="48" t="s">
        <v>98</v>
      </c>
    </row>
    <row r="128" spans="2:11" ht="70.5" customHeight="1">
      <c r="B128" s="127" t="s">
        <v>146</v>
      </c>
      <c r="C128" s="128"/>
      <c r="D128" s="128"/>
      <c r="E128" s="16">
        <f>SUM(E129:E132)</f>
        <v>442800</v>
      </c>
      <c r="F128" s="13"/>
      <c r="G128" s="14"/>
      <c r="H128" s="10"/>
      <c r="I128" s="61"/>
      <c r="J128" s="63"/>
    </row>
    <row r="129" spans="2:8" s="18" customFormat="1" ht="33.75">
      <c r="B129" s="65" t="s">
        <v>132</v>
      </c>
      <c r="C129" s="99" t="s">
        <v>32</v>
      </c>
      <c r="D129" s="99" t="s">
        <v>29</v>
      </c>
      <c r="E129" s="56">
        <f>264000-4020</f>
        <v>259980</v>
      </c>
      <c r="F129" s="100" t="s">
        <v>64</v>
      </c>
      <c r="G129" s="80" t="s">
        <v>125</v>
      </c>
      <c r="H129" s="101"/>
    </row>
    <row r="130" spans="2:8" s="18" customFormat="1" ht="33.75">
      <c r="B130" s="65" t="s">
        <v>132</v>
      </c>
      <c r="C130" s="99" t="s">
        <v>7</v>
      </c>
      <c r="D130" s="99" t="s">
        <v>28</v>
      </c>
      <c r="E130" s="56">
        <f>132000-62000</f>
        <v>70000</v>
      </c>
      <c r="F130" s="100" t="s">
        <v>64</v>
      </c>
      <c r="G130" s="80" t="s">
        <v>125</v>
      </c>
      <c r="H130" s="117"/>
    </row>
    <row r="131" spans="2:8" s="18" customFormat="1" ht="25.5">
      <c r="B131" s="65" t="s">
        <v>132</v>
      </c>
      <c r="C131" s="99" t="s">
        <v>7</v>
      </c>
      <c r="D131" s="99" t="s">
        <v>28</v>
      </c>
      <c r="E131" s="56">
        <v>62000</v>
      </c>
      <c r="F131" s="79" t="s">
        <v>60</v>
      </c>
      <c r="G131" s="80" t="s">
        <v>178</v>
      </c>
      <c r="H131" s="117"/>
    </row>
    <row r="132" spans="2:8" s="1" customFormat="1" ht="33.75">
      <c r="B132" s="104" t="s">
        <v>132</v>
      </c>
      <c r="C132" s="23" t="s">
        <v>14</v>
      </c>
      <c r="D132" s="23" t="s">
        <v>40</v>
      </c>
      <c r="E132" s="24">
        <f>4020+46800</f>
        <v>50820</v>
      </c>
      <c r="F132" s="25" t="s">
        <v>60</v>
      </c>
      <c r="G132" s="26" t="s">
        <v>125</v>
      </c>
      <c r="H132" s="23"/>
    </row>
  </sheetData>
  <autoFilter ref="A8:H132"/>
  <mergeCells count="20">
    <mergeCell ref="B93:D93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81:D81"/>
    <mergeCell ref="B87:D87"/>
    <mergeCell ref="B123:D123"/>
    <mergeCell ref="B128:D128"/>
    <mergeCell ref="B97:D97"/>
    <mergeCell ref="B100:D100"/>
    <mergeCell ref="B108:D108"/>
    <mergeCell ref="B110:D110"/>
    <mergeCell ref="B115:D115"/>
    <mergeCell ref="B117:D11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3"/>
  <sheetViews>
    <sheetView topLeftCell="B34" zoomScaleNormal="100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E9+E76+E82+E88+E94+E98+E101+E109+E111+E116+E118+E124+E129</f>
        <v>43621630.600000001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SUM(E10:E75)</f>
        <v>4476963.5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21"/>
    </row>
    <row r="19" spans="2:10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10" s="18" customFormat="1" ht="33.75">
      <c r="B20" s="65" t="s">
        <v>147</v>
      </c>
      <c r="C20" s="84">
        <v>35100000</v>
      </c>
      <c r="D20" s="78" t="s">
        <v>188</v>
      </c>
      <c r="E20" s="56">
        <v>20355</v>
      </c>
      <c r="F20" s="79" t="s">
        <v>64</v>
      </c>
      <c r="G20" s="80" t="s">
        <v>173</v>
      </c>
      <c r="H20" s="102"/>
    </row>
    <row r="21" spans="2:10" s="18" customFormat="1" ht="25.5">
      <c r="B21" s="65" t="s">
        <v>147</v>
      </c>
      <c r="C21" s="84">
        <v>35800000</v>
      </c>
      <c r="D21" s="78" t="s">
        <v>171</v>
      </c>
      <c r="E21" s="56">
        <v>405</v>
      </c>
      <c r="F21" s="79" t="s">
        <v>61</v>
      </c>
      <c r="G21" s="80" t="s">
        <v>172</v>
      </c>
      <c r="H21" s="102"/>
    </row>
    <row r="22" spans="2:10" s="18" customFormat="1" ht="56.25">
      <c r="B22" s="65" t="s">
        <v>147</v>
      </c>
      <c r="C22" s="84">
        <v>33600000</v>
      </c>
      <c r="D22" s="78" t="s">
        <v>29</v>
      </c>
      <c r="E22" s="56">
        <v>10000</v>
      </c>
      <c r="F22" s="79" t="s">
        <v>61</v>
      </c>
      <c r="G22" s="80" t="s">
        <v>160</v>
      </c>
      <c r="H22" s="102" t="s">
        <v>85</v>
      </c>
    </row>
    <row r="23" spans="2:10" s="18" customFormat="1" ht="25.5">
      <c r="B23" s="65" t="s">
        <v>147</v>
      </c>
      <c r="C23" s="84">
        <v>33700000</v>
      </c>
      <c r="D23" s="78" t="s">
        <v>181</v>
      </c>
      <c r="E23" s="56">
        <v>1295</v>
      </c>
      <c r="F23" s="79" t="s">
        <v>61</v>
      </c>
      <c r="G23" s="80" t="s">
        <v>172</v>
      </c>
      <c r="H23" s="102"/>
    </row>
    <row r="24" spans="2:10" s="18" customFormat="1" ht="38.25" customHeight="1">
      <c r="B24" s="65" t="s">
        <v>147</v>
      </c>
      <c r="C24" s="78" t="s">
        <v>43</v>
      </c>
      <c r="D24" s="78" t="s">
        <v>42</v>
      </c>
      <c r="E24" s="56">
        <f>10000+7260+80</f>
        <v>17340</v>
      </c>
      <c r="F24" s="79" t="s">
        <v>60</v>
      </c>
      <c r="G24" s="80" t="s">
        <v>125</v>
      </c>
      <c r="H24" s="110"/>
    </row>
    <row r="25" spans="2:10" s="18" customFormat="1" ht="42" customHeight="1">
      <c r="B25" s="65" t="s">
        <v>132</v>
      </c>
      <c r="C25" s="78" t="s">
        <v>174</v>
      </c>
      <c r="D25" s="78" t="s">
        <v>175</v>
      </c>
      <c r="E25" s="56">
        <v>3756</v>
      </c>
      <c r="F25" s="79" t="s">
        <v>91</v>
      </c>
      <c r="G25" s="80" t="s">
        <v>172</v>
      </c>
      <c r="H25" s="81"/>
    </row>
    <row r="26" spans="2:10" s="18" customFormat="1" ht="33.75">
      <c r="B26" s="65" t="s">
        <v>132</v>
      </c>
      <c r="C26" s="23" t="s">
        <v>92</v>
      </c>
      <c r="D26" s="23" t="s">
        <v>93</v>
      </c>
      <c r="E26" s="56">
        <v>4800</v>
      </c>
      <c r="F26" s="25" t="s">
        <v>91</v>
      </c>
      <c r="G26" s="26" t="s">
        <v>125</v>
      </c>
      <c r="H26" s="31"/>
    </row>
    <row r="27" spans="2:10" s="18" customFormat="1" ht="33.75">
      <c r="B27" s="65" t="s">
        <v>132</v>
      </c>
      <c r="C27" s="23" t="s">
        <v>94</v>
      </c>
      <c r="D27" s="23" t="s">
        <v>95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34">
        <v>39800000</v>
      </c>
      <c r="D28" s="34" t="s">
        <v>84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85">
        <v>42900000</v>
      </c>
      <c r="D29" s="85" t="s">
        <v>168</v>
      </c>
      <c r="E29" s="56">
        <v>1920</v>
      </c>
      <c r="F29" s="79" t="s">
        <v>60</v>
      </c>
      <c r="G29" s="110" t="s">
        <v>160</v>
      </c>
      <c r="H29" s="110"/>
    </row>
    <row r="30" spans="2:10" s="18" customFormat="1" ht="51.75" customHeight="1">
      <c r="B30" s="65" t="s">
        <v>132</v>
      </c>
      <c r="C30" s="84">
        <v>41100000</v>
      </c>
      <c r="D30" s="85" t="s">
        <v>149</v>
      </c>
      <c r="E30" s="56">
        <v>6750</v>
      </c>
      <c r="F30" s="79" t="s">
        <v>64</v>
      </c>
      <c r="G30" s="80" t="s">
        <v>125</v>
      </c>
      <c r="H30" s="81"/>
    </row>
    <row r="31" spans="2:10" s="18" customFormat="1" ht="51.75" customHeight="1">
      <c r="B31" s="65" t="s">
        <v>132</v>
      </c>
      <c r="C31" s="84">
        <v>44400000</v>
      </c>
      <c r="D31" s="85" t="s">
        <v>167</v>
      </c>
      <c r="E31" s="56">
        <v>4120</v>
      </c>
      <c r="F31" s="79" t="s">
        <v>64</v>
      </c>
      <c r="G31" s="80" t="s">
        <v>160</v>
      </c>
      <c r="H31" s="81"/>
    </row>
    <row r="32" spans="2:10" s="1" customFormat="1" ht="51.75" customHeight="1">
      <c r="B32" s="104" t="s">
        <v>132</v>
      </c>
      <c r="C32" s="30">
        <v>48400000</v>
      </c>
      <c r="D32" s="34" t="s">
        <v>182</v>
      </c>
      <c r="E32" s="24">
        <f>3234+980</f>
        <v>4214</v>
      </c>
      <c r="F32" s="25" t="s">
        <v>61</v>
      </c>
      <c r="G32" s="26" t="s">
        <v>172</v>
      </c>
      <c r="H32" s="35"/>
    </row>
    <row r="33" spans="2:9" s="18" customFormat="1" ht="51.75" customHeight="1">
      <c r="B33" s="65" t="s">
        <v>132</v>
      </c>
      <c r="C33" s="30">
        <v>45400000</v>
      </c>
      <c r="D33" s="34" t="s">
        <v>102</v>
      </c>
      <c r="E33" s="56">
        <v>40000</v>
      </c>
      <c r="F33" s="25" t="s">
        <v>64</v>
      </c>
      <c r="G33" s="26" t="s">
        <v>125</v>
      </c>
      <c r="H33" s="31"/>
    </row>
    <row r="34" spans="2:9" s="18" customFormat="1" ht="37.5" customHeight="1">
      <c r="B34" s="65" t="s">
        <v>133</v>
      </c>
      <c r="C34" s="30">
        <v>48700000</v>
      </c>
      <c r="D34" s="23" t="s">
        <v>104</v>
      </c>
      <c r="E34" s="56">
        <v>30000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84">
        <v>48800000</v>
      </c>
      <c r="D35" s="78" t="s">
        <v>179</v>
      </c>
      <c r="E35" s="56">
        <f>85900-5900</f>
        <v>80000</v>
      </c>
      <c r="F35" s="56" t="s">
        <v>64</v>
      </c>
      <c r="G35" s="115" t="s">
        <v>173</v>
      </c>
      <c r="H35" s="81"/>
    </row>
    <row r="36" spans="2:9" s="18" customFormat="1" ht="37.5" customHeight="1">
      <c r="B36" s="65" t="s">
        <v>132</v>
      </c>
      <c r="C36" s="84">
        <v>48800000</v>
      </c>
      <c r="D36" s="78" t="s">
        <v>179</v>
      </c>
      <c r="E36" s="56">
        <f>500+5900</f>
        <v>6400</v>
      </c>
      <c r="F36" s="56" t="s">
        <v>64</v>
      </c>
      <c r="G36" s="115" t="s">
        <v>173</v>
      </c>
      <c r="H36" s="81"/>
    </row>
    <row r="37" spans="2:9" s="18" customFormat="1" ht="56.25">
      <c r="B37" s="65" t="s">
        <v>132</v>
      </c>
      <c r="C37" s="78">
        <v>50100000</v>
      </c>
      <c r="D37" s="78" t="s">
        <v>44</v>
      </c>
      <c r="E37" s="56">
        <f>10000+30000</f>
        <v>40000</v>
      </c>
      <c r="F37" s="79" t="s">
        <v>61</v>
      </c>
      <c r="G37" s="80" t="s">
        <v>125</v>
      </c>
      <c r="H37" s="102" t="s">
        <v>66</v>
      </c>
    </row>
    <row r="38" spans="2:9" s="1" customFormat="1" ht="92.25" customHeight="1">
      <c r="B38" s="104" t="s">
        <v>132</v>
      </c>
      <c r="C38" s="23" t="s">
        <v>59</v>
      </c>
      <c r="D38" s="23" t="s">
        <v>62</v>
      </c>
      <c r="E38" s="24">
        <f>120000-30000+15000</f>
        <v>105000</v>
      </c>
      <c r="F38" s="25" t="s">
        <v>64</v>
      </c>
      <c r="G38" s="26" t="s">
        <v>125</v>
      </c>
      <c r="H38" s="36"/>
    </row>
    <row r="39" spans="2:9" s="18" customFormat="1" ht="56.25">
      <c r="B39" s="65" t="s">
        <v>132</v>
      </c>
      <c r="C39" s="78">
        <v>50100000</v>
      </c>
      <c r="D39" s="78" t="s">
        <v>44</v>
      </c>
      <c r="E39" s="56">
        <v>2080</v>
      </c>
      <c r="F39" s="79" t="s">
        <v>61</v>
      </c>
      <c r="G39" s="80" t="s">
        <v>160</v>
      </c>
      <c r="H39" s="102" t="s">
        <v>85</v>
      </c>
    </row>
    <row r="40" spans="2:9" s="18" customFormat="1" ht="92.25" customHeight="1">
      <c r="B40" s="65" t="s">
        <v>132</v>
      </c>
      <c r="C40" s="23" t="s">
        <v>107</v>
      </c>
      <c r="D40" s="23" t="s">
        <v>108</v>
      </c>
      <c r="E40" s="56">
        <v>50000</v>
      </c>
      <c r="F40" s="25" t="s">
        <v>64</v>
      </c>
      <c r="G40" s="26" t="s">
        <v>125</v>
      </c>
      <c r="H40" s="31"/>
    </row>
    <row r="41" spans="2:9" s="18" customFormat="1" ht="92.25" customHeight="1">
      <c r="B41" s="65" t="s">
        <v>132</v>
      </c>
      <c r="C41" s="23" t="s">
        <v>105</v>
      </c>
      <c r="D41" s="23" t="s">
        <v>106</v>
      </c>
      <c r="E41" s="56">
        <v>310000</v>
      </c>
      <c r="F41" s="25" t="s">
        <v>64</v>
      </c>
      <c r="G41" s="26" t="s">
        <v>125</v>
      </c>
      <c r="H41" s="36"/>
    </row>
    <row r="42" spans="2:9" s="18" customFormat="1" ht="115.5" customHeight="1">
      <c r="B42" s="65" t="s">
        <v>132</v>
      </c>
      <c r="C42" s="78" t="s">
        <v>105</v>
      </c>
      <c r="D42" s="78" t="s">
        <v>106</v>
      </c>
      <c r="E42" s="56">
        <f>23265*I42</f>
        <v>62815.500000000007</v>
      </c>
      <c r="F42" s="78" t="s">
        <v>61</v>
      </c>
      <c r="G42" s="80" t="s">
        <v>152</v>
      </c>
      <c r="H42" s="78" t="s">
        <v>180</v>
      </c>
      <c r="I42" s="18">
        <v>2.7</v>
      </c>
    </row>
    <row r="43" spans="2:9" s="18" customFormat="1" ht="115.5" customHeight="1">
      <c r="B43" s="65" t="s">
        <v>147</v>
      </c>
      <c r="C43" s="23" t="s">
        <v>109</v>
      </c>
      <c r="D43" s="23" t="s">
        <v>110</v>
      </c>
      <c r="E43" s="56">
        <f>60000+45000-20000</f>
        <v>85000</v>
      </c>
      <c r="F43" s="25" t="s">
        <v>64</v>
      </c>
      <c r="G43" s="26" t="s">
        <v>125</v>
      </c>
      <c r="H43" s="36"/>
    </row>
    <row r="44" spans="2:9" s="18" customFormat="1" ht="102.75" customHeight="1">
      <c r="B44" s="65" t="s">
        <v>132</v>
      </c>
      <c r="C44" s="23" t="s">
        <v>86</v>
      </c>
      <c r="D44" s="23" t="s">
        <v>87</v>
      </c>
      <c r="E44" s="56">
        <v>8000</v>
      </c>
      <c r="F44" s="25" t="s">
        <v>64</v>
      </c>
      <c r="G44" s="26" t="s">
        <v>125</v>
      </c>
      <c r="H44" s="23"/>
    </row>
    <row r="45" spans="2:9" s="18" customFormat="1" ht="115.5" customHeight="1">
      <c r="B45" s="65" t="s">
        <v>132</v>
      </c>
      <c r="C45" s="23">
        <v>50700000</v>
      </c>
      <c r="D45" s="23" t="s">
        <v>13</v>
      </c>
      <c r="E45" s="56">
        <f>1600000-59200</f>
        <v>1540800</v>
      </c>
      <c r="F45" s="23" t="s">
        <v>61</v>
      </c>
      <c r="G45" s="26" t="s">
        <v>125</v>
      </c>
      <c r="H45" s="23" t="s">
        <v>99</v>
      </c>
    </row>
    <row r="46" spans="2:9" s="18" customFormat="1" ht="115.5" customHeight="1">
      <c r="B46" s="65" t="s">
        <v>132</v>
      </c>
      <c r="C46" s="78">
        <v>50700000</v>
      </c>
      <c r="D46" s="78" t="s">
        <v>13</v>
      </c>
      <c r="E46" s="56">
        <f>93000-45000+20000+46148</f>
        <v>114148</v>
      </c>
      <c r="F46" s="78" t="s">
        <v>64</v>
      </c>
      <c r="G46" s="80" t="s">
        <v>125</v>
      </c>
      <c r="H46" s="78"/>
    </row>
    <row r="47" spans="2:9" s="18" customFormat="1" ht="115.5" customHeight="1">
      <c r="B47" s="65" t="s">
        <v>132</v>
      </c>
      <c r="C47" s="78" t="s">
        <v>117</v>
      </c>
      <c r="D47" s="78" t="s">
        <v>118</v>
      </c>
      <c r="E47" s="56">
        <f>120000+68250</f>
        <v>188250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23" t="s">
        <v>111</v>
      </c>
      <c r="D48" s="23" t="s">
        <v>112</v>
      </c>
      <c r="E48" s="56">
        <v>120000</v>
      </c>
      <c r="F48" s="23" t="s">
        <v>64</v>
      </c>
      <c r="G48" s="26" t="s">
        <v>125</v>
      </c>
      <c r="H48" s="23"/>
    </row>
    <row r="49" spans="2:10" s="18" customFormat="1" ht="58.5" customHeight="1">
      <c r="B49" s="65" t="s">
        <v>132</v>
      </c>
      <c r="C49" s="30">
        <v>63700000</v>
      </c>
      <c r="D49" s="23" t="s">
        <v>70</v>
      </c>
      <c r="E49" s="56">
        <v>2000</v>
      </c>
      <c r="F49" s="25" t="s">
        <v>61</v>
      </c>
      <c r="G49" s="26" t="s">
        <v>125</v>
      </c>
      <c r="H49" s="26" t="s">
        <v>85</v>
      </c>
    </row>
    <row r="50" spans="2:10" s="18" customFormat="1" ht="63.75" customHeight="1">
      <c r="B50" s="65" t="s">
        <v>132</v>
      </c>
      <c r="C50" s="23" t="s">
        <v>47</v>
      </c>
      <c r="D50" s="23" t="s">
        <v>48</v>
      </c>
      <c r="E50" s="56">
        <v>6000</v>
      </c>
      <c r="F50" s="25" t="s">
        <v>64</v>
      </c>
      <c r="G50" s="26" t="s">
        <v>125</v>
      </c>
      <c r="H50" s="23"/>
    </row>
    <row r="51" spans="2:10" s="18" customFormat="1" ht="33.75">
      <c r="B51" s="65" t="s">
        <v>132</v>
      </c>
      <c r="C51" s="38" t="s">
        <v>18</v>
      </c>
      <c r="D51" s="23" t="s">
        <v>46</v>
      </c>
      <c r="E51" s="56">
        <v>25000</v>
      </c>
      <c r="F51" s="25" t="s">
        <v>64</v>
      </c>
      <c r="G51" s="26" t="s">
        <v>125</v>
      </c>
      <c r="H51" s="33"/>
    </row>
    <row r="52" spans="2:10" s="18" customFormat="1" ht="56.25">
      <c r="B52" s="65" t="s">
        <v>132</v>
      </c>
      <c r="C52" s="38" t="s">
        <v>18</v>
      </c>
      <c r="D52" s="23" t="s">
        <v>46</v>
      </c>
      <c r="E52" s="56">
        <v>25500</v>
      </c>
      <c r="F52" s="25" t="s">
        <v>61</v>
      </c>
      <c r="G52" s="26" t="s">
        <v>125</v>
      </c>
      <c r="H52" s="26" t="s">
        <v>96</v>
      </c>
    </row>
    <row r="53" spans="2:10" s="18" customFormat="1" ht="56.25">
      <c r="B53" s="65" t="s">
        <v>132</v>
      </c>
      <c r="C53" s="77" t="s">
        <v>161</v>
      </c>
      <c r="D53" s="78" t="s">
        <v>46</v>
      </c>
      <c r="E53" s="56">
        <v>9000</v>
      </c>
      <c r="F53" s="79" t="s">
        <v>61</v>
      </c>
      <c r="G53" s="80" t="s">
        <v>152</v>
      </c>
      <c r="H53" s="80" t="s">
        <v>162</v>
      </c>
    </row>
    <row r="54" spans="2:10" s="18" customFormat="1" ht="33.75">
      <c r="B54" s="65" t="s">
        <v>132</v>
      </c>
      <c r="C54" s="38" t="s">
        <v>18</v>
      </c>
      <c r="D54" s="23" t="s">
        <v>46</v>
      </c>
      <c r="E54" s="56">
        <v>24000</v>
      </c>
      <c r="F54" s="25" t="s">
        <v>60</v>
      </c>
      <c r="G54" s="26" t="s">
        <v>125</v>
      </c>
      <c r="H54" s="33"/>
    </row>
    <row r="55" spans="2:10" s="18" customFormat="1" ht="33.75">
      <c r="B55" s="65" t="s">
        <v>134</v>
      </c>
      <c r="C55" s="38" t="s">
        <v>114</v>
      </c>
      <c r="D55" s="23" t="s">
        <v>113</v>
      </c>
      <c r="E55" s="56">
        <v>30000</v>
      </c>
      <c r="F55" s="25" t="s">
        <v>64</v>
      </c>
      <c r="G55" s="26" t="s">
        <v>125</v>
      </c>
      <c r="H55" s="26"/>
    </row>
    <row r="56" spans="2:10" s="18" customFormat="1" ht="33.75">
      <c r="B56" s="65" t="s">
        <v>132</v>
      </c>
      <c r="C56" s="38" t="s">
        <v>55</v>
      </c>
      <c r="D56" s="23" t="s">
        <v>56</v>
      </c>
      <c r="E56" s="56">
        <v>1680</v>
      </c>
      <c r="F56" s="25" t="s">
        <v>91</v>
      </c>
      <c r="G56" s="26" t="s">
        <v>125</v>
      </c>
      <c r="H56" s="33"/>
    </row>
    <row r="57" spans="2:10" s="18" customFormat="1" ht="57" customHeight="1">
      <c r="B57" s="65" t="s">
        <v>132</v>
      </c>
      <c r="C57" s="77" t="s">
        <v>17</v>
      </c>
      <c r="D57" s="78" t="s">
        <v>16</v>
      </c>
      <c r="E57" s="56">
        <f>90000+34000</f>
        <v>124000</v>
      </c>
      <c r="F57" s="79" t="s">
        <v>61</v>
      </c>
      <c r="G57" s="80" t="s">
        <v>125</v>
      </c>
      <c r="H57" s="80" t="s">
        <v>67</v>
      </c>
    </row>
    <row r="58" spans="2:10" s="18" customFormat="1" ht="57" customHeight="1">
      <c r="B58" s="67" t="s">
        <v>132</v>
      </c>
      <c r="C58" s="76" t="s">
        <v>189</v>
      </c>
      <c r="D58" s="68" t="s">
        <v>190</v>
      </c>
      <c r="E58" s="69">
        <v>15000</v>
      </c>
      <c r="F58" s="70" t="s">
        <v>64</v>
      </c>
      <c r="G58" s="71" t="s">
        <v>183</v>
      </c>
      <c r="H58" s="71"/>
    </row>
    <row r="59" spans="2:10" s="18" customFormat="1" ht="65.25" customHeight="1">
      <c r="B59" s="67" t="s">
        <v>132</v>
      </c>
      <c r="C59" s="76" t="s">
        <v>17</v>
      </c>
      <c r="D59" s="68" t="s">
        <v>16</v>
      </c>
      <c r="E59" s="69">
        <f>150+400+266+21+350+175</f>
        <v>1362</v>
      </c>
      <c r="F59" s="70" t="s">
        <v>61</v>
      </c>
      <c r="G59" s="71" t="s">
        <v>125</v>
      </c>
      <c r="H59" s="71"/>
      <c r="J59" s="20"/>
    </row>
    <row r="60" spans="2:10" s="18" customFormat="1" ht="56.25">
      <c r="B60" s="65" t="s">
        <v>132</v>
      </c>
      <c r="C60" s="38" t="s">
        <v>77</v>
      </c>
      <c r="D60" s="23" t="s">
        <v>78</v>
      </c>
      <c r="E60" s="56">
        <v>3000</v>
      </c>
      <c r="F60" s="25" t="s">
        <v>61</v>
      </c>
      <c r="G60" s="26" t="s">
        <v>125</v>
      </c>
      <c r="H60" s="26" t="s">
        <v>79</v>
      </c>
    </row>
    <row r="61" spans="2:10" s="18" customFormat="1" ht="56.25">
      <c r="B61" s="65" t="s">
        <v>132</v>
      </c>
      <c r="C61" s="77" t="s">
        <v>163</v>
      </c>
      <c r="D61" s="78" t="s">
        <v>164</v>
      </c>
      <c r="E61" s="56">
        <v>500</v>
      </c>
      <c r="F61" s="79" t="s">
        <v>61</v>
      </c>
      <c r="G61" s="80" t="s">
        <v>152</v>
      </c>
      <c r="H61" s="80" t="s">
        <v>79</v>
      </c>
    </row>
    <row r="62" spans="2:10" s="18" customFormat="1" ht="75" customHeight="1">
      <c r="B62" s="65" t="s">
        <v>132</v>
      </c>
      <c r="C62" s="77" t="s">
        <v>25</v>
      </c>
      <c r="D62" s="78" t="s">
        <v>119</v>
      </c>
      <c r="E62" s="56">
        <v>100000</v>
      </c>
      <c r="F62" s="79" t="s">
        <v>64</v>
      </c>
      <c r="G62" s="80" t="s">
        <v>125</v>
      </c>
      <c r="H62" s="80"/>
    </row>
    <row r="63" spans="2:10" s="1" customFormat="1" ht="75" customHeight="1">
      <c r="B63" s="104" t="s">
        <v>132</v>
      </c>
      <c r="C63" s="38" t="s">
        <v>163</v>
      </c>
      <c r="D63" s="23" t="s">
        <v>164</v>
      </c>
      <c r="E63" s="24">
        <v>4900</v>
      </c>
      <c r="F63" s="25" t="s">
        <v>61</v>
      </c>
      <c r="G63" s="26" t="s">
        <v>183</v>
      </c>
      <c r="H63" s="26"/>
    </row>
    <row r="64" spans="2:10" s="1" customFormat="1" ht="63.75" customHeight="1">
      <c r="B64" s="104" t="s">
        <v>132</v>
      </c>
      <c r="C64" s="23" t="s">
        <v>45</v>
      </c>
      <c r="D64" s="23" t="s">
        <v>63</v>
      </c>
      <c r="E64" s="24">
        <f>6000+3850</f>
        <v>9850</v>
      </c>
      <c r="F64" s="25" t="s">
        <v>64</v>
      </c>
      <c r="G64" s="26" t="s">
        <v>125</v>
      </c>
      <c r="H64" s="26"/>
    </row>
    <row r="65" spans="2:10" s="18" customFormat="1" ht="63.75" customHeight="1">
      <c r="B65" s="65" t="s">
        <v>132</v>
      </c>
      <c r="C65" s="78" t="s">
        <v>120</v>
      </c>
      <c r="D65" s="78" t="s">
        <v>121</v>
      </c>
      <c r="E65" s="56">
        <v>450</v>
      </c>
      <c r="F65" s="79" t="s">
        <v>61</v>
      </c>
      <c r="G65" s="80" t="s">
        <v>125</v>
      </c>
      <c r="H65" s="80"/>
    </row>
    <row r="66" spans="2:10" s="18" customFormat="1" ht="77.25" customHeight="1">
      <c r="B66" s="65" t="s">
        <v>132</v>
      </c>
      <c r="C66" s="30">
        <v>79700000</v>
      </c>
      <c r="D66" s="23" t="s">
        <v>27</v>
      </c>
      <c r="E66" s="56">
        <v>600000</v>
      </c>
      <c r="F66" s="25" t="s">
        <v>61</v>
      </c>
      <c r="G66" s="26" t="s">
        <v>125</v>
      </c>
      <c r="H66" s="26" t="s">
        <v>80</v>
      </c>
    </row>
    <row r="67" spans="2:10" s="18" customFormat="1" ht="62.25" customHeight="1">
      <c r="B67" s="65" t="s">
        <v>132</v>
      </c>
      <c r="C67" s="30">
        <v>79800000</v>
      </c>
      <c r="D67" s="23" t="s">
        <v>81</v>
      </c>
      <c r="E67" s="56">
        <v>10000</v>
      </c>
      <c r="F67" s="25" t="s">
        <v>64</v>
      </c>
      <c r="G67" s="26" t="s">
        <v>125</v>
      </c>
      <c r="H67" s="26"/>
    </row>
    <row r="68" spans="2:10" s="18" customFormat="1" ht="62.25" customHeight="1">
      <c r="B68" s="65" t="s">
        <v>132</v>
      </c>
      <c r="C68" s="78" t="s">
        <v>53</v>
      </c>
      <c r="D68" s="78" t="s">
        <v>65</v>
      </c>
      <c r="E68" s="56">
        <f>20000+12000-2305</f>
        <v>29695</v>
      </c>
      <c r="F68" s="79" t="s">
        <v>61</v>
      </c>
      <c r="G68" s="80" t="s">
        <v>125</v>
      </c>
      <c r="H68" s="78" t="s">
        <v>68</v>
      </c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v>2305</v>
      </c>
      <c r="F69" s="79" t="s">
        <v>61</v>
      </c>
      <c r="G69" s="80" t="s">
        <v>173</v>
      </c>
      <c r="H69" s="78"/>
    </row>
    <row r="70" spans="2:10" s="18" customFormat="1" ht="62.25" customHeight="1">
      <c r="B70" s="65" t="s">
        <v>132</v>
      </c>
      <c r="C70" s="38" t="s">
        <v>24</v>
      </c>
      <c r="D70" s="23" t="s">
        <v>71</v>
      </c>
      <c r="E70" s="56">
        <v>12000</v>
      </c>
      <c r="F70" s="25" t="s">
        <v>64</v>
      </c>
      <c r="G70" s="26" t="s">
        <v>125</v>
      </c>
      <c r="H70" s="23"/>
    </row>
    <row r="71" spans="2:10" s="18" customFormat="1" ht="62.25" customHeight="1">
      <c r="B71" s="65" t="s">
        <v>132</v>
      </c>
      <c r="C71" s="38" t="s">
        <v>122</v>
      </c>
      <c r="D71" s="23" t="s">
        <v>123</v>
      </c>
      <c r="E71" s="56">
        <v>1000</v>
      </c>
      <c r="F71" s="25" t="s">
        <v>61</v>
      </c>
      <c r="G71" s="26" t="s">
        <v>125</v>
      </c>
      <c r="H71" s="23"/>
    </row>
    <row r="72" spans="2:10" s="18" customFormat="1" ht="60.75" customHeight="1">
      <c r="B72" s="65" t="s">
        <v>132</v>
      </c>
      <c r="C72" s="78" t="s">
        <v>82</v>
      </c>
      <c r="D72" s="78" t="s">
        <v>83</v>
      </c>
      <c r="E72" s="56">
        <v>10000</v>
      </c>
      <c r="F72" s="79" t="s">
        <v>61</v>
      </c>
      <c r="G72" s="80" t="s">
        <v>125</v>
      </c>
      <c r="H72" s="80" t="s">
        <v>79</v>
      </c>
    </row>
    <row r="73" spans="2:10" s="18" customFormat="1" ht="36.75" customHeight="1">
      <c r="B73" s="65" t="s">
        <v>132</v>
      </c>
      <c r="C73" s="78" t="s">
        <v>12</v>
      </c>
      <c r="D73" s="78" t="s">
        <v>19</v>
      </c>
      <c r="E73" s="56">
        <f>80000+110000</f>
        <v>190000</v>
      </c>
      <c r="F73" s="79" t="s">
        <v>64</v>
      </c>
      <c r="G73" s="80" t="s">
        <v>125</v>
      </c>
      <c r="H73" s="81"/>
    </row>
    <row r="74" spans="2:10" s="18" customFormat="1" ht="54.75" customHeight="1">
      <c r="B74" s="65" t="s">
        <v>132</v>
      </c>
      <c r="C74" s="78" t="s">
        <v>115</v>
      </c>
      <c r="D74" s="78" t="s">
        <v>116</v>
      </c>
      <c r="E74" s="56">
        <v>15000</v>
      </c>
      <c r="F74" s="79" t="s">
        <v>61</v>
      </c>
      <c r="G74" s="80" t="s">
        <v>125</v>
      </c>
      <c r="H74" s="80" t="s">
        <v>79</v>
      </c>
    </row>
    <row r="75" spans="2:10" s="18" customFormat="1" ht="54.75" customHeight="1">
      <c r="B75" s="108" t="s">
        <v>132</v>
      </c>
      <c r="C75" s="78" t="s">
        <v>165</v>
      </c>
      <c r="D75" s="78" t="s">
        <v>166</v>
      </c>
      <c r="E75" s="56">
        <v>4900</v>
      </c>
      <c r="F75" s="79" t="s">
        <v>61</v>
      </c>
      <c r="G75" s="80" t="s">
        <v>152</v>
      </c>
      <c r="H75" s="80" t="s">
        <v>79</v>
      </c>
    </row>
    <row r="76" spans="2:10" s="1" customFormat="1" ht="75" customHeight="1">
      <c r="B76" s="127" t="s">
        <v>135</v>
      </c>
      <c r="C76" s="128"/>
      <c r="D76" s="128"/>
      <c r="E76" s="16">
        <f>SUM(E77:E81)</f>
        <v>1710000</v>
      </c>
      <c r="F76" s="13"/>
      <c r="G76" s="14"/>
      <c r="H76" s="10"/>
      <c r="I76" s="61"/>
      <c r="J76" s="62"/>
    </row>
    <row r="77" spans="2:10" s="1" customFormat="1" ht="59.25" customHeight="1">
      <c r="B77" s="104" t="s">
        <v>132</v>
      </c>
      <c r="C77" s="23" t="s">
        <v>24</v>
      </c>
      <c r="D77" s="23" t="s">
        <v>71</v>
      </c>
      <c r="E77" s="24">
        <f>1710000-142500-E80-E79-100000</f>
        <v>1214302.3999999999</v>
      </c>
      <c r="F77" s="25" t="s">
        <v>64</v>
      </c>
      <c r="G77" s="26" t="s">
        <v>125</v>
      </c>
      <c r="H77" s="41"/>
      <c r="J77" s="62"/>
    </row>
    <row r="78" spans="2:10" s="18" customFormat="1" ht="59.25" customHeight="1">
      <c r="B78" s="65" t="s">
        <v>132</v>
      </c>
      <c r="C78" s="78" t="s">
        <v>25</v>
      </c>
      <c r="D78" s="103" t="s">
        <v>69</v>
      </c>
      <c r="E78" s="56">
        <v>100000</v>
      </c>
      <c r="F78" s="79" t="s">
        <v>64</v>
      </c>
      <c r="G78" s="80" t="s">
        <v>187</v>
      </c>
      <c r="H78" s="111"/>
      <c r="J78" s="21"/>
    </row>
    <row r="79" spans="2:10" s="1" customFormat="1" ht="67.5">
      <c r="B79" s="104" t="s">
        <v>132</v>
      </c>
      <c r="C79" s="23" t="s">
        <v>103</v>
      </c>
      <c r="D79" s="23" t="s">
        <v>71</v>
      </c>
      <c r="E79" s="24">
        <v>33000</v>
      </c>
      <c r="F79" s="25" t="s">
        <v>61</v>
      </c>
      <c r="G79" s="26" t="s">
        <v>186</v>
      </c>
      <c r="H79" s="48" t="s">
        <v>98</v>
      </c>
      <c r="J79" s="62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220197.6</v>
      </c>
      <c r="F80" s="25" t="s">
        <v>61</v>
      </c>
      <c r="G80" s="26" t="s">
        <v>150</v>
      </c>
      <c r="H80" s="48" t="s">
        <v>98</v>
      </c>
    </row>
    <row r="81" spans="2:13" s="1" customFormat="1" ht="98.25" customHeight="1">
      <c r="B81" s="104" t="s">
        <v>132</v>
      </c>
      <c r="C81" s="23" t="s">
        <v>24</v>
      </c>
      <c r="D81" s="23" t="s">
        <v>71</v>
      </c>
      <c r="E81" s="24">
        <v>142500</v>
      </c>
      <c r="F81" s="25" t="s">
        <v>61</v>
      </c>
      <c r="G81" s="26" t="s">
        <v>125</v>
      </c>
      <c r="H81" s="48" t="s">
        <v>128</v>
      </c>
      <c r="J81" s="62"/>
    </row>
    <row r="82" spans="2:13" s="1" customFormat="1" ht="31.5" customHeight="1">
      <c r="B82" s="127" t="s">
        <v>136</v>
      </c>
      <c r="C82" s="128"/>
      <c r="D82" s="128"/>
      <c r="E82" s="16">
        <f>SUM(E83:E87)</f>
        <v>22370000</v>
      </c>
      <c r="F82" s="13"/>
      <c r="G82" s="9"/>
      <c r="H82" s="10"/>
      <c r="I82" s="61"/>
      <c r="J82" s="62"/>
    </row>
    <row r="83" spans="2:13" s="1" customFormat="1" ht="75.75" customHeight="1">
      <c r="B83" s="104" t="s">
        <v>132</v>
      </c>
      <c r="C83" s="23" t="s">
        <v>7</v>
      </c>
      <c r="D83" s="23" t="s">
        <v>57</v>
      </c>
      <c r="E83" s="24">
        <f>3750000+400000</f>
        <v>4150000</v>
      </c>
      <c r="F83" s="25" t="s">
        <v>61</v>
      </c>
      <c r="G83" s="26" t="s">
        <v>125</v>
      </c>
      <c r="H83" s="48" t="s">
        <v>97</v>
      </c>
    </row>
    <row r="84" spans="2:13" s="1" customFormat="1" ht="75.75" customHeight="1">
      <c r="B84" s="66" t="s">
        <v>133</v>
      </c>
      <c r="C84" s="23" t="s">
        <v>7</v>
      </c>
      <c r="D84" s="23" t="s">
        <v>57</v>
      </c>
      <c r="E84" s="24">
        <v>100000</v>
      </c>
      <c r="F84" s="25" t="s">
        <v>61</v>
      </c>
      <c r="G84" s="26" t="s">
        <v>125</v>
      </c>
      <c r="H84" s="48" t="s">
        <v>97</v>
      </c>
    </row>
    <row r="85" spans="2:13" s="1" customFormat="1" ht="121.5" customHeight="1">
      <c r="B85" s="104" t="s">
        <v>132</v>
      </c>
      <c r="C85" s="23">
        <v>33600000</v>
      </c>
      <c r="D85" s="23" t="s">
        <v>29</v>
      </c>
      <c r="E85" s="24">
        <f>1440000+270000-22680</f>
        <v>1687320</v>
      </c>
      <c r="F85" s="25" t="s">
        <v>64</v>
      </c>
      <c r="G85" s="26" t="s">
        <v>125</v>
      </c>
      <c r="H85" s="41"/>
      <c r="J85" s="62"/>
      <c r="L85" s="62"/>
      <c r="M85" s="62"/>
    </row>
    <row r="86" spans="2:13" s="1" customFormat="1" ht="121.5" customHeight="1">
      <c r="B86" s="104" t="s">
        <v>132</v>
      </c>
      <c r="C86" s="23" t="s">
        <v>32</v>
      </c>
      <c r="D86" s="23" t="s">
        <v>29</v>
      </c>
      <c r="E86" s="24">
        <v>22680</v>
      </c>
      <c r="F86" s="25" t="s">
        <v>61</v>
      </c>
      <c r="G86" s="26" t="s">
        <v>150</v>
      </c>
      <c r="H86" s="48" t="s">
        <v>157</v>
      </c>
      <c r="J86" s="62"/>
      <c r="L86" s="62"/>
      <c r="M86" s="62"/>
    </row>
    <row r="87" spans="2:13" s="1" customFormat="1" ht="87.75" customHeight="1">
      <c r="B87" s="104" t="s">
        <v>132</v>
      </c>
      <c r="C87" s="23" t="s">
        <v>32</v>
      </c>
      <c r="D87" s="23" t="s">
        <v>29</v>
      </c>
      <c r="E87" s="24">
        <v>16410000</v>
      </c>
      <c r="F87" s="25" t="s">
        <v>61</v>
      </c>
      <c r="G87" s="26" t="s">
        <v>125</v>
      </c>
      <c r="H87" s="48" t="s">
        <v>98</v>
      </c>
      <c r="J87" s="62"/>
      <c r="K87" s="62"/>
    </row>
    <row r="88" spans="2:13" s="1" customFormat="1" ht="60" customHeight="1">
      <c r="B88" s="127" t="s">
        <v>137</v>
      </c>
      <c r="C88" s="128"/>
      <c r="D88" s="128"/>
      <c r="E88" s="16">
        <f>SUM(E89:E93)</f>
        <v>1700000</v>
      </c>
      <c r="F88" s="13"/>
      <c r="G88" s="14"/>
      <c r="H88" s="10"/>
      <c r="I88" s="61"/>
      <c r="J88" s="105"/>
    </row>
    <row r="89" spans="2:13" s="1" customFormat="1" ht="36.75" customHeight="1">
      <c r="B89" s="104" t="s">
        <v>132</v>
      </c>
      <c r="C89" s="23" t="s">
        <v>7</v>
      </c>
      <c r="D89" s="23" t="s">
        <v>28</v>
      </c>
      <c r="E89" s="24">
        <v>42272.9</v>
      </c>
      <c r="F89" s="25" t="s">
        <v>64</v>
      </c>
      <c r="G89" s="26" t="s">
        <v>125</v>
      </c>
      <c r="H89" s="41"/>
    </row>
    <row r="90" spans="2:13" s="1" customFormat="1" ht="51" customHeight="1">
      <c r="B90" s="104" t="s">
        <v>132</v>
      </c>
      <c r="C90" s="23" t="s">
        <v>32</v>
      </c>
      <c r="D90" s="23" t="s">
        <v>29</v>
      </c>
      <c r="E90" s="24">
        <v>60607.14</v>
      </c>
      <c r="F90" s="25" t="s">
        <v>64</v>
      </c>
      <c r="G90" s="26" t="s">
        <v>125</v>
      </c>
      <c r="H90" s="41"/>
      <c r="J90" s="62"/>
    </row>
    <row r="91" spans="2:13" s="1" customFormat="1" ht="45" customHeight="1">
      <c r="B91" s="104" t="s">
        <v>132</v>
      </c>
      <c r="C91" s="23" t="s">
        <v>89</v>
      </c>
      <c r="D91" s="23" t="s">
        <v>90</v>
      </c>
      <c r="E91" s="24">
        <v>798000</v>
      </c>
      <c r="F91" s="25" t="s">
        <v>64</v>
      </c>
      <c r="G91" s="26" t="s">
        <v>125</v>
      </c>
      <c r="H91" s="48"/>
    </row>
    <row r="92" spans="2:13" s="1" customFormat="1" ht="78.75">
      <c r="B92" s="104" t="s">
        <v>132</v>
      </c>
      <c r="C92" s="23" t="s">
        <v>24</v>
      </c>
      <c r="D92" s="23" t="s">
        <v>71</v>
      </c>
      <c r="E92" s="24">
        <v>69239.960000000006</v>
      </c>
      <c r="F92" s="25" t="s">
        <v>61</v>
      </c>
      <c r="G92" s="26" t="s">
        <v>125</v>
      </c>
      <c r="H92" s="48" t="s">
        <v>129</v>
      </c>
      <c r="J92" s="62"/>
    </row>
    <row r="93" spans="2:13" s="1" customFormat="1" ht="67.5">
      <c r="B93" s="104" t="s">
        <v>132</v>
      </c>
      <c r="C93" s="23" t="s">
        <v>24</v>
      </c>
      <c r="D93" s="23" t="s">
        <v>71</v>
      </c>
      <c r="E93" s="24">
        <v>729880</v>
      </c>
      <c r="F93" s="25" t="s">
        <v>61</v>
      </c>
      <c r="G93" s="26" t="s">
        <v>152</v>
      </c>
      <c r="H93" s="48" t="s">
        <v>98</v>
      </c>
    </row>
    <row r="94" spans="2:13" s="1" customFormat="1" ht="65.25" customHeight="1">
      <c r="B94" s="127" t="s">
        <v>138</v>
      </c>
      <c r="C94" s="128"/>
      <c r="D94" s="128"/>
      <c r="E94" s="16">
        <f>SUM(E95:E97)</f>
        <v>1753700.5</v>
      </c>
      <c r="F94" s="13"/>
      <c r="G94" s="14"/>
      <c r="H94" s="10"/>
      <c r="I94" s="61"/>
      <c r="J94" s="62"/>
    </row>
    <row r="95" spans="2:13" s="1" customFormat="1" ht="33.75">
      <c r="B95" s="104" t="s">
        <v>132</v>
      </c>
      <c r="C95" s="36" t="s">
        <v>25</v>
      </c>
      <c r="D95" s="36" t="s">
        <v>69</v>
      </c>
      <c r="E95" s="24">
        <f>55000+145000</f>
        <v>200000</v>
      </c>
      <c r="F95" s="43" t="s">
        <v>64</v>
      </c>
      <c r="G95" s="26" t="s">
        <v>125</v>
      </c>
      <c r="H95" s="44"/>
    </row>
    <row r="96" spans="2:13" s="1" customFormat="1" ht="78.75">
      <c r="B96" s="104" t="s">
        <v>132</v>
      </c>
      <c r="C96" s="23">
        <v>85100000</v>
      </c>
      <c r="D96" s="23" t="s">
        <v>71</v>
      </c>
      <c r="E96" s="24">
        <v>127500.5</v>
      </c>
      <c r="F96" s="25" t="s">
        <v>61</v>
      </c>
      <c r="G96" s="26" t="s">
        <v>125</v>
      </c>
      <c r="H96" s="45" t="s">
        <v>124</v>
      </c>
    </row>
    <row r="97" spans="2:11" s="1" customFormat="1" ht="60.75" customHeight="1">
      <c r="B97" s="104" t="s">
        <v>132</v>
      </c>
      <c r="C97" s="23">
        <v>85100000</v>
      </c>
      <c r="D97" s="23" t="s">
        <v>71</v>
      </c>
      <c r="E97" s="24">
        <f>1460000+111200-145000</f>
        <v>1426200</v>
      </c>
      <c r="F97" s="25" t="s">
        <v>61</v>
      </c>
      <c r="G97" s="26" t="s">
        <v>125</v>
      </c>
      <c r="H97" s="48" t="s">
        <v>98</v>
      </c>
      <c r="K97" s="62"/>
    </row>
    <row r="98" spans="2:11" s="1" customFormat="1" ht="61.5" customHeight="1">
      <c r="B98" s="127" t="s">
        <v>139</v>
      </c>
      <c r="C98" s="128"/>
      <c r="D98" s="128"/>
      <c r="E98" s="16">
        <f>SUM(E99:E100)</f>
        <v>184166.6</v>
      </c>
      <c r="F98" s="13"/>
      <c r="G98" s="14"/>
      <c r="H98" s="10"/>
      <c r="I98" s="61"/>
      <c r="J98" s="62"/>
    </row>
    <row r="99" spans="2:11" s="18" customFormat="1" ht="70.5" customHeight="1">
      <c r="B99" s="65" t="s">
        <v>132</v>
      </c>
      <c r="C99" s="23" t="s">
        <v>24</v>
      </c>
      <c r="D99" s="23" t="s">
        <v>71</v>
      </c>
      <c r="E99" s="56">
        <v>14166.6</v>
      </c>
      <c r="F99" s="25" t="s">
        <v>61</v>
      </c>
      <c r="G99" s="26" t="s">
        <v>125</v>
      </c>
      <c r="H99" s="48" t="s">
        <v>76</v>
      </c>
    </row>
    <row r="100" spans="2:11" s="1" customFormat="1" ht="75" customHeight="1">
      <c r="B100" s="104" t="s">
        <v>132</v>
      </c>
      <c r="C100" s="23" t="s">
        <v>24</v>
      </c>
      <c r="D100" s="23" t="s">
        <v>71</v>
      </c>
      <c r="E100" s="24">
        <v>170000</v>
      </c>
      <c r="F100" s="25" t="s">
        <v>61</v>
      </c>
      <c r="G100" s="26" t="s">
        <v>125</v>
      </c>
      <c r="H100" s="48" t="s">
        <v>98</v>
      </c>
    </row>
    <row r="101" spans="2:11" s="1" customFormat="1" ht="65.25" customHeight="1">
      <c r="B101" s="138" t="s">
        <v>140</v>
      </c>
      <c r="C101" s="139"/>
      <c r="D101" s="139"/>
      <c r="E101" s="16">
        <f>SUM(E102:E108)</f>
        <v>1090000</v>
      </c>
      <c r="F101" s="13"/>
      <c r="G101" s="14"/>
      <c r="H101" s="60"/>
      <c r="I101" s="61"/>
      <c r="J101" s="62"/>
    </row>
    <row r="102" spans="2:11" s="1" customFormat="1" ht="49.5" customHeight="1">
      <c r="B102" s="104" t="s">
        <v>132</v>
      </c>
      <c r="C102" s="23" t="s">
        <v>14</v>
      </c>
      <c r="D102" s="23" t="s">
        <v>15</v>
      </c>
      <c r="E102" s="24">
        <v>24200</v>
      </c>
      <c r="F102" s="25" t="s">
        <v>60</v>
      </c>
      <c r="G102" s="26" t="s">
        <v>125</v>
      </c>
      <c r="H102" s="41"/>
    </row>
    <row r="103" spans="2:11" s="1" customFormat="1" ht="33.75">
      <c r="B103" s="104" t="s">
        <v>132</v>
      </c>
      <c r="C103" s="28">
        <v>33100000</v>
      </c>
      <c r="D103" s="28" t="s">
        <v>28</v>
      </c>
      <c r="E103" s="24">
        <f>240004-87983</f>
        <v>152021</v>
      </c>
      <c r="F103" s="29" t="s">
        <v>64</v>
      </c>
      <c r="G103" s="26" t="s">
        <v>125</v>
      </c>
      <c r="H103" s="46"/>
    </row>
    <row r="104" spans="2:11" s="18" customFormat="1" ht="25.5">
      <c r="B104" s="65" t="s">
        <v>132</v>
      </c>
      <c r="C104" s="99" t="s">
        <v>32</v>
      </c>
      <c r="D104" s="78" t="s">
        <v>29</v>
      </c>
      <c r="E104" s="56">
        <v>33830</v>
      </c>
      <c r="F104" s="100" t="s">
        <v>64</v>
      </c>
      <c r="G104" s="80" t="s">
        <v>178</v>
      </c>
      <c r="H104" s="118"/>
    </row>
    <row r="105" spans="2:11" s="18" customFormat="1" ht="25.5">
      <c r="B105" s="65" t="s">
        <v>132</v>
      </c>
      <c r="C105" s="99" t="s">
        <v>184</v>
      </c>
      <c r="D105" s="78" t="s">
        <v>185</v>
      </c>
      <c r="E105" s="56">
        <v>2980</v>
      </c>
      <c r="F105" s="100" t="s">
        <v>64</v>
      </c>
      <c r="G105" s="80" t="s">
        <v>178</v>
      </c>
      <c r="H105" s="118"/>
    </row>
    <row r="106" spans="2:11" s="18" customFormat="1" ht="60.75" customHeight="1">
      <c r="B106" s="65" t="s">
        <v>132</v>
      </c>
      <c r="C106" s="78" t="s">
        <v>59</v>
      </c>
      <c r="D106" s="78" t="s">
        <v>44</v>
      </c>
      <c r="E106" s="56">
        <v>15000</v>
      </c>
      <c r="F106" s="79" t="s">
        <v>64</v>
      </c>
      <c r="G106" s="80" t="s">
        <v>125</v>
      </c>
      <c r="H106" s="86"/>
    </row>
    <row r="107" spans="2:11" s="18" customFormat="1" ht="75" customHeight="1">
      <c r="B107" s="65" t="s">
        <v>132</v>
      </c>
      <c r="C107" s="78">
        <v>85100000</v>
      </c>
      <c r="D107" s="78" t="s">
        <v>71</v>
      </c>
      <c r="E107" s="56">
        <v>48983</v>
      </c>
      <c r="F107" s="79" t="s">
        <v>61</v>
      </c>
      <c r="G107" s="80" t="s">
        <v>125</v>
      </c>
      <c r="H107" s="111" t="s">
        <v>126</v>
      </c>
      <c r="J107" s="21"/>
    </row>
    <row r="108" spans="2:11" s="18" customFormat="1" ht="65.25" customHeight="1">
      <c r="B108" s="65" t="s">
        <v>132</v>
      </c>
      <c r="C108" s="78">
        <v>85100000</v>
      </c>
      <c r="D108" s="78" t="s">
        <v>71</v>
      </c>
      <c r="E108" s="56">
        <f>1071996+37800-260000-33830-2980</f>
        <v>812986</v>
      </c>
      <c r="F108" s="79" t="s">
        <v>61</v>
      </c>
      <c r="G108" s="80" t="s">
        <v>125</v>
      </c>
      <c r="H108" s="111" t="s">
        <v>98</v>
      </c>
    </row>
    <row r="109" spans="2:11" s="1" customFormat="1" ht="80.25" customHeight="1">
      <c r="B109" s="127" t="s">
        <v>141</v>
      </c>
      <c r="C109" s="128"/>
      <c r="D109" s="128"/>
      <c r="E109" s="16">
        <f>SUM(E110:E110)</f>
        <v>1250000</v>
      </c>
      <c r="F109" s="13"/>
      <c r="G109" s="14"/>
      <c r="H109" s="10"/>
      <c r="I109" s="61"/>
      <c r="J109" s="62"/>
    </row>
    <row r="110" spans="2:11" s="1" customFormat="1" ht="84.75" customHeight="1">
      <c r="B110" s="104" t="s">
        <v>132</v>
      </c>
      <c r="C110" s="23" t="s">
        <v>32</v>
      </c>
      <c r="D110" s="23" t="s">
        <v>29</v>
      </c>
      <c r="E110" s="24">
        <v>1250000</v>
      </c>
      <c r="F110" s="25" t="s">
        <v>61</v>
      </c>
      <c r="G110" s="26" t="s">
        <v>125</v>
      </c>
      <c r="H110" s="48" t="s">
        <v>98</v>
      </c>
    </row>
    <row r="111" spans="2:11" s="1" customFormat="1" ht="57.75" customHeight="1">
      <c r="B111" s="136" t="s">
        <v>142</v>
      </c>
      <c r="C111" s="137"/>
      <c r="D111" s="137"/>
      <c r="E111" s="57">
        <f>SUM(E112:E115)</f>
        <v>3880000</v>
      </c>
      <c r="F111" s="58"/>
      <c r="G111" s="58"/>
      <c r="H111" s="59"/>
      <c r="I111" s="61"/>
      <c r="J111" s="62"/>
    </row>
    <row r="112" spans="2:11" s="18" customFormat="1" ht="29.25" customHeight="1">
      <c r="B112" s="65" t="s">
        <v>132</v>
      </c>
      <c r="C112" s="38">
        <v>33100000</v>
      </c>
      <c r="D112" s="23" t="s">
        <v>8</v>
      </c>
      <c r="E112" s="56">
        <v>124876.2</v>
      </c>
      <c r="F112" s="25" t="s">
        <v>64</v>
      </c>
      <c r="G112" s="26" t="s">
        <v>125</v>
      </c>
      <c r="H112" s="26"/>
      <c r="J112" s="21"/>
    </row>
    <row r="113" spans="2:11" s="18" customFormat="1" ht="33.75">
      <c r="B113" s="65" t="s">
        <v>132</v>
      </c>
      <c r="C113" s="77" t="s">
        <v>32</v>
      </c>
      <c r="D113" s="78" t="s">
        <v>9</v>
      </c>
      <c r="E113" s="56">
        <f>2995349.4-3495.8-99984.41-120000</f>
        <v>2771869.19</v>
      </c>
      <c r="F113" s="79" t="s">
        <v>64</v>
      </c>
      <c r="G113" s="80" t="s">
        <v>125</v>
      </c>
      <c r="H113" s="80"/>
    </row>
    <row r="114" spans="2:11" s="1" customFormat="1" ht="67.5">
      <c r="B114" s="104" t="s">
        <v>132</v>
      </c>
      <c r="C114" s="38" t="s">
        <v>24</v>
      </c>
      <c r="D114" s="23" t="s">
        <v>71</v>
      </c>
      <c r="E114" s="24">
        <v>73605.850000000006</v>
      </c>
      <c r="F114" s="25" t="s">
        <v>61</v>
      </c>
      <c r="G114" s="26" t="s">
        <v>125</v>
      </c>
      <c r="H114" s="45" t="s">
        <v>127</v>
      </c>
    </row>
    <row r="115" spans="2:11" s="1" customFormat="1" ht="83.25" customHeight="1">
      <c r="B115" s="104" t="s">
        <v>132</v>
      </c>
      <c r="C115" s="23" t="s">
        <v>24</v>
      </c>
      <c r="D115" s="23" t="s">
        <v>71</v>
      </c>
      <c r="E115" s="24">
        <v>909648.76</v>
      </c>
      <c r="F115" s="25" t="s">
        <v>61</v>
      </c>
      <c r="G115" s="26" t="s">
        <v>152</v>
      </c>
      <c r="H115" s="32" t="s">
        <v>98</v>
      </c>
    </row>
    <row r="116" spans="2:11" ht="122.25" customHeight="1">
      <c r="B116" s="127" t="s">
        <v>143</v>
      </c>
      <c r="C116" s="128"/>
      <c r="D116" s="128"/>
      <c r="E116" s="16">
        <f>SUM(E117)</f>
        <v>2190000</v>
      </c>
      <c r="F116" s="13"/>
      <c r="G116" s="14"/>
      <c r="H116" s="10"/>
      <c r="I116" s="61"/>
      <c r="J116" s="63"/>
    </row>
    <row r="117" spans="2:11" s="1" customFormat="1" ht="117.75" customHeight="1">
      <c r="B117" s="104" t="s">
        <v>132</v>
      </c>
      <c r="C117" s="23" t="s">
        <v>32</v>
      </c>
      <c r="D117" s="23" t="s">
        <v>29</v>
      </c>
      <c r="E117" s="24">
        <v>2190000</v>
      </c>
      <c r="F117" s="25" t="s">
        <v>61</v>
      </c>
      <c r="G117" s="26" t="s">
        <v>152</v>
      </c>
      <c r="H117" s="48" t="s">
        <v>98</v>
      </c>
    </row>
    <row r="118" spans="2:11" s="1" customFormat="1" ht="57" customHeight="1">
      <c r="B118" s="138" t="s">
        <v>144</v>
      </c>
      <c r="C118" s="139"/>
      <c r="D118" s="139"/>
      <c r="E118" s="16">
        <f>SUM(E119:E123)</f>
        <v>474000</v>
      </c>
      <c r="F118" s="13"/>
      <c r="G118" s="60"/>
      <c r="H118" s="60"/>
      <c r="I118" s="61"/>
      <c r="J118" s="62"/>
    </row>
    <row r="119" spans="2:11" s="1" customFormat="1" ht="59.25" customHeight="1">
      <c r="B119" s="104" t="s">
        <v>148</v>
      </c>
      <c r="C119" s="23">
        <v>33100000</v>
      </c>
      <c r="D119" s="23" t="s">
        <v>28</v>
      </c>
      <c r="E119" s="24">
        <f>20000+14559.87+22385.83</f>
        <v>56945.700000000004</v>
      </c>
      <c r="F119" s="25" t="s">
        <v>64</v>
      </c>
      <c r="G119" s="26" t="s">
        <v>125</v>
      </c>
      <c r="H119" s="41"/>
    </row>
    <row r="120" spans="2:11" s="1" customFormat="1" ht="38.25">
      <c r="B120" s="104" t="s">
        <v>148</v>
      </c>
      <c r="C120" s="36">
        <v>33600000</v>
      </c>
      <c r="D120" s="36" t="s">
        <v>29</v>
      </c>
      <c r="E120" s="24">
        <f>266824.3+68000-17770</f>
        <v>317054.3</v>
      </c>
      <c r="F120" s="43" t="s">
        <v>64</v>
      </c>
      <c r="G120" s="26" t="s">
        <v>125</v>
      </c>
      <c r="H120" s="44"/>
    </row>
    <row r="121" spans="2:11" s="1" customFormat="1" ht="78.75">
      <c r="B121" s="104" t="s">
        <v>132</v>
      </c>
      <c r="C121" s="38" t="s">
        <v>103</v>
      </c>
      <c r="D121" s="23" t="s">
        <v>71</v>
      </c>
      <c r="E121" s="24">
        <v>6870</v>
      </c>
      <c r="F121" s="25" t="s">
        <v>61</v>
      </c>
      <c r="G121" s="26" t="s">
        <v>125</v>
      </c>
      <c r="H121" s="45" t="s">
        <v>130</v>
      </c>
    </row>
    <row r="122" spans="2:11" s="1" customFormat="1" ht="67.5">
      <c r="B122" s="104" t="s">
        <v>132</v>
      </c>
      <c r="C122" s="38" t="s">
        <v>103</v>
      </c>
      <c r="D122" s="23" t="s">
        <v>71</v>
      </c>
      <c r="E122" s="24">
        <f>13740+6870</f>
        <v>20610</v>
      </c>
      <c r="F122" s="25" t="s">
        <v>61</v>
      </c>
      <c r="G122" s="26" t="s">
        <v>152</v>
      </c>
      <c r="H122" s="48" t="s">
        <v>98</v>
      </c>
      <c r="J122" s="62"/>
      <c r="K122" s="62"/>
    </row>
    <row r="123" spans="2:11" s="1" customFormat="1" ht="51" customHeight="1">
      <c r="B123" s="104" t="s">
        <v>132</v>
      </c>
      <c r="C123" s="38" t="s">
        <v>24</v>
      </c>
      <c r="D123" s="23" t="s">
        <v>71</v>
      </c>
      <c r="E123" s="24">
        <v>72520</v>
      </c>
      <c r="F123" s="25" t="s">
        <v>64</v>
      </c>
      <c r="G123" s="26" t="s">
        <v>153</v>
      </c>
      <c r="H123" s="45"/>
      <c r="J123" s="62"/>
      <c r="K123" s="62"/>
    </row>
    <row r="124" spans="2:11" ht="59.25" customHeight="1">
      <c r="B124" s="127" t="s">
        <v>145</v>
      </c>
      <c r="C124" s="128"/>
      <c r="D124" s="128"/>
      <c r="E124" s="16">
        <f>SUM(E125:E128)</f>
        <v>2100000</v>
      </c>
      <c r="F124" s="13"/>
      <c r="G124" s="14"/>
      <c r="H124" s="10"/>
      <c r="I124" s="61"/>
      <c r="J124" s="63"/>
    </row>
    <row r="125" spans="2:11" s="18" customFormat="1" ht="42.75" customHeight="1">
      <c r="B125" s="104" t="s">
        <v>132</v>
      </c>
      <c r="C125" s="23" t="s">
        <v>25</v>
      </c>
      <c r="D125" s="23" t="s">
        <v>69</v>
      </c>
      <c r="E125" s="24">
        <f>2100000-115976-175000</f>
        <v>1809024</v>
      </c>
      <c r="F125" s="25" t="s">
        <v>64</v>
      </c>
      <c r="G125" s="26" t="s">
        <v>125</v>
      </c>
      <c r="H125" s="53"/>
    </row>
    <row r="126" spans="2:11" s="1" customFormat="1" ht="42.75" customHeight="1">
      <c r="B126" s="104" t="s">
        <v>132</v>
      </c>
      <c r="C126" s="23" t="s">
        <v>25</v>
      </c>
      <c r="D126" s="23" t="s">
        <v>69</v>
      </c>
      <c r="E126" s="24">
        <f>5976</f>
        <v>5976</v>
      </c>
      <c r="F126" s="25" t="s">
        <v>61</v>
      </c>
      <c r="G126" s="26" t="s">
        <v>152</v>
      </c>
      <c r="H126" s="48" t="s">
        <v>98</v>
      </c>
    </row>
    <row r="127" spans="2:11" s="1" customFormat="1" ht="42.75" customHeight="1">
      <c r="B127" s="104" t="s">
        <v>132</v>
      </c>
      <c r="C127" s="23" t="s">
        <v>176</v>
      </c>
      <c r="D127" s="23" t="s">
        <v>177</v>
      </c>
      <c r="E127" s="24">
        <v>175000</v>
      </c>
      <c r="F127" s="25" t="s">
        <v>64</v>
      </c>
      <c r="G127" s="26" t="s">
        <v>178</v>
      </c>
      <c r="H127" s="48"/>
    </row>
    <row r="128" spans="2:11" s="1" customFormat="1" ht="80.25" customHeight="1">
      <c r="B128" s="104" t="s">
        <v>132</v>
      </c>
      <c r="C128" s="23" t="s">
        <v>154</v>
      </c>
      <c r="D128" s="23" t="s">
        <v>155</v>
      </c>
      <c r="E128" s="24">
        <f>115976-5976</f>
        <v>110000</v>
      </c>
      <c r="F128" s="25" t="s">
        <v>61</v>
      </c>
      <c r="G128" s="26" t="s">
        <v>152</v>
      </c>
      <c r="H128" s="48" t="s">
        <v>98</v>
      </c>
    </row>
    <row r="129" spans="2:10" ht="70.5" customHeight="1">
      <c r="B129" s="127" t="s">
        <v>146</v>
      </c>
      <c r="C129" s="128"/>
      <c r="D129" s="128"/>
      <c r="E129" s="16">
        <f>SUM(E130:E133)</f>
        <v>442800</v>
      </c>
      <c r="F129" s="13"/>
      <c r="G129" s="14"/>
      <c r="H129" s="10"/>
      <c r="I129" s="61"/>
      <c r="J129" s="63"/>
    </row>
    <row r="130" spans="2:10" s="18" customFormat="1" ht="33.75">
      <c r="B130" s="65" t="s">
        <v>132</v>
      </c>
      <c r="C130" s="99" t="s">
        <v>32</v>
      </c>
      <c r="D130" s="99" t="s">
        <v>29</v>
      </c>
      <c r="E130" s="56">
        <f>264000-4020</f>
        <v>259980</v>
      </c>
      <c r="F130" s="100" t="s">
        <v>64</v>
      </c>
      <c r="G130" s="80" t="s">
        <v>125</v>
      </c>
      <c r="H130" s="101"/>
    </row>
    <row r="131" spans="2:10" s="18" customFormat="1" ht="33.75">
      <c r="B131" s="65" t="s">
        <v>132</v>
      </c>
      <c r="C131" s="99" t="s">
        <v>7</v>
      </c>
      <c r="D131" s="99" t="s">
        <v>28</v>
      </c>
      <c r="E131" s="56">
        <f>132000-62000</f>
        <v>70000</v>
      </c>
      <c r="F131" s="100" t="s">
        <v>64</v>
      </c>
      <c r="G131" s="80" t="s">
        <v>125</v>
      </c>
      <c r="H131" s="117"/>
    </row>
    <row r="132" spans="2:10" s="18" customFormat="1" ht="25.5">
      <c r="B132" s="65" t="s">
        <v>132</v>
      </c>
      <c r="C132" s="99" t="s">
        <v>7</v>
      </c>
      <c r="D132" s="99" t="s">
        <v>28</v>
      </c>
      <c r="E132" s="56">
        <v>62000</v>
      </c>
      <c r="F132" s="79" t="s">
        <v>60</v>
      </c>
      <c r="G132" s="80" t="s">
        <v>178</v>
      </c>
      <c r="H132" s="117"/>
    </row>
    <row r="133" spans="2:10" s="1" customFormat="1" ht="33.75">
      <c r="B133" s="104" t="s">
        <v>132</v>
      </c>
      <c r="C133" s="23" t="s">
        <v>14</v>
      </c>
      <c r="D133" s="23" t="s">
        <v>40</v>
      </c>
      <c r="E133" s="24">
        <f>4020+46800</f>
        <v>50820</v>
      </c>
      <c r="F133" s="25" t="s">
        <v>60</v>
      </c>
      <c r="G133" s="26" t="s">
        <v>125</v>
      </c>
      <c r="H133" s="23"/>
    </row>
  </sheetData>
  <autoFilter ref="A8:H133"/>
  <mergeCells count="20">
    <mergeCell ref="B94:D94"/>
    <mergeCell ref="B2:H2"/>
    <mergeCell ref="B3:H3"/>
    <mergeCell ref="B4:E4"/>
    <mergeCell ref="F4:H4"/>
    <mergeCell ref="B5:E5"/>
    <mergeCell ref="F5:H5"/>
    <mergeCell ref="B6:F6"/>
    <mergeCell ref="B9:D9"/>
    <mergeCell ref="B76:D76"/>
    <mergeCell ref="B82:D82"/>
    <mergeCell ref="B88:D88"/>
    <mergeCell ref="B124:D124"/>
    <mergeCell ref="B129:D129"/>
    <mergeCell ref="B98:D98"/>
    <mergeCell ref="B101:D101"/>
    <mergeCell ref="B109:D109"/>
    <mergeCell ref="B111:D111"/>
    <mergeCell ref="B116:D116"/>
    <mergeCell ref="B118:D11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opLeftCell="B136" zoomScaleNormal="100" zoomScaleSheetLayoutView="80" workbookViewId="0">
      <selection activeCell="H142" sqref="H14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E9+E77+E83+E89+E95+E99+E102+E110+E112+E117+E119+E125+E130</f>
        <v>43645730.600000001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SUM(E10:E76)</f>
        <v>4479063.5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7" t="s">
        <v>132</v>
      </c>
      <c r="C18" s="68" t="s">
        <v>191</v>
      </c>
      <c r="D18" s="68" t="s">
        <v>192</v>
      </c>
      <c r="E18" s="69">
        <v>2100</v>
      </c>
      <c r="F18" s="70" t="s">
        <v>64</v>
      </c>
      <c r="G18" s="68" t="s">
        <v>173</v>
      </c>
      <c r="H18" s="6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</f>
        <v>1362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7" t="s">
        <v>135</v>
      </c>
      <c r="C77" s="128"/>
      <c r="D77" s="128"/>
      <c r="E77" s="16">
        <f>SUM(E78:E82)</f>
        <v>2395000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</f>
        <v>1899302.4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3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3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3" s="1" customFormat="1" ht="31.5" customHeight="1">
      <c r="B83" s="127" t="s">
        <v>136</v>
      </c>
      <c r="C83" s="128"/>
      <c r="D83" s="128"/>
      <c r="E83" s="16">
        <f>SUM(E84:E88)</f>
        <v>21926000</v>
      </c>
      <c r="F83" s="13"/>
      <c r="G83" s="9"/>
      <c r="H83" s="10"/>
      <c r="I83" s="61"/>
      <c r="J83" s="62"/>
    </row>
    <row r="84" spans="2:13" s="1" customFormat="1" ht="75.75" customHeight="1">
      <c r="B84" s="104" t="s">
        <v>132</v>
      </c>
      <c r="C84" s="23" t="s">
        <v>7</v>
      </c>
      <c r="D84" s="23" t="s">
        <v>57</v>
      </c>
      <c r="E84" s="24">
        <f>3750000+400000</f>
        <v>4150000</v>
      </c>
      <c r="F84" s="25" t="s">
        <v>61</v>
      </c>
      <c r="G84" s="26" t="s">
        <v>125</v>
      </c>
      <c r="H84" s="48" t="s">
        <v>97</v>
      </c>
    </row>
    <row r="85" spans="2:13" s="1" customFormat="1" ht="75.75" customHeight="1">
      <c r="B85" s="66" t="s">
        <v>133</v>
      </c>
      <c r="C85" s="23" t="s">
        <v>7</v>
      </c>
      <c r="D85" s="23" t="s">
        <v>57</v>
      </c>
      <c r="E85" s="24">
        <v>100000</v>
      </c>
      <c r="F85" s="25" t="s">
        <v>61</v>
      </c>
      <c r="G85" s="26" t="s">
        <v>125</v>
      </c>
      <c r="H85" s="48" t="s">
        <v>97</v>
      </c>
    </row>
    <row r="86" spans="2:13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</f>
        <v>1243320</v>
      </c>
      <c r="F86" s="70" t="s">
        <v>64</v>
      </c>
      <c r="G86" s="71" t="s">
        <v>125</v>
      </c>
      <c r="H86" s="73"/>
      <c r="J86" s="62"/>
      <c r="L86" s="62"/>
      <c r="M86" s="62"/>
    </row>
    <row r="87" spans="2:13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J87" s="62"/>
      <c r="L87" s="62"/>
      <c r="M87" s="62"/>
    </row>
    <row r="88" spans="2:13" s="1" customFormat="1" ht="87.75" customHeight="1">
      <c r="B88" s="104" t="s">
        <v>132</v>
      </c>
      <c r="C88" s="23" t="s">
        <v>32</v>
      </c>
      <c r="D88" s="23" t="s">
        <v>29</v>
      </c>
      <c r="E88" s="24">
        <v>16410000</v>
      </c>
      <c r="F88" s="25" t="s">
        <v>61</v>
      </c>
      <c r="G88" s="26" t="s">
        <v>125</v>
      </c>
      <c r="H88" s="48" t="s">
        <v>98</v>
      </c>
      <c r="J88" s="62"/>
      <c r="K88" s="62"/>
    </row>
    <row r="89" spans="2:13" s="1" customFormat="1" ht="60" customHeight="1">
      <c r="B89" s="127" t="s">
        <v>137</v>
      </c>
      <c r="C89" s="128"/>
      <c r="D89" s="128"/>
      <c r="E89" s="16">
        <f>SUM(E90:E94)</f>
        <v>1700000</v>
      </c>
      <c r="F89" s="13"/>
      <c r="G89" s="14"/>
      <c r="H89" s="10"/>
      <c r="I89" s="61"/>
      <c r="J89" s="105"/>
    </row>
    <row r="90" spans="2:13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3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3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3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3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3" s="1" customFormat="1" ht="65.25" customHeight="1">
      <c r="B95" s="127" t="s">
        <v>138</v>
      </c>
      <c r="C95" s="128"/>
      <c r="D95" s="128"/>
      <c r="E95" s="16">
        <f>SUM(E96:E98)</f>
        <v>1753700.5</v>
      </c>
      <c r="F95" s="13"/>
      <c r="G95" s="14"/>
      <c r="H95" s="10"/>
      <c r="I95" s="61"/>
      <c r="J95" s="62"/>
    </row>
    <row r="96" spans="2:13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7" t="s">
        <v>139</v>
      </c>
      <c r="C99" s="128"/>
      <c r="D99" s="128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8" t="s">
        <v>140</v>
      </c>
      <c r="C102" s="139"/>
      <c r="D102" s="139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7" t="s">
        <v>141</v>
      </c>
      <c r="C110" s="128"/>
      <c r="D110" s="128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6" t="s">
        <v>142</v>
      </c>
      <c r="C112" s="137"/>
      <c r="D112" s="137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7" t="s">
        <v>143</v>
      </c>
      <c r="C117" s="128"/>
      <c r="D117" s="128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8" t="s">
        <v>144</v>
      </c>
      <c r="C119" s="139"/>
      <c r="D119" s="139"/>
      <c r="E119" s="16">
        <f>SUM(E120:E124)</f>
        <v>255000</v>
      </c>
      <c r="F119" s="13"/>
      <c r="G119" s="60"/>
      <c r="H119" s="60"/>
      <c r="I119" s="61"/>
      <c r="J119" s="62"/>
    </row>
    <row r="120" spans="2:11" s="1" customFormat="1" ht="59.25" customHeight="1">
      <c r="B120" s="67" t="s">
        <v>148</v>
      </c>
      <c r="C120" s="68">
        <v>33100000</v>
      </c>
      <c r="D120" s="68" t="s">
        <v>28</v>
      </c>
      <c r="E120" s="69">
        <v>0</v>
      </c>
      <c r="F120" s="70" t="s">
        <v>64</v>
      </c>
      <c r="G120" s="71" t="s">
        <v>125</v>
      </c>
      <c r="H120" s="73"/>
    </row>
    <row r="121" spans="2:11" s="1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</f>
        <v>155000</v>
      </c>
      <c r="F121" s="94" t="s">
        <v>64</v>
      </c>
      <c r="G121" s="71" t="s">
        <v>125</v>
      </c>
      <c r="H121" s="95"/>
    </row>
    <row r="122" spans="2:11" s="1" customFormat="1" ht="78.75">
      <c r="B122" s="104" t="s">
        <v>132</v>
      </c>
      <c r="C122" s="38" t="s">
        <v>103</v>
      </c>
      <c r="D122" s="23" t="s">
        <v>71</v>
      </c>
      <c r="E122" s="24">
        <v>6870</v>
      </c>
      <c r="F122" s="25" t="s">
        <v>61</v>
      </c>
      <c r="G122" s="26" t="s">
        <v>125</v>
      </c>
      <c r="H122" s="45" t="s">
        <v>130</v>
      </c>
    </row>
    <row r="123" spans="2:11" s="1" customFormat="1" ht="67.5">
      <c r="B123" s="104" t="s">
        <v>132</v>
      </c>
      <c r="C123" s="38" t="s">
        <v>103</v>
      </c>
      <c r="D123" s="23" t="s">
        <v>71</v>
      </c>
      <c r="E123" s="24">
        <f>13740+6870</f>
        <v>20610</v>
      </c>
      <c r="F123" s="25" t="s">
        <v>61</v>
      </c>
      <c r="G123" s="26" t="s">
        <v>152</v>
      </c>
      <c r="H123" s="48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7" t="s">
        <v>145</v>
      </c>
      <c r="C125" s="128"/>
      <c r="D125" s="128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104" t="s">
        <v>132</v>
      </c>
      <c r="C126" s="23" t="s">
        <v>25</v>
      </c>
      <c r="D126" s="23" t="s">
        <v>69</v>
      </c>
      <c r="E126" s="24">
        <f>2100000-115976-175000</f>
        <v>1809024</v>
      </c>
      <c r="F126" s="25" t="s">
        <v>64</v>
      </c>
      <c r="G126" s="26" t="s">
        <v>125</v>
      </c>
      <c r="H126" s="53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104" t="s">
        <v>132</v>
      </c>
      <c r="C128" s="23" t="s">
        <v>176</v>
      </c>
      <c r="D128" s="23" t="s">
        <v>177</v>
      </c>
      <c r="E128" s="24">
        <v>175000</v>
      </c>
      <c r="F128" s="25" t="s">
        <v>64</v>
      </c>
      <c r="G128" s="26" t="s">
        <v>178</v>
      </c>
      <c r="H128" s="48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7" t="s">
        <v>146</v>
      </c>
      <c r="C130" s="128"/>
      <c r="D130" s="128"/>
      <c r="E130" s="16">
        <f>SUM(E131:E134)</f>
        <v>442800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5" t="s">
        <v>132</v>
      </c>
      <c r="C132" s="99" t="s">
        <v>7</v>
      </c>
      <c r="D132" s="99" t="s">
        <v>28</v>
      </c>
      <c r="E132" s="56">
        <f>132000-62000</f>
        <v>70000</v>
      </c>
      <c r="F132" s="100" t="s">
        <v>64</v>
      </c>
      <c r="G132" s="80" t="s">
        <v>125</v>
      </c>
      <c r="H132" s="117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  <mergeCell ref="B125:D125"/>
    <mergeCell ref="B130:D130"/>
    <mergeCell ref="B99:D99"/>
    <mergeCell ref="B102:D102"/>
    <mergeCell ref="B110:D110"/>
    <mergeCell ref="B112:D112"/>
    <mergeCell ref="B117:D117"/>
    <mergeCell ref="B119:D1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4"/>
  <sheetViews>
    <sheetView topLeftCell="B121" zoomScaleNormal="100" zoomScaleSheetLayoutView="80" workbookViewId="0">
      <selection activeCell="H131" sqref="H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E9+E77+E83+E89+E95+E99+E102+E110+E112+E117+E119+E125+E130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</f>
        <v>1392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7" t="s">
        <v>135</v>
      </c>
      <c r="C77" s="128"/>
      <c r="D77" s="128"/>
      <c r="E77" s="16">
        <f>SUM(E78:E82)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1710000-142500-E81-E80-100000+685000+90000</f>
        <v>1989302.4</v>
      </c>
      <c r="F78" s="70" t="s">
        <v>64</v>
      </c>
      <c r="G78" s="71" t="s">
        <v>125</v>
      </c>
      <c r="H78" s="73"/>
      <c r="J78" s="62"/>
    </row>
    <row r="79" spans="2:10" s="18" customFormat="1" ht="59.25" customHeight="1">
      <c r="B79" s="65" t="s">
        <v>132</v>
      </c>
      <c r="C79" s="78" t="s">
        <v>25</v>
      </c>
      <c r="D79" s="103" t="s">
        <v>69</v>
      </c>
      <c r="E79" s="56">
        <v>100000</v>
      </c>
      <c r="F79" s="79" t="s">
        <v>64</v>
      </c>
      <c r="G79" s="80" t="s">
        <v>187</v>
      </c>
      <c r="H79" s="111"/>
      <c r="J79" s="21"/>
    </row>
    <row r="80" spans="2:10" s="1" customFormat="1" ht="67.5">
      <c r="B80" s="104" t="s">
        <v>132</v>
      </c>
      <c r="C80" s="23" t="s">
        <v>103</v>
      </c>
      <c r="D80" s="23" t="s">
        <v>71</v>
      </c>
      <c r="E80" s="24">
        <v>33000</v>
      </c>
      <c r="F80" s="25" t="s">
        <v>61</v>
      </c>
      <c r="G80" s="26" t="s">
        <v>186</v>
      </c>
      <c r="H80" s="48" t="s">
        <v>98</v>
      </c>
      <c r="J80" s="62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220197.6</v>
      </c>
      <c r="F81" s="25" t="s">
        <v>61</v>
      </c>
      <c r="G81" s="26" t="s">
        <v>150</v>
      </c>
      <c r="H81" s="48" t="s">
        <v>98</v>
      </c>
    </row>
    <row r="82" spans="2:14" s="1" customFormat="1" ht="98.25" customHeight="1">
      <c r="B82" s="104" t="s">
        <v>132</v>
      </c>
      <c r="C82" s="23" t="s">
        <v>24</v>
      </c>
      <c r="D82" s="23" t="s">
        <v>71</v>
      </c>
      <c r="E82" s="24">
        <v>142500</v>
      </c>
      <c r="F82" s="25" t="s">
        <v>61</v>
      </c>
      <c r="G82" s="26" t="s">
        <v>125</v>
      </c>
      <c r="H82" s="48" t="s">
        <v>128</v>
      </c>
      <c r="J82" s="62"/>
    </row>
    <row r="83" spans="2:14" s="1" customFormat="1" ht="31.5" customHeight="1">
      <c r="B83" s="127" t="s">
        <v>136</v>
      </c>
      <c r="C83" s="128"/>
      <c r="D83" s="128"/>
      <c r="E83" s="16">
        <f>SUM(E84:E88)</f>
        <v>21896000</v>
      </c>
      <c r="F83" s="13"/>
      <c r="G83" s="9"/>
      <c r="H83" s="10"/>
      <c r="I83" s="61"/>
      <c r="J83" s="62"/>
    </row>
    <row r="84" spans="2:14" s="1" customFormat="1" ht="75.75" customHeight="1">
      <c r="B84" s="67" t="s">
        <v>132</v>
      </c>
      <c r="C84" s="68" t="s">
        <v>7</v>
      </c>
      <c r="D84" s="68" t="s">
        <v>57</v>
      </c>
      <c r="E84" s="69">
        <f>3750000+400000-1000000+151300</f>
        <v>3301300</v>
      </c>
      <c r="F84" s="70" t="s">
        <v>61</v>
      </c>
      <c r="G84" s="71" t="s">
        <v>125</v>
      </c>
      <c r="H84" s="92" t="s">
        <v>97</v>
      </c>
    </row>
    <row r="85" spans="2:14" s="1" customFormat="1" ht="75.75" customHeight="1">
      <c r="B85" s="93" t="s">
        <v>133</v>
      </c>
      <c r="C85" s="68" t="s">
        <v>7</v>
      </c>
      <c r="D85" s="68" t="s">
        <v>57</v>
      </c>
      <c r="E85" s="69">
        <v>154700</v>
      </c>
      <c r="F85" s="70" t="s">
        <v>61</v>
      </c>
      <c r="G85" s="71" t="s">
        <v>125</v>
      </c>
      <c r="H85" s="92" t="s">
        <v>97</v>
      </c>
      <c r="I85" s="62"/>
      <c r="J85" s="62"/>
    </row>
    <row r="86" spans="2:14" s="1" customFormat="1" ht="121.5" customHeight="1">
      <c r="B86" s="67" t="s">
        <v>132</v>
      </c>
      <c r="C86" s="68">
        <v>33600000</v>
      </c>
      <c r="D86" s="68" t="s">
        <v>29</v>
      </c>
      <c r="E86" s="69">
        <f>1440000+270000-22680-444000+402700+5692300-308320-22680</f>
        <v>7007320</v>
      </c>
      <c r="F86" s="70" t="s">
        <v>64</v>
      </c>
      <c r="G86" s="71" t="s">
        <v>125</v>
      </c>
      <c r="H86" s="73"/>
      <c r="I86" s="62"/>
      <c r="J86" s="62"/>
      <c r="K86" s="62"/>
      <c r="L86" s="62"/>
      <c r="M86" s="62"/>
    </row>
    <row r="87" spans="2:14" s="1" customFormat="1" ht="121.5" customHeight="1">
      <c r="B87" s="104" t="s">
        <v>132</v>
      </c>
      <c r="C87" s="23" t="s">
        <v>32</v>
      </c>
      <c r="D87" s="23" t="s">
        <v>29</v>
      </c>
      <c r="E87" s="24">
        <v>22680</v>
      </c>
      <c r="F87" s="25" t="s">
        <v>61</v>
      </c>
      <c r="G87" s="26" t="s">
        <v>150</v>
      </c>
      <c r="H87" s="48" t="s">
        <v>157</v>
      </c>
      <c r="I87" s="62"/>
      <c r="J87" s="62"/>
      <c r="K87" s="62"/>
      <c r="L87" s="62"/>
      <c r="M87" s="62"/>
    </row>
    <row r="88" spans="2:14" s="1" customFormat="1" ht="87.75" customHeight="1">
      <c r="B88" s="67" t="s">
        <v>132</v>
      </c>
      <c r="C88" s="68" t="s">
        <v>32</v>
      </c>
      <c r="D88" s="68" t="s">
        <v>29</v>
      </c>
      <c r="E88" s="69">
        <f>16410000-5000000</f>
        <v>11410000</v>
      </c>
      <c r="F88" s="70" t="s">
        <v>61</v>
      </c>
      <c r="G88" s="71" t="s">
        <v>125</v>
      </c>
      <c r="H88" s="92" t="s">
        <v>98</v>
      </c>
      <c r="J88" s="62"/>
      <c r="K88" s="62"/>
      <c r="M88" s="62"/>
    </row>
    <row r="89" spans="2:14" s="1" customFormat="1" ht="60" customHeight="1">
      <c r="B89" s="127" t="s">
        <v>137</v>
      </c>
      <c r="C89" s="128"/>
      <c r="D89" s="128"/>
      <c r="E89" s="16">
        <f>SUM(E90:E94)</f>
        <v>1700000</v>
      </c>
      <c r="F89" s="13"/>
      <c r="G89" s="14"/>
      <c r="H89" s="10"/>
      <c r="I89" s="61"/>
      <c r="J89" s="105"/>
      <c r="N89" s="62"/>
    </row>
    <row r="90" spans="2:14" s="1" customFormat="1" ht="36.75" customHeight="1">
      <c r="B90" s="104" t="s">
        <v>132</v>
      </c>
      <c r="C90" s="23" t="s">
        <v>7</v>
      </c>
      <c r="D90" s="23" t="s">
        <v>28</v>
      </c>
      <c r="E90" s="24">
        <v>42272.9</v>
      </c>
      <c r="F90" s="25" t="s">
        <v>64</v>
      </c>
      <c r="G90" s="26" t="s">
        <v>125</v>
      </c>
      <c r="H90" s="41"/>
    </row>
    <row r="91" spans="2:14" s="1" customFormat="1" ht="51" customHeight="1">
      <c r="B91" s="104" t="s">
        <v>132</v>
      </c>
      <c r="C91" s="23" t="s">
        <v>32</v>
      </c>
      <c r="D91" s="23" t="s">
        <v>29</v>
      </c>
      <c r="E91" s="24">
        <v>60607.14</v>
      </c>
      <c r="F91" s="25" t="s">
        <v>64</v>
      </c>
      <c r="G91" s="26" t="s">
        <v>125</v>
      </c>
      <c r="H91" s="41"/>
      <c r="J91" s="62"/>
    </row>
    <row r="92" spans="2:14" s="1" customFormat="1" ht="45" customHeight="1">
      <c r="B92" s="104" t="s">
        <v>132</v>
      </c>
      <c r="C92" s="23" t="s">
        <v>89</v>
      </c>
      <c r="D92" s="23" t="s">
        <v>90</v>
      </c>
      <c r="E92" s="24">
        <v>798000</v>
      </c>
      <c r="F92" s="25" t="s">
        <v>64</v>
      </c>
      <c r="G92" s="26" t="s">
        <v>125</v>
      </c>
      <c r="H92" s="48"/>
    </row>
    <row r="93" spans="2:14" s="1" customFormat="1" ht="78.75">
      <c r="B93" s="104" t="s">
        <v>132</v>
      </c>
      <c r="C93" s="23" t="s">
        <v>24</v>
      </c>
      <c r="D93" s="23" t="s">
        <v>71</v>
      </c>
      <c r="E93" s="24">
        <v>69239.960000000006</v>
      </c>
      <c r="F93" s="25" t="s">
        <v>61</v>
      </c>
      <c r="G93" s="26" t="s">
        <v>125</v>
      </c>
      <c r="H93" s="48" t="s">
        <v>129</v>
      </c>
      <c r="J93" s="62"/>
    </row>
    <row r="94" spans="2:14" s="1" customFormat="1" ht="67.5">
      <c r="B94" s="104" t="s">
        <v>132</v>
      </c>
      <c r="C94" s="23" t="s">
        <v>24</v>
      </c>
      <c r="D94" s="23" t="s">
        <v>71</v>
      </c>
      <c r="E94" s="24">
        <v>729880</v>
      </c>
      <c r="F94" s="25" t="s">
        <v>61</v>
      </c>
      <c r="G94" s="26" t="s">
        <v>152</v>
      </c>
      <c r="H94" s="48" t="s">
        <v>98</v>
      </c>
    </row>
    <row r="95" spans="2:14" s="1" customFormat="1" ht="65.25" customHeight="1">
      <c r="B95" s="127" t="s">
        <v>138</v>
      </c>
      <c r="C95" s="128"/>
      <c r="D95" s="128"/>
      <c r="E95" s="16">
        <f>SUM(E96:E98)</f>
        <v>1753700.5</v>
      </c>
      <c r="F95" s="13"/>
      <c r="G95" s="14"/>
      <c r="H95" s="10"/>
      <c r="I95" s="61"/>
      <c r="J95" s="62"/>
    </row>
    <row r="96" spans="2:14" s="1" customFormat="1" ht="33.75">
      <c r="B96" s="104" t="s">
        <v>132</v>
      </c>
      <c r="C96" s="36" t="s">
        <v>25</v>
      </c>
      <c r="D96" s="36" t="s">
        <v>69</v>
      </c>
      <c r="E96" s="24">
        <f>55000+145000</f>
        <v>200000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23">
        <v>85100000</v>
      </c>
      <c r="D97" s="23" t="s">
        <v>71</v>
      </c>
      <c r="E97" s="24">
        <v>127500.5</v>
      </c>
      <c r="F97" s="25" t="s">
        <v>61</v>
      </c>
      <c r="G97" s="26" t="s">
        <v>125</v>
      </c>
      <c r="H97" s="45" t="s">
        <v>124</v>
      </c>
    </row>
    <row r="98" spans="2:11" s="1" customFormat="1" ht="60.75" customHeight="1">
      <c r="B98" s="104" t="s">
        <v>132</v>
      </c>
      <c r="C98" s="23">
        <v>85100000</v>
      </c>
      <c r="D98" s="23" t="s">
        <v>71</v>
      </c>
      <c r="E98" s="24">
        <f>1460000+111200-145000</f>
        <v>1426200</v>
      </c>
      <c r="F98" s="25" t="s">
        <v>61</v>
      </c>
      <c r="G98" s="26" t="s">
        <v>125</v>
      </c>
      <c r="H98" s="48" t="s">
        <v>98</v>
      </c>
      <c r="K98" s="62"/>
    </row>
    <row r="99" spans="2:11" s="1" customFormat="1" ht="61.5" customHeight="1">
      <c r="B99" s="127" t="s">
        <v>139</v>
      </c>
      <c r="C99" s="128"/>
      <c r="D99" s="128"/>
      <c r="E99" s="16">
        <f>SUM(E100:E101)</f>
        <v>184166.6</v>
      </c>
      <c r="F99" s="13"/>
      <c r="G99" s="14"/>
      <c r="H99" s="10"/>
      <c r="I99" s="61"/>
      <c r="J99" s="62"/>
    </row>
    <row r="100" spans="2:11" s="18" customFormat="1" ht="70.5" customHeight="1">
      <c r="B100" s="65" t="s">
        <v>132</v>
      </c>
      <c r="C100" s="23" t="s">
        <v>24</v>
      </c>
      <c r="D100" s="23" t="s">
        <v>71</v>
      </c>
      <c r="E100" s="56">
        <v>14166.6</v>
      </c>
      <c r="F100" s="25" t="s">
        <v>61</v>
      </c>
      <c r="G100" s="26" t="s">
        <v>125</v>
      </c>
      <c r="H100" s="48" t="s">
        <v>76</v>
      </c>
    </row>
    <row r="101" spans="2:11" s="1" customFormat="1" ht="75" customHeight="1">
      <c r="B101" s="104" t="s">
        <v>132</v>
      </c>
      <c r="C101" s="23" t="s">
        <v>24</v>
      </c>
      <c r="D101" s="23" t="s">
        <v>71</v>
      </c>
      <c r="E101" s="24">
        <v>170000</v>
      </c>
      <c r="F101" s="25" t="s">
        <v>61</v>
      </c>
      <c r="G101" s="26" t="s">
        <v>125</v>
      </c>
      <c r="H101" s="48" t="s">
        <v>98</v>
      </c>
    </row>
    <row r="102" spans="2:11" s="1" customFormat="1" ht="65.25" customHeight="1">
      <c r="B102" s="138" t="s">
        <v>140</v>
      </c>
      <c r="C102" s="139"/>
      <c r="D102" s="139"/>
      <c r="E102" s="16">
        <f>SUM(E103:E109)</f>
        <v>1090000</v>
      </c>
      <c r="F102" s="13"/>
      <c r="G102" s="14"/>
      <c r="H102" s="60"/>
      <c r="I102" s="61"/>
      <c r="J102" s="62"/>
    </row>
    <row r="103" spans="2:11" s="1" customFormat="1" ht="49.5" customHeight="1">
      <c r="B103" s="104" t="s">
        <v>132</v>
      </c>
      <c r="C103" s="23" t="s">
        <v>14</v>
      </c>
      <c r="D103" s="23" t="s">
        <v>15</v>
      </c>
      <c r="E103" s="24">
        <v>24200</v>
      </c>
      <c r="F103" s="25" t="s">
        <v>60</v>
      </c>
      <c r="G103" s="26" t="s">
        <v>125</v>
      </c>
      <c r="H103" s="41"/>
    </row>
    <row r="104" spans="2:11" s="1" customFormat="1" ht="33.75">
      <c r="B104" s="104" t="s">
        <v>132</v>
      </c>
      <c r="C104" s="28">
        <v>33100000</v>
      </c>
      <c r="D104" s="28" t="s">
        <v>28</v>
      </c>
      <c r="E104" s="24">
        <f>240004-87983</f>
        <v>152021</v>
      </c>
      <c r="F104" s="29" t="s">
        <v>64</v>
      </c>
      <c r="G104" s="26" t="s">
        <v>125</v>
      </c>
      <c r="H104" s="46"/>
    </row>
    <row r="105" spans="2:11" s="18" customFormat="1" ht="25.5">
      <c r="B105" s="65" t="s">
        <v>132</v>
      </c>
      <c r="C105" s="99" t="s">
        <v>32</v>
      </c>
      <c r="D105" s="78" t="s">
        <v>29</v>
      </c>
      <c r="E105" s="56">
        <f>33830</f>
        <v>33830</v>
      </c>
      <c r="F105" s="100" t="s">
        <v>64</v>
      </c>
      <c r="G105" s="80" t="s">
        <v>178</v>
      </c>
      <c r="H105" s="118"/>
    </row>
    <row r="106" spans="2:11" s="18" customFormat="1" ht="25.5">
      <c r="B106" s="65" t="s">
        <v>132</v>
      </c>
      <c r="C106" s="99" t="s">
        <v>184</v>
      </c>
      <c r="D106" s="78" t="s">
        <v>185</v>
      </c>
      <c r="E106" s="56">
        <v>2980</v>
      </c>
      <c r="F106" s="100" t="s">
        <v>64</v>
      </c>
      <c r="G106" s="80" t="s">
        <v>178</v>
      </c>
      <c r="H106" s="118"/>
    </row>
    <row r="107" spans="2:11" s="18" customFormat="1" ht="60.75" customHeight="1">
      <c r="B107" s="65" t="s">
        <v>132</v>
      </c>
      <c r="C107" s="78" t="s">
        <v>59</v>
      </c>
      <c r="D107" s="78" t="s">
        <v>44</v>
      </c>
      <c r="E107" s="56">
        <v>15000</v>
      </c>
      <c r="F107" s="79" t="s">
        <v>64</v>
      </c>
      <c r="G107" s="80" t="s">
        <v>125</v>
      </c>
      <c r="H107" s="86"/>
    </row>
    <row r="108" spans="2:11" s="18" customFormat="1" ht="75" customHeight="1">
      <c r="B108" s="65" t="s">
        <v>132</v>
      </c>
      <c r="C108" s="78">
        <v>85100000</v>
      </c>
      <c r="D108" s="78" t="s">
        <v>71</v>
      </c>
      <c r="E108" s="56">
        <v>48983</v>
      </c>
      <c r="F108" s="79" t="s">
        <v>61</v>
      </c>
      <c r="G108" s="80" t="s">
        <v>125</v>
      </c>
      <c r="H108" s="111" t="s">
        <v>126</v>
      </c>
      <c r="J108" s="21"/>
    </row>
    <row r="109" spans="2:11" s="18" customFormat="1" ht="65.25" customHeight="1">
      <c r="B109" s="65" t="s">
        <v>132</v>
      </c>
      <c r="C109" s="78">
        <v>85100000</v>
      </c>
      <c r="D109" s="78" t="s">
        <v>71</v>
      </c>
      <c r="E109" s="56">
        <f>1071996+37800-260000-33830-2980</f>
        <v>812986</v>
      </c>
      <c r="F109" s="79" t="s">
        <v>61</v>
      </c>
      <c r="G109" s="80" t="s">
        <v>125</v>
      </c>
      <c r="H109" s="111" t="s">
        <v>98</v>
      </c>
    </row>
    <row r="110" spans="2:11" s="1" customFormat="1" ht="80.25" customHeight="1">
      <c r="B110" s="127" t="s">
        <v>141</v>
      </c>
      <c r="C110" s="128"/>
      <c r="D110" s="128"/>
      <c r="E110" s="16">
        <f>SUM(E111:E111)</f>
        <v>1250000</v>
      </c>
      <c r="F110" s="13"/>
      <c r="G110" s="14"/>
      <c r="H110" s="10"/>
      <c r="I110" s="61"/>
      <c r="J110" s="62"/>
    </row>
    <row r="111" spans="2:11" s="1" customFormat="1" ht="84.75" customHeight="1">
      <c r="B111" s="104" t="s">
        <v>132</v>
      </c>
      <c r="C111" s="23" t="s">
        <v>32</v>
      </c>
      <c r="D111" s="23" t="s">
        <v>29</v>
      </c>
      <c r="E111" s="24">
        <v>1250000</v>
      </c>
      <c r="F111" s="25" t="s">
        <v>61</v>
      </c>
      <c r="G111" s="26" t="s">
        <v>125</v>
      </c>
      <c r="H111" s="48" t="s">
        <v>98</v>
      </c>
    </row>
    <row r="112" spans="2:11" s="1" customFormat="1" ht="57.75" customHeight="1">
      <c r="B112" s="136" t="s">
        <v>142</v>
      </c>
      <c r="C112" s="137"/>
      <c r="D112" s="137"/>
      <c r="E112" s="57">
        <f>SUM(E113:E116)</f>
        <v>3880000</v>
      </c>
      <c r="F112" s="58"/>
      <c r="G112" s="58"/>
      <c r="H112" s="59"/>
      <c r="I112" s="61"/>
      <c r="J112" s="62"/>
    </row>
    <row r="113" spans="2:11" s="18" customFormat="1" ht="29.25" customHeight="1">
      <c r="B113" s="65" t="s">
        <v>132</v>
      </c>
      <c r="C113" s="38">
        <v>33100000</v>
      </c>
      <c r="D113" s="23" t="s">
        <v>8</v>
      </c>
      <c r="E113" s="56">
        <v>124876.2</v>
      </c>
      <c r="F113" s="25" t="s">
        <v>64</v>
      </c>
      <c r="G113" s="26" t="s">
        <v>125</v>
      </c>
      <c r="H113" s="26"/>
      <c r="J113" s="21"/>
    </row>
    <row r="114" spans="2:11" s="18" customFormat="1" ht="33.75">
      <c r="B114" s="65" t="s">
        <v>132</v>
      </c>
      <c r="C114" s="77" t="s">
        <v>32</v>
      </c>
      <c r="D114" s="78" t="s">
        <v>9</v>
      </c>
      <c r="E114" s="56">
        <f>2995349.4-3495.8-99984.41-120000</f>
        <v>2771869.19</v>
      </c>
      <c r="F114" s="79" t="s">
        <v>64</v>
      </c>
      <c r="G114" s="80" t="s">
        <v>125</v>
      </c>
      <c r="H114" s="80"/>
    </row>
    <row r="115" spans="2:11" s="1" customFormat="1" ht="67.5">
      <c r="B115" s="104" t="s">
        <v>132</v>
      </c>
      <c r="C115" s="38" t="s">
        <v>24</v>
      </c>
      <c r="D115" s="23" t="s">
        <v>71</v>
      </c>
      <c r="E115" s="24">
        <v>73605.850000000006</v>
      </c>
      <c r="F115" s="25" t="s">
        <v>61</v>
      </c>
      <c r="G115" s="26" t="s">
        <v>125</v>
      </c>
      <c r="H115" s="45" t="s">
        <v>127</v>
      </c>
    </row>
    <row r="116" spans="2:11" s="1" customFormat="1" ht="83.25" customHeight="1">
      <c r="B116" s="104" t="s">
        <v>132</v>
      </c>
      <c r="C116" s="23" t="s">
        <v>24</v>
      </c>
      <c r="D116" s="23" t="s">
        <v>71</v>
      </c>
      <c r="E116" s="24">
        <v>909648.76</v>
      </c>
      <c r="F116" s="25" t="s">
        <v>61</v>
      </c>
      <c r="G116" s="26" t="s">
        <v>152</v>
      </c>
      <c r="H116" s="32" t="s">
        <v>98</v>
      </c>
    </row>
    <row r="117" spans="2:11" ht="122.25" customHeight="1">
      <c r="B117" s="127" t="s">
        <v>143</v>
      </c>
      <c r="C117" s="128"/>
      <c r="D117" s="128"/>
      <c r="E117" s="16">
        <f>SUM(E118)</f>
        <v>2190000</v>
      </c>
      <c r="F117" s="13"/>
      <c r="G117" s="14"/>
      <c r="H117" s="10"/>
      <c r="I117" s="61"/>
      <c r="J117" s="63"/>
    </row>
    <row r="118" spans="2:11" s="1" customFormat="1" ht="117.75" customHeight="1">
      <c r="B118" s="104" t="s">
        <v>132</v>
      </c>
      <c r="C118" s="23" t="s">
        <v>32</v>
      </c>
      <c r="D118" s="23" t="s">
        <v>29</v>
      </c>
      <c r="E118" s="24">
        <v>2190000</v>
      </c>
      <c r="F118" s="25" t="s">
        <v>61</v>
      </c>
      <c r="G118" s="26" t="s">
        <v>152</v>
      </c>
      <c r="H118" s="48" t="s">
        <v>98</v>
      </c>
    </row>
    <row r="119" spans="2:11" s="1" customFormat="1" ht="57" customHeight="1">
      <c r="B119" s="138" t="s">
        <v>144</v>
      </c>
      <c r="C119" s="139"/>
      <c r="D119" s="139"/>
      <c r="E119" s="16">
        <f>SUM(E120:E124)</f>
        <v>255000</v>
      </c>
      <c r="F119" s="13"/>
      <c r="G119" s="60"/>
      <c r="H119" s="60"/>
      <c r="I119" s="61"/>
      <c r="J119" s="62"/>
    </row>
    <row r="120" spans="2:11" s="18" customFormat="1" ht="59.25" customHeight="1">
      <c r="B120" s="65" t="s">
        <v>148</v>
      </c>
      <c r="C120" s="78">
        <v>33100000</v>
      </c>
      <c r="D120" s="78" t="s">
        <v>28</v>
      </c>
      <c r="E120" s="56">
        <v>0</v>
      </c>
      <c r="F120" s="79" t="s">
        <v>64</v>
      </c>
      <c r="G120" s="80" t="s">
        <v>125</v>
      </c>
      <c r="H120" s="86"/>
    </row>
    <row r="121" spans="2:11" s="18" customFormat="1" ht="38.25">
      <c r="B121" s="67" t="s">
        <v>148</v>
      </c>
      <c r="C121" s="91">
        <v>33600000</v>
      </c>
      <c r="D121" s="91" t="s">
        <v>29</v>
      </c>
      <c r="E121" s="69">
        <f>266824.3+68000-17770-162054.3+10000</f>
        <v>165000</v>
      </c>
      <c r="F121" s="94" t="s">
        <v>64</v>
      </c>
      <c r="G121" s="71" t="s">
        <v>125</v>
      </c>
      <c r="H121" s="95"/>
    </row>
    <row r="122" spans="2:11" s="1" customFormat="1" ht="78.75">
      <c r="B122" s="67" t="s">
        <v>132</v>
      </c>
      <c r="C122" s="76" t="s">
        <v>103</v>
      </c>
      <c r="D122" s="68" t="s">
        <v>71</v>
      </c>
      <c r="E122" s="69">
        <f>6870-4365</f>
        <v>2505</v>
      </c>
      <c r="F122" s="70" t="s">
        <v>61</v>
      </c>
      <c r="G122" s="71" t="s">
        <v>125</v>
      </c>
      <c r="H122" s="98" t="s">
        <v>130</v>
      </c>
    </row>
    <row r="123" spans="2:11" s="1" customFormat="1" ht="67.5">
      <c r="B123" s="67" t="s">
        <v>132</v>
      </c>
      <c r="C123" s="76" t="s">
        <v>103</v>
      </c>
      <c r="D123" s="68" t="s">
        <v>71</v>
      </c>
      <c r="E123" s="69">
        <f>13740+6870-5635</f>
        <v>14975</v>
      </c>
      <c r="F123" s="70" t="s">
        <v>61</v>
      </c>
      <c r="G123" s="71" t="s">
        <v>152</v>
      </c>
      <c r="H123" s="92" t="s">
        <v>98</v>
      </c>
      <c r="J123" s="62"/>
      <c r="K123" s="62"/>
    </row>
    <row r="124" spans="2:11" s="1" customFormat="1" ht="51" customHeight="1">
      <c r="B124" s="104" t="s">
        <v>132</v>
      </c>
      <c r="C124" s="38" t="s">
        <v>24</v>
      </c>
      <c r="D124" s="23" t="s">
        <v>71</v>
      </c>
      <c r="E124" s="24">
        <v>72520</v>
      </c>
      <c r="F124" s="25" t="s">
        <v>64</v>
      </c>
      <c r="G124" s="26" t="s">
        <v>153</v>
      </c>
      <c r="H124" s="45"/>
      <c r="J124" s="62"/>
      <c r="K124" s="62"/>
    </row>
    <row r="125" spans="2:11" ht="59.25" customHeight="1">
      <c r="B125" s="127" t="s">
        <v>145</v>
      </c>
      <c r="C125" s="128"/>
      <c r="D125" s="128"/>
      <c r="E125" s="16">
        <f>SUM(E126:E129)</f>
        <v>2100000</v>
      </c>
      <c r="F125" s="13"/>
      <c r="G125" s="14"/>
      <c r="H125" s="10"/>
      <c r="I125" s="61"/>
      <c r="J125" s="63"/>
    </row>
    <row r="126" spans="2:11" s="18" customFormat="1" ht="42.75" customHeight="1">
      <c r="B126" s="67" t="s">
        <v>132</v>
      </c>
      <c r="C126" s="68" t="s">
        <v>25</v>
      </c>
      <c r="D126" s="68" t="s">
        <v>69</v>
      </c>
      <c r="E126" s="69">
        <f>2100000-115976-175000+5000</f>
        <v>1814024</v>
      </c>
      <c r="F126" s="70" t="s">
        <v>64</v>
      </c>
      <c r="G126" s="71" t="s">
        <v>125</v>
      </c>
      <c r="H126" s="112"/>
    </row>
    <row r="127" spans="2:11" s="1" customFormat="1" ht="42.75" customHeight="1">
      <c r="B127" s="104" t="s">
        <v>132</v>
      </c>
      <c r="C127" s="23" t="s">
        <v>25</v>
      </c>
      <c r="D127" s="23" t="s">
        <v>69</v>
      </c>
      <c r="E127" s="24">
        <f>5976</f>
        <v>5976</v>
      </c>
      <c r="F127" s="25" t="s">
        <v>61</v>
      </c>
      <c r="G127" s="26" t="s">
        <v>152</v>
      </c>
      <c r="H127" s="48" t="s">
        <v>98</v>
      </c>
    </row>
    <row r="128" spans="2:11" s="1" customFormat="1" ht="42.75" customHeight="1">
      <c r="B128" s="67" t="s">
        <v>134</v>
      </c>
      <c r="C128" s="68" t="s">
        <v>176</v>
      </c>
      <c r="D128" s="68" t="s">
        <v>177</v>
      </c>
      <c r="E128" s="69">
        <v>170000</v>
      </c>
      <c r="F128" s="70" t="s">
        <v>64</v>
      </c>
      <c r="G128" s="71" t="s">
        <v>178</v>
      </c>
      <c r="H128" s="92"/>
    </row>
    <row r="129" spans="2:10" s="1" customFormat="1" ht="80.25" customHeight="1">
      <c r="B129" s="104" t="s">
        <v>132</v>
      </c>
      <c r="C129" s="23" t="s">
        <v>154</v>
      </c>
      <c r="D129" s="23" t="s">
        <v>155</v>
      </c>
      <c r="E129" s="24">
        <f>115976-5976</f>
        <v>110000</v>
      </c>
      <c r="F129" s="25" t="s">
        <v>61</v>
      </c>
      <c r="G129" s="26" t="s">
        <v>152</v>
      </c>
      <c r="H129" s="48" t="s">
        <v>98</v>
      </c>
    </row>
    <row r="130" spans="2:10" ht="70.5" customHeight="1">
      <c r="B130" s="127" t="s">
        <v>146</v>
      </c>
      <c r="C130" s="128"/>
      <c r="D130" s="128"/>
      <c r="E130" s="16">
        <f>SUM(E131:E134)</f>
        <v>512800</v>
      </c>
      <c r="F130" s="13"/>
      <c r="G130" s="14"/>
      <c r="H130" s="10"/>
      <c r="I130" s="61"/>
      <c r="J130" s="63"/>
    </row>
    <row r="131" spans="2:10" s="18" customFormat="1" ht="33.75">
      <c r="B131" s="65" t="s">
        <v>132</v>
      </c>
      <c r="C131" s="99" t="s">
        <v>32</v>
      </c>
      <c r="D131" s="99" t="s">
        <v>29</v>
      </c>
      <c r="E131" s="56">
        <f>264000-4020</f>
        <v>259980</v>
      </c>
      <c r="F131" s="100" t="s">
        <v>64</v>
      </c>
      <c r="G131" s="80" t="s">
        <v>125</v>
      </c>
      <c r="H131" s="101"/>
    </row>
    <row r="132" spans="2:10" s="18" customFormat="1" ht="33.75">
      <c r="B132" s="67" t="s">
        <v>132</v>
      </c>
      <c r="C132" s="87" t="s">
        <v>7</v>
      </c>
      <c r="D132" s="87" t="s">
        <v>28</v>
      </c>
      <c r="E132" s="69">
        <f>132000-62000+70000</f>
        <v>140000</v>
      </c>
      <c r="F132" s="88" t="s">
        <v>64</v>
      </c>
      <c r="G132" s="71" t="s">
        <v>125</v>
      </c>
      <c r="H132" s="116"/>
    </row>
    <row r="133" spans="2:10" s="18" customFormat="1" ht="25.5">
      <c r="B133" s="65" t="s">
        <v>132</v>
      </c>
      <c r="C133" s="99" t="s">
        <v>7</v>
      </c>
      <c r="D133" s="99" t="s">
        <v>28</v>
      </c>
      <c r="E133" s="56">
        <v>62000</v>
      </c>
      <c r="F133" s="79" t="s">
        <v>60</v>
      </c>
      <c r="G133" s="80" t="s">
        <v>178</v>
      </c>
      <c r="H133" s="117"/>
    </row>
    <row r="134" spans="2:10" s="1" customFormat="1" ht="33.75">
      <c r="B134" s="104" t="s">
        <v>132</v>
      </c>
      <c r="C134" s="23" t="s">
        <v>14</v>
      </c>
      <c r="D134" s="23" t="s">
        <v>40</v>
      </c>
      <c r="E134" s="24">
        <f>4020+46800</f>
        <v>50820</v>
      </c>
      <c r="F134" s="25" t="s">
        <v>60</v>
      </c>
      <c r="G134" s="26" t="s">
        <v>125</v>
      </c>
      <c r="H134" s="23"/>
    </row>
  </sheetData>
  <autoFilter ref="A8:H134"/>
  <mergeCells count="20">
    <mergeCell ref="B125:D125"/>
    <mergeCell ref="B130:D130"/>
    <mergeCell ref="B99:D99"/>
    <mergeCell ref="B102:D102"/>
    <mergeCell ref="B110:D110"/>
    <mergeCell ref="B112:D112"/>
    <mergeCell ref="B117:D117"/>
    <mergeCell ref="B119:D119"/>
    <mergeCell ref="B95:D95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3:D83"/>
    <mergeCell ref="B89:D8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11" zoomScaleNormal="100" zoomScaleSheetLayoutView="80" workbookViewId="0">
      <selection activeCell="E131" sqref="E131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E9+E77+E84+E90+E96+E100+E103+E111+E113+E118+E120+E126+E131</f>
        <v>43775760.600000001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SUM(E10:E76)</f>
        <v>4479093.5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38" t="s">
        <v>18</v>
      </c>
      <c r="D55" s="23" t="s">
        <v>46</v>
      </c>
      <c r="E55" s="56">
        <v>24000</v>
      </c>
      <c r="F55" s="25" t="s">
        <v>60</v>
      </c>
      <c r="G55" s="26" t="s">
        <v>125</v>
      </c>
      <c r="H55" s="33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54.75" customHeight="1">
      <c r="B76" s="108" t="s">
        <v>132</v>
      </c>
      <c r="C76" s="78" t="s">
        <v>165</v>
      </c>
      <c r="D76" s="78" t="s">
        <v>166</v>
      </c>
      <c r="E76" s="56">
        <v>4900</v>
      </c>
      <c r="F76" s="79" t="s">
        <v>61</v>
      </c>
      <c r="G76" s="80" t="s">
        <v>152</v>
      </c>
      <c r="H76" s="80" t="s">
        <v>79</v>
      </c>
    </row>
    <row r="77" spans="2:10" s="1" customFormat="1" ht="75" customHeight="1">
      <c r="B77" s="127" t="s">
        <v>135</v>
      </c>
      <c r="C77" s="128"/>
      <c r="D77" s="128"/>
      <c r="E77" s="16">
        <f>SUM(E78:E83)</f>
        <v>2485000</v>
      </c>
      <c r="F77" s="13"/>
      <c r="G77" s="14"/>
      <c r="H77" s="10"/>
      <c r="I77" s="61"/>
      <c r="J77" s="62"/>
    </row>
    <row r="78" spans="2:10" s="1" customFormat="1" ht="59.25" customHeight="1">
      <c r="B78" s="67" t="s">
        <v>132</v>
      </c>
      <c r="C78" s="68" t="s">
        <v>24</v>
      </c>
      <c r="D78" s="68" t="s">
        <v>71</v>
      </c>
      <c r="E78" s="69">
        <f>1710000-142500-E82-E81-100000+685000+90000-31970</f>
        <v>1957332.4</v>
      </c>
      <c r="F78" s="70" t="s">
        <v>64</v>
      </c>
      <c r="G78" s="71" t="s">
        <v>125</v>
      </c>
      <c r="H78" s="73"/>
      <c r="J78" s="62"/>
    </row>
    <row r="79" spans="2:10" s="1" customFormat="1" ht="89.25" customHeight="1">
      <c r="B79" s="67" t="s">
        <v>132</v>
      </c>
      <c r="C79" s="68" t="s">
        <v>193</v>
      </c>
      <c r="D79" s="68" t="s">
        <v>194</v>
      </c>
      <c r="E79" s="69">
        <f>11500*2.78</f>
        <v>31969.999999999996</v>
      </c>
      <c r="F79" s="92" t="s">
        <v>61</v>
      </c>
      <c r="G79" s="92" t="s">
        <v>187</v>
      </c>
      <c r="H79" s="92" t="s">
        <v>157</v>
      </c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7" t="s">
        <v>136</v>
      </c>
      <c r="C84" s="128"/>
      <c r="D84" s="12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7" t="s">
        <v>137</v>
      </c>
      <c r="C90" s="128"/>
      <c r="D90" s="12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7" t="s">
        <v>138</v>
      </c>
      <c r="C96" s="128"/>
      <c r="D96" s="128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27" t="s">
        <v>139</v>
      </c>
      <c r="C100" s="128"/>
      <c r="D100" s="12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8" t="s">
        <v>140</v>
      </c>
      <c r="C103" s="139"/>
      <c r="D103" s="139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7" t="s">
        <v>141</v>
      </c>
      <c r="C111" s="128"/>
      <c r="D111" s="12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6" t="s">
        <v>142</v>
      </c>
      <c r="C113" s="137"/>
      <c r="D113" s="137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7" t="s">
        <v>143</v>
      </c>
      <c r="C118" s="128"/>
      <c r="D118" s="12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8" t="s">
        <v>144</v>
      </c>
      <c r="C120" s="139"/>
      <c r="D120" s="139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7" t="s">
        <v>145</v>
      </c>
      <c r="C126" s="128"/>
      <c r="D126" s="12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7" t="s">
        <v>146</v>
      </c>
      <c r="C131" s="128"/>
      <c r="D131" s="128"/>
      <c r="E131" s="16">
        <f>SUM(E132:E135)</f>
        <v>512800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</f>
        <v>259980</v>
      </c>
      <c r="F132" s="100" t="s">
        <v>64</v>
      </c>
      <c r="G132" s="80" t="s">
        <v>125</v>
      </c>
      <c r="H132" s="101"/>
    </row>
    <row r="133" spans="2:10" s="18" customFormat="1" ht="33.75">
      <c r="B133" s="67" t="s">
        <v>132</v>
      </c>
      <c r="C133" s="87" t="s">
        <v>7</v>
      </c>
      <c r="D133" s="87" t="s">
        <v>28</v>
      </c>
      <c r="E133" s="69">
        <f>132000-62000+70000</f>
        <v>140000</v>
      </c>
      <c r="F133" s="88" t="s">
        <v>64</v>
      </c>
      <c r="G133" s="71" t="s">
        <v>125</v>
      </c>
      <c r="H133" s="116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v>62000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7:D77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view="pageBreakPreview" topLeftCell="B74" zoomScale="80" zoomScaleNormal="100" zoomScaleSheetLayoutView="80" workbookViewId="0">
      <selection activeCell="E79" sqref="E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E9+E78+E84+E90+E96+E100+E103+E111+E113+E118+E120+E126+E131</f>
        <v>43956790.600000001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SUM(E10:E77)</f>
        <v>4514323.5</v>
      </c>
      <c r="F9" s="11"/>
      <c r="G9" s="9"/>
      <c r="H9" s="10"/>
    </row>
    <row r="10" spans="2:10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23" t="s">
        <v>94</v>
      </c>
      <c r="D28" s="23" t="s">
        <v>95</v>
      </c>
      <c r="E28" s="56">
        <v>4800</v>
      </c>
      <c r="F28" s="25" t="s">
        <v>91</v>
      </c>
      <c r="G28" s="26" t="s">
        <v>125</v>
      </c>
      <c r="H28" s="3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v>1920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7" t="s">
        <v>132</v>
      </c>
      <c r="C55" s="76" t="s">
        <v>18</v>
      </c>
      <c r="D55" s="68" t="s">
        <v>46</v>
      </c>
      <c r="E55" s="69">
        <f>24000+3260</f>
        <v>27260</v>
      </c>
      <c r="F55" s="70" t="s">
        <v>60</v>
      </c>
      <c r="G55" s="71" t="s">
        <v>125</v>
      </c>
      <c r="H55" s="124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" customFormat="1" ht="89.25" customHeight="1">
      <c r="B76" s="67" t="s">
        <v>132</v>
      </c>
      <c r="C76" s="68" t="s">
        <v>193</v>
      </c>
      <c r="D76" s="68" t="s">
        <v>194</v>
      </c>
      <c r="E76" s="69">
        <f>11500*2.78</f>
        <v>31969.999999999996</v>
      </c>
      <c r="F76" s="92" t="s">
        <v>61</v>
      </c>
      <c r="G76" s="92" t="s">
        <v>187</v>
      </c>
      <c r="H76" s="92" t="s">
        <v>157</v>
      </c>
      <c r="J76" s="62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7" t="s">
        <v>135</v>
      </c>
      <c r="C78" s="128"/>
      <c r="D78" s="128"/>
      <c r="E78" s="16">
        <f>SUM(E79:E83)</f>
        <v>2485000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</f>
        <v>1989302.4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J80" s="21"/>
    </row>
    <row r="81" spans="2:14" s="1" customFormat="1" ht="67.5">
      <c r="B81" s="104" t="s">
        <v>132</v>
      </c>
      <c r="C81" s="23" t="s">
        <v>103</v>
      </c>
      <c r="D81" s="23" t="s">
        <v>71</v>
      </c>
      <c r="E81" s="24">
        <v>33000</v>
      </c>
      <c r="F81" s="25" t="s">
        <v>61</v>
      </c>
      <c r="G81" s="26" t="s">
        <v>186</v>
      </c>
      <c r="H81" s="48" t="s">
        <v>98</v>
      </c>
      <c r="J81" s="62"/>
    </row>
    <row r="82" spans="2:14" s="1" customFormat="1" ht="67.5">
      <c r="B82" s="104" t="s">
        <v>132</v>
      </c>
      <c r="C82" s="23" t="s">
        <v>103</v>
      </c>
      <c r="D82" s="23" t="s">
        <v>71</v>
      </c>
      <c r="E82" s="24">
        <v>220197.6</v>
      </c>
      <c r="F82" s="25" t="s">
        <v>61</v>
      </c>
      <c r="G82" s="26" t="s">
        <v>150</v>
      </c>
      <c r="H82" s="48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7" t="s">
        <v>136</v>
      </c>
      <c r="C84" s="128"/>
      <c r="D84" s="12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7" t="s">
        <v>137</v>
      </c>
      <c r="C90" s="128"/>
      <c r="D90" s="12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7" t="s">
        <v>138</v>
      </c>
      <c r="C96" s="128"/>
      <c r="D96" s="128"/>
      <c r="E96" s="16">
        <f>SUM(E97:E99)</f>
        <v>1753700.5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104" t="s">
        <v>132</v>
      </c>
      <c r="C99" s="23">
        <v>85100000</v>
      </c>
      <c r="D99" s="23" t="s">
        <v>71</v>
      </c>
      <c r="E99" s="24">
        <f>1460000+111200-145000</f>
        <v>1426200</v>
      </c>
      <c r="F99" s="25" t="s">
        <v>61</v>
      </c>
      <c r="G99" s="26" t="s">
        <v>125</v>
      </c>
      <c r="H99" s="48" t="s">
        <v>98</v>
      </c>
      <c r="K99" s="62"/>
    </row>
    <row r="100" spans="2:11" s="1" customFormat="1" ht="61.5" customHeight="1">
      <c r="B100" s="127" t="s">
        <v>139</v>
      </c>
      <c r="C100" s="128"/>
      <c r="D100" s="12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8" t="s">
        <v>140</v>
      </c>
      <c r="C103" s="139"/>
      <c r="D103" s="139"/>
      <c r="E103" s="16">
        <f>SUM(E104:E110)</f>
        <v>1090000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48983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</f>
        <v>812986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7" t="s">
        <v>141</v>
      </c>
      <c r="C111" s="128"/>
      <c r="D111" s="12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6" t="s">
        <v>142</v>
      </c>
      <c r="C113" s="137"/>
      <c r="D113" s="137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38">
        <v>33100000</v>
      </c>
      <c r="D114" s="23" t="s">
        <v>8</v>
      </c>
      <c r="E114" s="56">
        <v>124876.2</v>
      </c>
      <c r="F114" s="25" t="s">
        <v>64</v>
      </c>
      <c r="G114" s="26" t="s">
        <v>125</v>
      </c>
      <c r="H114" s="26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</f>
        <v>2771869.19</v>
      </c>
      <c r="F115" s="79" t="s">
        <v>64</v>
      </c>
      <c r="G115" s="80" t="s">
        <v>125</v>
      </c>
      <c r="H115" s="80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7" t="s">
        <v>143</v>
      </c>
      <c r="C118" s="128"/>
      <c r="D118" s="12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8" t="s">
        <v>144</v>
      </c>
      <c r="C120" s="139"/>
      <c r="D120" s="139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7" t="s">
        <v>145</v>
      </c>
      <c r="C126" s="128"/>
      <c r="D126" s="12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7" t="s">
        <v>146</v>
      </c>
      <c r="C131" s="128"/>
      <c r="D131" s="128"/>
      <c r="E131" s="16">
        <f>SUM(E132:E135)</f>
        <v>658600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</f>
        <v>350480</v>
      </c>
      <c r="F132" s="88" t="s">
        <v>64</v>
      </c>
      <c r="G132" s="71" t="s">
        <v>125</v>
      </c>
      <c r="H132" s="89"/>
    </row>
    <row r="133" spans="2:10" s="1" customFormat="1" ht="33.75">
      <c r="B133" s="104" t="s">
        <v>132</v>
      </c>
      <c r="C133" s="28" t="s">
        <v>7</v>
      </c>
      <c r="D133" s="28" t="s">
        <v>28</v>
      </c>
      <c r="E133" s="24">
        <f>132000-62000+70000</f>
        <v>140000</v>
      </c>
      <c r="F133" s="29" t="s">
        <v>64</v>
      </c>
      <c r="G133" s="26" t="s">
        <v>125</v>
      </c>
      <c r="H133" s="55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</f>
        <v>117300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18" zoomScaleNormal="100" zoomScaleSheetLayoutView="80" workbookViewId="0">
      <selection activeCell="I115" sqref="I11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E9+E78+E84+E90+E96+E100+E103+E111+E113+E118+E120+E126+E131</f>
        <v>43634480.100000001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SUM(E10:E77)</f>
        <v>4514323.5</v>
      </c>
      <c r="F9" s="11"/>
      <c r="G9" s="9"/>
      <c r="H9" s="10"/>
    </row>
    <row r="10" spans="2:10" s="18" customFormat="1" ht="33.75">
      <c r="B10" s="67" t="s">
        <v>132</v>
      </c>
      <c r="C10" s="68" t="s">
        <v>49</v>
      </c>
      <c r="D10" s="68" t="s">
        <v>51</v>
      </c>
      <c r="E10" s="69">
        <f>2700-420</f>
        <v>2280</v>
      </c>
      <c r="F10" s="70" t="s">
        <v>61</v>
      </c>
      <c r="G10" s="71" t="s">
        <v>125</v>
      </c>
      <c r="H10" s="6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7" t="s">
        <v>132</v>
      </c>
      <c r="C12" s="68" t="s">
        <v>169</v>
      </c>
      <c r="D12" s="68" t="s">
        <v>170</v>
      </c>
      <c r="E12" s="69">
        <f>6100+1140</f>
        <v>7240</v>
      </c>
      <c r="F12" s="70" t="s">
        <v>60</v>
      </c>
      <c r="G12" s="97" t="s">
        <v>160</v>
      </c>
      <c r="H12" s="6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7" t="s">
        <v>132</v>
      </c>
      <c r="C28" s="68" t="s">
        <v>94</v>
      </c>
      <c r="D28" s="68" t="s">
        <v>95</v>
      </c>
      <c r="E28" s="69">
        <f>4800-1140</f>
        <v>3660</v>
      </c>
      <c r="F28" s="70" t="s">
        <v>91</v>
      </c>
      <c r="G28" s="71" t="s">
        <v>125</v>
      </c>
      <c r="H28" s="72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7" t="s">
        <v>132</v>
      </c>
      <c r="C30" s="83">
        <v>42900000</v>
      </c>
      <c r="D30" s="83" t="s">
        <v>168</v>
      </c>
      <c r="E30" s="69">
        <f>1920+420</f>
        <v>2340</v>
      </c>
      <c r="F30" s="70" t="s">
        <v>60</v>
      </c>
      <c r="G30" s="97" t="s">
        <v>160</v>
      </c>
      <c r="H30" s="97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11500*2.78</f>
        <v>31969.999999999996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7" t="s">
        <v>135</v>
      </c>
      <c r="C78" s="128"/>
      <c r="D78" s="128"/>
      <c r="E78" s="16">
        <f>SUM(E79:E83)</f>
        <v>2283000</v>
      </c>
      <c r="F78" s="13"/>
      <c r="G78" s="14"/>
      <c r="H78" s="10"/>
      <c r="I78" s="61"/>
      <c r="J78" s="62"/>
    </row>
    <row r="79" spans="2:10" s="1" customFormat="1" ht="59.25" customHeight="1">
      <c r="B79" s="67" t="s">
        <v>132</v>
      </c>
      <c r="C79" s="68" t="s">
        <v>24</v>
      </c>
      <c r="D79" s="68" t="s">
        <v>71</v>
      </c>
      <c r="E79" s="69">
        <f>1710000-142500-E82-E81-100000+685000+90000-136543.4-31970-33486.6</f>
        <v>1820789</v>
      </c>
      <c r="F79" s="70" t="s">
        <v>64</v>
      </c>
      <c r="G79" s="71" t="s">
        <v>125</v>
      </c>
      <c r="H79" s="73"/>
      <c r="J79" s="62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" customFormat="1" ht="67.5">
      <c r="B81" s="67" t="s">
        <v>132</v>
      </c>
      <c r="C81" s="68" t="s">
        <v>103</v>
      </c>
      <c r="D81" s="68" t="s">
        <v>71</v>
      </c>
      <c r="E81" s="69">
        <v>19098</v>
      </c>
      <c r="F81" s="70" t="s">
        <v>61</v>
      </c>
      <c r="G81" s="71" t="s">
        <v>186</v>
      </c>
      <c r="H81" s="92" t="s">
        <v>98</v>
      </c>
      <c r="J81" s="62"/>
    </row>
    <row r="82" spans="2:14" s="1" customFormat="1" ht="67.5">
      <c r="B82" s="67" t="s">
        <v>132</v>
      </c>
      <c r="C82" s="68" t="s">
        <v>103</v>
      </c>
      <c r="D82" s="68" t="s">
        <v>71</v>
      </c>
      <c r="E82" s="69">
        <v>200613</v>
      </c>
      <c r="F82" s="70" t="s">
        <v>61</v>
      </c>
      <c r="G82" s="71" t="s">
        <v>150</v>
      </c>
      <c r="H82" s="92" t="s">
        <v>98</v>
      </c>
    </row>
    <row r="83" spans="2:14" s="1" customFormat="1" ht="98.25" customHeight="1">
      <c r="B83" s="104" t="s">
        <v>132</v>
      </c>
      <c r="C83" s="23" t="s">
        <v>24</v>
      </c>
      <c r="D83" s="23" t="s">
        <v>71</v>
      </c>
      <c r="E83" s="24">
        <v>142500</v>
      </c>
      <c r="F83" s="25" t="s">
        <v>61</v>
      </c>
      <c r="G83" s="26" t="s">
        <v>125</v>
      </c>
      <c r="H83" s="48" t="s">
        <v>128</v>
      </c>
      <c r="J83" s="62"/>
    </row>
    <row r="84" spans="2:14" s="1" customFormat="1" ht="31.5" customHeight="1">
      <c r="B84" s="127" t="s">
        <v>136</v>
      </c>
      <c r="C84" s="128"/>
      <c r="D84" s="12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7" t="s">
        <v>137</v>
      </c>
      <c r="C90" s="128"/>
      <c r="D90" s="12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7" t="s">
        <v>138</v>
      </c>
      <c r="C96" s="128"/>
      <c r="D96" s="12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" customFormat="1" ht="60.75" customHeight="1">
      <c r="B99" s="67" t="s">
        <v>132</v>
      </c>
      <c r="C99" s="68">
        <v>85100000</v>
      </c>
      <c r="D99" s="68" t="s">
        <v>71</v>
      </c>
      <c r="E99" s="69">
        <f>1460000+111200-145000-81700.5</f>
        <v>1344499.5</v>
      </c>
      <c r="F99" s="70" t="s">
        <v>61</v>
      </c>
      <c r="G99" s="71" t="s">
        <v>125</v>
      </c>
      <c r="H99" s="92" t="s">
        <v>98</v>
      </c>
      <c r="K99" s="62"/>
    </row>
    <row r="100" spans="2:11" s="1" customFormat="1" ht="61.5" customHeight="1">
      <c r="B100" s="127" t="s">
        <v>139</v>
      </c>
      <c r="C100" s="128"/>
      <c r="D100" s="12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8" t="s">
        <v>140</v>
      </c>
      <c r="C103" s="139"/>
      <c r="D103" s="139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7" t="s">
        <v>132</v>
      </c>
      <c r="C110" s="68">
        <v>85100000</v>
      </c>
      <c r="D110" s="68" t="s">
        <v>71</v>
      </c>
      <c r="E110" s="69">
        <f>1071996+37800-260000-33830-2980-11140</f>
        <v>801846</v>
      </c>
      <c r="F110" s="70" t="s">
        <v>61</v>
      </c>
      <c r="G110" s="71" t="s">
        <v>125</v>
      </c>
      <c r="H110" s="92" t="s">
        <v>98</v>
      </c>
    </row>
    <row r="111" spans="2:11" s="1" customFormat="1" ht="80.25" customHeight="1">
      <c r="B111" s="127" t="s">
        <v>141</v>
      </c>
      <c r="C111" s="128"/>
      <c r="D111" s="12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6" t="s">
        <v>142</v>
      </c>
      <c r="C113" s="137"/>
      <c r="D113" s="137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7" t="s">
        <v>132</v>
      </c>
      <c r="C114" s="76">
        <v>33100000</v>
      </c>
      <c r="D114" s="68" t="s">
        <v>8</v>
      </c>
      <c r="E114" s="69">
        <f>124876.2+72000</f>
        <v>196876.2</v>
      </c>
      <c r="F114" s="70" t="s">
        <v>64</v>
      </c>
      <c r="G114" s="71" t="s">
        <v>125</v>
      </c>
      <c r="H114" s="71"/>
      <c r="J114" s="21"/>
    </row>
    <row r="115" spans="2:11" s="18" customFormat="1" ht="33.75">
      <c r="B115" s="67" t="s">
        <v>132</v>
      </c>
      <c r="C115" s="76" t="s">
        <v>32</v>
      </c>
      <c r="D115" s="68" t="s">
        <v>9</v>
      </c>
      <c r="E115" s="69">
        <f>2995349.4-3495.8-99984.41-120000-72000</f>
        <v>2699869.19</v>
      </c>
      <c r="F115" s="70" t="s">
        <v>64</v>
      </c>
      <c r="G115" s="71" t="s">
        <v>125</v>
      </c>
      <c r="H115" s="71"/>
    </row>
    <row r="116" spans="2:11" s="1" customFormat="1" ht="67.5">
      <c r="B116" s="104" t="s">
        <v>132</v>
      </c>
      <c r="C116" s="38" t="s">
        <v>24</v>
      </c>
      <c r="D116" s="23" t="s">
        <v>71</v>
      </c>
      <c r="E116" s="24">
        <v>73605.850000000006</v>
      </c>
      <c r="F116" s="25" t="s">
        <v>61</v>
      </c>
      <c r="G116" s="26" t="s">
        <v>125</v>
      </c>
      <c r="H116" s="45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7" t="s">
        <v>143</v>
      </c>
      <c r="C118" s="128"/>
      <c r="D118" s="12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8" t="s">
        <v>144</v>
      </c>
      <c r="C120" s="139"/>
      <c r="D120" s="139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7" t="s">
        <v>145</v>
      </c>
      <c r="C126" s="128"/>
      <c r="D126" s="12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7" t="s">
        <v>146</v>
      </c>
      <c r="C131" s="128"/>
      <c r="D131" s="128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7" t="s">
        <v>132</v>
      </c>
      <c r="C132" s="87" t="s">
        <v>32</v>
      </c>
      <c r="D132" s="87" t="s">
        <v>29</v>
      </c>
      <c r="E132" s="69">
        <f>264000-4020+90500-480</f>
        <v>350000</v>
      </c>
      <c r="F132" s="88" t="s">
        <v>64</v>
      </c>
      <c r="G132" s="71" t="s">
        <v>125</v>
      </c>
      <c r="H132" s="89"/>
    </row>
    <row r="133" spans="2:10" s="1" customFormat="1" ht="33.75">
      <c r="B133" s="67" t="s">
        <v>132</v>
      </c>
      <c r="C133" s="87" t="s">
        <v>7</v>
      </c>
      <c r="D133" s="87" t="s">
        <v>28</v>
      </c>
      <c r="E133" s="69">
        <v>125450</v>
      </c>
      <c r="F133" s="88" t="s">
        <v>64</v>
      </c>
      <c r="G133" s="71" t="s">
        <v>125</v>
      </c>
      <c r="H133" s="116"/>
    </row>
    <row r="134" spans="2:10" s="18" customFormat="1" ht="25.5">
      <c r="B134" s="67" t="s">
        <v>132</v>
      </c>
      <c r="C134" s="87" t="s">
        <v>7</v>
      </c>
      <c r="D134" s="87" t="s">
        <v>28</v>
      </c>
      <c r="E134" s="69">
        <f>62000+55300-11770</f>
        <v>105530</v>
      </c>
      <c r="F134" s="70" t="s">
        <v>60</v>
      </c>
      <c r="G134" s="71" t="s">
        <v>178</v>
      </c>
      <c r="H134" s="116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1:D131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7" t="s">
        <v>135</v>
      </c>
      <c r="C55" s="128"/>
      <c r="D55" s="12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7" t="s">
        <v>136</v>
      </c>
      <c r="C58" s="128"/>
      <c r="D58" s="12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7" t="s">
        <v>137</v>
      </c>
      <c r="C63" s="128"/>
      <c r="D63" s="12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7" t="s">
        <v>138</v>
      </c>
      <c r="C69" s="128"/>
      <c r="D69" s="12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7" t="s">
        <v>139</v>
      </c>
      <c r="C73" s="128"/>
      <c r="D73" s="12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8" t="s">
        <v>140</v>
      </c>
      <c r="C76" s="139"/>
      <c r="D76" s="13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7" t="s">
        <v>141</v>
      </c>
      <c r="C82" s="128"/>
      <c r="D82" s="12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6" t="s">
        <v>142</v>
      </c>
      <c r="C84" s="137"/>
      <c r="D84" s="13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7" t="s">
        <v>143</v>
      </c>
      <c r="C89" s="128"/>
      <c r="D89" s="12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8" t="s">
        <v>144</v>
      </c>
      <c r="C91" s="139"/>
      <c r="D91" s="13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7" t="s">
        <v>145</v>
      </c>
      <c r="C96" s="128"/>
      <c r="D96" s="12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7" t="s">
        <v>146</v>
      </c>
      <c r="C98" s="128"/>
      <c r="D98" s="12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6"/>
  <sheetViews>
    <sheetView topLeftCell="B108" zoomScaleNormal="100" zoomScaleSheetLayoutView="80" workbookViewId="0">
      <selection activeCell="I116" sqref="I116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E9+E78+E84+E90+E96+E100+E103+E111+E113+E118+E120+E126+E131</f>
        <v>43635285.100000001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SUM(E10:E77)</f>
        <v>4515128.5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10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10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10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10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  <c r="J36" s="18">
        <f>11500*2.85</f>
        <v>32775</v>
      </c>
    </row>
    <row r="37" spans="2:10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10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10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10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10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10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10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10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10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10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10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10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</f>
        <v>1392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7" t="s">
        <v>132</v>
      </c>
      <c r="C76" s="68" t="s">
        <v>193</v>
      </c>
      <c r="D76" s="68" t="s">
        <v>194</v>
      </c>
      <c r="E76" s="69">
        <f>11500*2.85</f>
        <v>32775</v>
      </c>
      <c r="F76" s="92" t="s">
        <v>61</v>
      </c>
      <c r="G76" s="92" t="s">
        <v>187</v>
      </c>
      <c r="H76" s="92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7" t="s">
        <v>135</v>
      </c>
      <c r="C78" s="128"/>
      <c r="D78" s="128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27" t="s">
        <v>136</v>
      </c>
      <c r="C84" s="128"/>
      <c r="D84" s="12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7" t="s">
        <v>137</v>
      </c>
      <c r="C90" s="128"/>
      <c r="D90" s="12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7" t="s">
        <v>138</v>
      </c>
      <c r="C96" s="128"/>
      <c r="D96" s="12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27" t="s">
        <v>139</v>
      </c>
      <c r="C100" s="128"/>
      <c r="D100" s="12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8" t="s">
        <v>140</v>
      </c>
      <c r="C103" s="139"/>
      <c r="D103" s="139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7" t="s">
        <v>141</v>
      </c>
      <c r="C111" s="128"/>
      <c r="D111" s="12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6" t="s">
        <v>142</v>
      </c>
      <c r="C113" s="137"/>
      <c r="D113" s="137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7" t="s">
        <v>143</v>
      </c>
      <c r="C118" s="128"/>
      <c r="D118" s="12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8" t="s">
        <v>144</v>
      </c>
      <c r="C120" s="139"/>
      <c r="D120" s="139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7" t="s">
        <v>145</v>
      </c>
      <c r="C126" s="128"/>
      <c r="D126" s="128"/>
      <c r="E126" s="16">
        <f>SUM(E127:E130)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5" t="s">
        <v>132</v>
      </c>
      <c r="C127" s="78" t="s">
        <v>25</v>
      </c>
      <c r="D127" s="78" t="s">
        <v>69</v>
      </c>
      <c r="E127" s="56">
        <f>2100000-115976-175000+5000</f>
        <v>1814024</v>
      </c>
      <c r="F127" s="79" t="s">
        <v>64</v>
      </c>
      <c r="G127" s="80" t="s">
        <v>125</v>
      </c>
      <c r="H127" s="119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80.25" customHeight="1">
      <c r="B130" s="65" t="s">
        <v>132</v>
      </c>
      <c r="C130" s="78" t="s">
        <v>154</v>
      </c>
      <c r="D130" s="78" t="s">
        <v>155</v>
      </c>
      <c r="E130" s="56">
        <f>115976-5976</f>
        <v>110000</v>
      </c>
      <c r="F130" s="79" t="s">
        <v>61</v>
      </c>
      <c r="G130" s="80" t="s">
        <v>152</v>
      </c>
      <c r="H130" s="111" t="s">
        <v>98</v>
      </c>
    </row>
    <row r="131" spans="2:10" ht="70.5" customHeight="1">
      <c r="B131" s="127" t="s">
        <v>146</v>
      </c>
      <c r="C131" s="128"/>
      <c r="D131" s="128"/>
      <c r="E131" s="16">
        <f>SUM(E132:E135)</f>
        <v>631800</v>
      </c>
      <c r="F131" s="13"/>
      <c r="G131" s="14"/>
      <c r="H131" s="10"/>
      <c r="I131" s="61"/>
      <c r="J131" s="63"/>
    </row>
    <row r="132" spans="2:10" s="18" customFormat="1" ht="33.75">
      <c r="B132" s="65" t="s">
        <v>132</v>
      </c>
      <c r="C132" s="99" t="s">
        <v>32</v>
      </c>
      <c r="D132" s="99" t="s">
        <v>29</v>
      </c>
      <c r="E132" s="56">
        <f>264000-4020+90500-480</f>
        <v>350000</v>
      </c>
      <c r="F132" s="100" t="s">
        <v>64</v>
      </c>
      <c r="G132" s="80" t="s">
        <v>125</v>
      </c>
      <c r="H132" s="101"/>
    </row>
    <row r="133" spans="2:10" s="18" customFormat="1" ht="33.75">
      <c r="B133" s="65" t="s">
        <v>132</v>
      </c>
      <c r="C133" s="99" t="s">
        <v>7</v>
      </c>
      <c r="D133" s="99" t="s">
        <v>28</v>
      </c>
      <c r="E133" s="56">
        <v>125450</v>
      </c>
      <c r="F133" s="100" t="s">
        <v>64</v>
      </c>
      <c r="G133" s="80" t="s">
        <v>125</v>
      </c>
      <c r="H133" s="117"/>
    </row>
    <row r="134" spans="2:10" s="18" customFormat="1" ht="25.5">
      <c r="B134" s="65" t="s">
        <v>132</v>
      </c>
      <c r="C134" s="99" t="s">
        <v>7</v>
      </c>
      <c r="D134" s="99" t="s">
        <v>28</v>
      </c>
      <c r="E134" s="56">
        <f>62000+55300-11770</f>
        <v>105530</v>
      </c>
      <c r="F134" s="79" t="s">
        <v>60</v>
      </c>
      <c r="G134" s="80" t="s">
        <v>178</v>
      </c>
      <c r="H134" s="117"/>
    </row>
    <row r="135" spans="2:10" s="1" customFormat="1" ht="33.75">
      <c r="B135" s="104" t="s">
        <v>132</v>
      </c>
      <c r="C135" s="23" t="s">
        <v>14</v>
      </c>
      <c r="D135" s="23" t="s">
        <v>40</v>
      </c>
      <c r="E135" s="24">
        <f>4020+46800</f>
        <v>50820</v>
      </c>
      <c r="F135" s="25" t="s">
        <v>60</v>
      </c>
      <c r="G135" s="26" t="s">
        <v>125</v>
      </c>
      <c r="H135" s="23"/>
    </row>
    <row r="146" spans="7:7">
      <c r="G146" s="63"/>
    </row>
  </sheetData>
  <autoFilter ref="A8:H135"/>
  <mergeCells count="20">
    <mergeCell ref="B126:D126"/>
    <mergeCell ref="B131:D131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7"/>
  <sheetViews>
    <sheetView topLeftCell="B40" zoomScaleNormal="100" zoomScaleSheetLayoutView="80" workbookViewId="0">
      <selection activeCell="J19" sqref="J1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E9+E78+E84+E90+E96+E100+E103+E111+E113+E118+E120+E126+E132</f>
        <v>43635460.100000001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SUM(E10:E77)</f>
        <v>4515303.5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7" t="s">
        <v>132</v>
      </c>
      <c r="C60" s="76" t="s">
        <v>17</v>
      </c>
      <c r="D60" s="68" t="s">
        <v>16</v>
      </c>
      <c r="E60" s="69">
        <f>150+400+266+21+350+175+30+175</f>
        <v>1567</v>
      </c>
      <c r="F60" s="70" t="s">
        <v>61</v>
      </c>
      <c r="G60" s="71" t="s">
        <v>125</v>
      </c>
      <c r="H60" s="71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7" t="s">
        <v>135</v>
      </c>
      <c r="C78" s="128"/>
      <c r="D78" s="128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27" t="s">
        <v>136</v>
      </c>
      <c r="C84" s="128"/>
      <c r="D84" s="12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7" t="s">
        <v>137</v>
      </c>
      <c r="C90" s="128"/>
      <c r="D90" s="12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7" t="s">
        <v>138</v>
      </c>
      <c r="C96" s="128"/>
      <c r="D96" s="12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27" t="s">
        <v>139</v>
      </c>
      <c r="C100" s="128"/>
      <c r="D100" s="12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8" t="s">
        <v>140</v>
      </c>
      <c r="C103" s="139"/>
      <c r="D103" s="139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7" t="s">
        <v>141</v>
      </c>
      <c r="C111" s="128"/>
      <c r="D111" s="12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6" t="s">
        <v>142</v>
      </c>
      <c r="C113" s="137"/>
      <c r="D113" s="137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7" t="s">
        <v>143</v>
      </c>
      <c r="C118" s="128"/>
      <c r="D118" s="12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8" t="s">
        <v>144</v>
      </c>
      <c r="C120" s="139"/>
      <c r="D120" s="139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7" t="s">
        <v>145</v>
      </c>
      <c r="C126" s="128"/>
      <c r="D126" s="128"/>
      <c r="E126" s="16">
        <f>SUM(E127:E131)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</f>
        <v>1789024</v>
      </c>
      <c r="F127" s="70" t="s">
        <v>64</v>
      </c>
      <c r="G127" s="71" t="s">
        <v>125</v>
      </c>
      <c r="H127" s="112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42.75" customHeight="1">
      <c r="B130" s="67" t="s">
        <v>132</v>
      </c>
      <c r="C130" s="68" t="s">
        <v>195</v>
      </c>
      <c r="D130" s="68" t="s">
        <v>81</v>
      </c>
      <c r="E130" s="69">
        <v>25000</v>
      </c>
      <c r="F130" s="70" t="s">
        <v>64</v>
      </c>
      <c r="G130" s="71" t="s">
        <v>196</v>
      </c>
      <c r="H130" s="92"/>
    </row>
    <row r="131" spans="2:10" s="18" customFormat="1" ht="80.25" customHeight="1">
      <c r="B131" s="65" t="s">
        <v>132</v>
      </c>
      <c r="C131" s="78" t="s">
        <v>154</v>
      </c>
      <c r="D131" s="78" t="s">
        <v>155</v>
      </c>
      <c r="E131" s="56">
        <f>115976-5976</f>
        <v>110000</v>
      </c>
      <c r="F131" s="79" t="s">
        <v>61</v>
      </c>
      <c r="G131" s="80" t="s">
        <v>152</v>
      </c>
      <c r="H131" s="111" t="s">
        <v>98</v>
      </c>
    </row>
    <row r="132" spans="2:10" ht="70.5" customHeight="1">
      <c r="B132" s="127" t="s">
        <v>146</v>
      </c>
      <c r="C132" s="128"/>
      <c r="D132" s="128"/>
      <c r="E132" s="16">
        <f>SUM(E133:E136)</f>
        <v>631800</v>
      </c>
      <c r="F132" s="13"/>
      <c r="G132" s="14"/>
      <c r="H132" s="10"/>
      <c r="I132" s="61"/>
      <c r="J132" s="63"/>
    </row>
    <row r="133" spans="2:10" s="18" customFormat="1" ht="33.75">
      <c r="B133" s="65" t="s">
        <v>132</v>
      </c>
      <c r="C133" s="99" t="s">
        <v>32</v>
      </c>
      <c r="D133" s="99" t="s">
        <v>29</v>
      </c>
      <c r="E133" s="56">
        <f>264000-4020+90500-480</f>
        <v>350000</v>
      </c>
      <c r="F133" s="100" t="s">
        <v>64</v>
      </c>
      <c r="G133" s="80" t="s">
        <v>125</v>
      </c>
      <c r="H133" s="101"/>
    </row>
    <row r="134" spans="2:10" s="18" customFormat="1" ht="33.75">
      <c r="B134" s="65" t="s">
        <v>132</v>
      </c>
      <c r="C134" s="99" t="s">
        <v>7</v>
      </c>
      <c r="D134" s="99" t="s">
        <v>28</v>
      </c>
      <c r="E134" s="56">
        <v>125450</v>
      </c>
      <c r="F134" s="100" t="s">
        <v>64</v>
      </c>
      <c r="G134" s="80" t="s">
        <v>125</v>
      </c>
      <c r="H134" s="117"/>
    </row>
    <row r="135" spans="2:10" s="18" customFormat="1" ht="25.5">
      <c r="B135" s="65" t="s">
        <v>132</v>
      </c>
      <c r="C135" s="99" t="s">
        <v>7</v>
      </c>
      <c r="D135" s="99" t="s">
        <v>28</v>
      </c>
      <c r="E135" s="56">
        <f>62000+55300-11770</f>
        <v>105530</v>
      </c>
      <c r="F135" s="79" t="s">
        <v>60</v>
      </c>
      <c r="G135" s="80" t="s">
        <v>178</v>
      </c>
      <c r="H135" s="117"/>
    </row>
    <row r="136" spans="2:10" s="1" customFormat="1" ht="33.75">
      <c r="B136" s="104" t="s">
        <v>132</v>
      </c>
      <c r="C136" s="23" t="s">
        <v>14</v>
      </c>
      <c r="D136" s="23" t="s">
        <v>40</v>
      </c>
      <c r="E136" s="24">
        <f>4020+46800</f>
        <v>50820</v>
      </c>
      <c r="F136" s="25" t="s">
        <v>60</v>
      </c>
      <c r="G136" s="26" t="s">
        <v>125</v>
      </c>
      <c r="H136" s="23"/>
    </row>
    <row r="147" spans="7:7">
      <c r="G147" s="63"/>
    </row>
  </sheetData>
  <autoFilter ref="A8:H136"/>
  <mergeCells count="20">
    <mergeCell ref="B126:D126"/>
    <mergeCell ref="B132:D132"/>
    <mergeCell ref="B100:D100"/>
    <mergeCell ref="B103:D103"/>
    <mergeCell ref="B111:D111"/>
    <mergeCell ref="B113:D113"/>
    <mergeCell ref="B118:D118"/>
    <mergeCell ref="B120:D120"/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8"/>
  <sheetViews>
    <sheetView topLeftCell="B1" zoomScaleNormal="100" zoomScaleSheetLayoutView="80" workbookViewId="0">
      <selection activeCell="L128" sqref="L12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0" ht="18.75">
      <c r="B2" s="129" t="s">
        <v>41</v>
      </c>
      <c r="C2" s="129"/>
      <c r="D2" s="129"/>
      <c r="E2" s="129"/>
      <c r="F2" s="129"/>
      <c r="G2" s="129"/>
      <c r="H2" s="129"/>
    </row>
    <row r="3" spans="2:10" ht="18.75">
      <c r="B3" s="130" t="s">
        <v>4</v>
      </c>
      <c r="C3" s="130"/>
      <c r="D3" s="130"/>
      <c r="E3" s="130"/>
      <c r="F3" s="130"/>
      <c r="G3" s="130"/>
      <c r="H3" s="130"/>
    </row>
    <row r="4" spans="2:10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0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0" ht="24.75" customHeight="1">
      <c r="B6" s="132" t="s">
        <v>22</v>
      </c>
      <c r="C6" s="133"/>
      <c r="D6" s="133"/>
      <c r="E6" s="133"/>
      <c r="F6" s="133"/>
      <c r="G6" s="2">
        <f>E9+E78+E84+E90+E96+E100+E103+E111+E113+E118+E120+E126+E133</f>
        <v>43635460.100000001</v>
      </c>
      <c r="H6" s="3" t="s">
        <v>23</v>
      </c>
      <c r="I6" s="63"/>
      <c r="J6" s="63"/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34" t="s">
        <v>131</v>
      </c>
      <c r="C9" s="135"/>
      <c r="D9" s="135"/>
      <c r="E9" s="15">
        <f>SUM(E10:E77)</f>
        <v>4515303.5</v>
      </c>
      <c r="F9" s="11"/>
      <c r="G9" s="9"/>
      <c r="H9" s="10"/>
    </row>
    <row r="10" spans="2:10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</row>
    <row r="11" spans="2:10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10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</row>
    <row r="13" spans="2:10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10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10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10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</row>
    <row r="17" spans="2:10" s="18" customFormat="1" ht="49.5" customHeight="1">
      <c r="B17" s="65" t="s">
        <v>132</v>
      </c>
      <c r="C17" s="78" t="s">
        <v>39</v>
      </c>
      <c r="D17" s="78" t="s">
        <v>58</v>
      </c>
      <c r="E17" s="56">
        <f>60000+9000+15587</f>
        <v>84587</v>
      </c>
      <c r="F17" s="79" t="s">
        <v>64</v>
      </c>
      <c r="G17" s="80" t="s">
        <v>125</v>
      </c>
      <c r="H17" s="78"/>
    </row>
    <row r="18" spans="2:10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</row>
    <row r="19" spans="2:10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/>
    </row>
    <row r="20" spans="2:10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</row>
    <row r="21" spans="2:10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</row>
    <row r="22" spans="2:10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</row>
    <row r="23" spans="2:10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</row>
    <row r="24" spans="2:10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</row>
    <row r="25" spans="2:10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</row>
    <row r="26" spans="2:10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</row>
    <row r="27" spans="2:10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</row>
    <row r="28" spans="2:10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</row>
    <row r="29" spans="2:10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</row>
    <row r="30" spans="2:10" s="18" customFormat="1" ht="33.75">
      <c r="B30" s="65" t="s">
        <v>132</v>
      </c>
      <c r="C30" s="85">
        <v>42900000</v>
      </c>
      <c r="D30" s="85" t="s">
        <v>168</v>
      </c>
      <c r="E30" s="56">
        <f>1920+420</f>
        <v>2340</v>
      </c>
      <c r="F30" s="79" t="s">
        <v>60</v>
      </c>
      <c r="G30" s="110" t="s">
        <v>160</v>
      </c>
      <c r="H30" s="110"/>
    </row>
    <row r="31" spans="2:10" s="18" customFormat="1" ht="51.75" customHeight="1">
      <c r="B31" s="65" t="s">
        <v>132</v>
      </c>
      <c r="C31" s="84">
        <v>41100000</v>
      </c>
      <c r="D31" s="85" t="s">
        <v>149</v>
      </c>
      <c r="E31" s="56">
        <v>6750</v>
      </c>
      <c r="F31" s="79" t="s">
        <v>64</v>
      </c>
      <c r="G31" s="80" t="s">
        <v>125</v>
      </c>
      <c r="H31" s="81"/>
    </row>
    <row r="32" spans="2:10" s="18" customFormat="1" ht="51.75" customHeight="1">
      <c r="B32" s="65" t="s">
        <v>132</v>
      </c>
      <c r="C32" s="84">
        <v>44400000</v>
      </c>
      <c r="D32" s="85" t="s">
        <v>167</v>
      </c>
      <c r="E32" s="56">
        <v>4120</v>
      </c>
      <c r="F32" s="79" t="s">
        <v>64</v>
      </c>
      <c r="G32" s="80" t="s">
        <v>160</v>
      </c>
      <c r="H32" s="81"/>
    </row>
    <row r="33" spans="2:9" s="1" customFormat="1" ht="51.75" customHeight="1">
      <c r="B33" s="104" t="s">
        <v>132</v>
      </c>
      <c r="C33" s="30">
        <v>48400000</v>
      </c>
      <c r="D33" s="34" t="s">
        <v>182</v>
      </c>
      <c r="E33" s="24">
        <f>3234+980</f>
        <v>4214</v>
      </c>
      <c r="F33" s="25" t="s">
        <v>61</v>
      </c>
      <c r="G33" s="26" t="s">
        <v>172</v>
      </c>
      <c r="H33" s="35"/>
    </row>
    <row r="34" spans="2:9" s="18" customFormat="1" ht="51.75" customHeight="1">
      <c r="B34" s="65" t="s">
        <v>132</v>
      </c>
      <c r="C34" s="30">
        <v>45400000</v>
      </c>
      <c r="D34" s="34" t="s">
        <v>102</v>
      </c>
      <c r="E34" s="56">
        <v>40000</v>
      </c>
      <c r="F34" s="25" t="s">
        <v>64</v>
      </c>
      <c r="G34" s="26" t="s">
        <v>125</v>
      </c>
      <c r="H34" s="31"/>
    </row>
    <row r="35" spans="2:9" s="18" customFormat="1" ht="37.5" customHeight="1">
      <c r="B35" s="65" t="s">
        <v>133</v>
      </c>
      <c r="C35" s="30">
        <v>48700000</v>
      </c>
      <c r="D35" s="23" t="s">
        <v>104</v>
      </c>
      <c r="E35" s="56">
        <v>30000</v>
      </c>
      <c r="F35" s="25" t="s">
        <v>64</v>
      </c>
      <c r="G35" s="26" t="s">
        <v>125</v>
      </c>
      <c r="H35" s="31"/>
    </row>
    <row r="36" spans="2:9" s="18" customFormat="1" ht="37.5" customHeight="1">
      <c r="B36" s="65" t="s">
        <v>133</v>
      </c>
      <c r="C36" s="84">
        <v>48800000</v>
      </c>
      <c r="D36" s="78" t="s">
        <v>179</v>
      </c>
      <c r="E36" s="56">
        <f>85900-5900</f>
        <v>80000</v>
      </c>
      <c r="F36" s="56" t="s">
        <v>64</v>
      </c>
      <c r="G36" s="115" t="s">
        <v>173</v>
      </c>
      <c r="H36" s="81"/>
    </row>
    <row r="37" spans="2:9" s="18" customFormat="1" ht="37.5" customHeight="1">
      <c r="B37" s="65" t="s">
        <v>132</v>
      </c>
      <c r="C37" s="84">
        <v>48800000</v>
      </c>
      <c r="D37" s="78" t="s">
        <v>179</v>
      </c>
      <c r="E37" s="56">
        <f>500+5900</f>
        <v>6400</v>
      </c>
      <c r="F37" s="56" t="s">
        <v>64</v>
      </c>
      <c r="G37" s="115" t="s">
        <v>173</v>
      </c>
      <c r="H37" s="81"/>
    </row>
    <row r="38" spans="2:9" s="18" customFormat="1" ht="56.25">
      <c r="B38" s="65" t="s">
        <v>132</v>
      </c>
      <c r="C38" s="78">
        <v>50100000</v>
      </c>
      <c r="D38" s="78" t="s">
        <v>44</v>
      </c>
      <c r="E38" s="56">
        <f>10000+30000</f>
        <v>40000</v>
      </c>
      <c r="F38" s="79" t="s">
        <v>61</v>
      </c>
      <c r="G38" s="80" t="s">
        <v>125</v>
      </c>
      <c r="H38" s="102" t="s">
        <v>66</v>
      </c>
    </row>
    <row r="39" spans="2:9" s="1" customFormat="1" ht="92.25" customHeight="1">
      <c r="B39" s="104" t="s">
        <v>132</v>
      </c>
      <c r="C39" s="23" t="s">
        <v>59</v>
      </c>
      <c r="D39" s="23" t="s">
        <v>62</v>
      </c>
      <c r="E39" s="24">
        <f>120000-30000+15000</f>
        <v>105000</v>
      </c>
      <c r="F39" s="25" t="s">
        <v>64</v>
      </c>
      <c r="G39" s="26" t="s">
        <v>125</v>
      </c>
      <c r="H39" s="36"/>
    </row>
    <row r="40" spans="2:9" s="18" customFormat="1" ht="56.25">
      <c r="B40" s="65" t="s">
        <v>132</v>
      </c>
      <c r="C40" s="78">
        <v>50100000</v>
      </c>
      <c r="D40" s="78" t="s">
        <v>44</v>
      </c>
      <c r="E40" s="56">
        <v>2080</v>
      </c>
      <c r="F40" s="79" t="s">
        <v>61</v>
      </c>
      <c r="G40" s="80" t="s">
        <v>160</v>
      </c>
      <c r="H40" s="102" t="s">
        <v>85</v>
      </c>
    </row>
    <row r="41" spans="2:9" s="18" customFormat="1" ht="92.25" customHeight="1">
      <c r="B41" s="65" t="s">
        <v>132</v>
      </c>
      <c r="C41" s="23" t="s">
        <v>107</v>
      </c>
      <c r="D41" s="23" t="s">
        <v>108</v>
      </c>
      <c r="E41" s="56">
        <v>50000</v>
      </c>
      <c r="F41" s="25" t="s">
        <v>64</v>
      </c>
      <c r="G41" s="26" t="s">
        <v>125</v>
      </c>
      <c r="H41" s="31"/>
    </row>
    <row r="42" spans="2:9" s="18" customFormat="1" ht="92.25" customHeight="1">
      <c r="B42" s="65" t="s">
        <v>132</v>
      </c>
      <c r="C42" s="23" t="s">
        <v>105</v>
      </c>
      <c r="D42" s="23" t="s">
        <v>106</v>
      </c>
      <c r="E42" s="56">
        <v>310000</v>
      </c>
      <c r="F42" s="25" t="s">
        <v>64</v>
      </c>
      <c r="G42" s="26" t="s">
        <v>125</v>
      </c>
      <c r="H42" s="36"/>
    </row>
    <row r="43" spans="2:9" s="18" customFormat="1" ht="115.5" customHeight="1">
      <c r="B43" s="65" t="s">
        <v>132</v>
      </c>
      <c r="C43" s="78" t="s">
        <v>105</v>
      </c>
      <c r="D43" s="78" t="s">
        <v>106</v>
      </c>
      <c r="E43" s="56">
        <f>23265*I43</f>
        <v>62815.500000000007</v>
      </c>
      <c r="F43" s="78" t="s">
        <v>61</v>
      </c>
      <c r="G43" s="80" t="s">
        <v>152</v>
      </c>
      <c r="H43" s="78" t="s">
        <v>180</v>
      </c>
      <c r="I43" s="18">
        <v>2.7</v>
      </c>
    </row>
    <row r="44" spans="2:9" s="18" customFormat="1" ht="115.5" customHeight="1">
      <c r="B44" s="65" t="s">
        <v>147</v>
      </c>
      <c r="C44" s="23" t="s">
        <v>109</v>
      </c>
      <c r="D44" s="23" t="s">
        <v>110</v>
      </c>
      <c r="E44" s="56">
        <f>60000+45000-20000</f>
        <v>85000</v>
      </c>
      <c r="F44" s="25" t="s">
        <v>64</v>
      </c>
      <c r="G44" s="26" t="s">
        <v>125</v>
      </c>
      <c r="H44" s="36"/>
    </row>
    <row r="45" spans="2:9" s="18" customFormat="1" ht="102.75" customHeight="1">
      <c r="B45" s="65" t="s">
        <v>132</v>
      </c>
      <c r="C45" s="23" t="s">
        <v>86</v>
      </c>
      <c r="D45" s="23" t="s">
        <v>87</v>
      </c>
      <c r="E45" s="56">
        <v>8000</v>
      </c>
      <c r="F45" s="25" t="s">
        <v>64</v>
      </c>
      <c r="G45" s="26" t="s">
        <v>125</v>
      </c>
      <c r="H45" s="23"/>
    </row>
    <row r="46" spans="2:9" s="18" customFormat="1" ht="115.5" customHeight="1">
      <c r="B46" s="65" t="s">
        <v>132</v>
      </c>
      <c r="C46" s="23">
        <v>50700000</v>
      </c>
      <c r="D46" s="23" t="s">
        <v>13</v>
      </c>
      <c r="E46" s="56">
        <f>1600000-59200</f>
        <v>1540800</v>
      </c>
      <c r="F46" s="23" t="s">
        <v>61</v>
      </c>
      <c r="G46" s="26" t="s">
        <v>125</v>
      </c>
      <c r="H46" s="23" t="s">
        <v>99</v>
      </c>
    </row>
    <row r="47" spans="2:9" s="18" customFormat="1" ht="115.5" customHeight="1">
      <c r="B47" s="65" t="s">
        <v>132</v>
      </c>
      <c r="C47" s="78">
        <v>50700000</v>
      </c>
      <c r="D47" s="78" t="s">
        <v>13</v>
      </c>
      <c r="E47" s="56">
        <f>93000-45000+20000+46148</f>
        <v>114148</v>
      </c>
      <c r="F47" s="78" t="s">
        <v>64</v>
      </c>
      <c r="G47" s="80" t="s">
        <v>125</v>
      </c>
      <c r="H47" s="78"/>
    </row>
    <row r="48" spans="2:9" s="18" customFormat="1" ht="115.5" customHeight="1">
      <c r="B48" s="65" t="s">
        <v>132</v>
      </c>
      <c r="C48" s="78" t="s">
        <v>117</v>
      </c>
      <c r="D48" s="78" t="s">
        <v>118</v>
      </c>
      <c r="E48" s="56">
        <f>120000+68250</f>
        <v>188250</v>
      </c>
      <c r="F48" s="78" t="s">
        <v>64</v>
      </c>
      <c r="G48" s="80" t="s">
        <v>125</v>
      </c>
      <c r="H48" s="78"/>
    </row>
    <row r="49" spans="2:10" s="18" customFormat="1" ht="115.5" customHeight="1">
      <c r="B49" s="65" t="s">
        <v>132</v>
      </c>
      <c r="C49" s="23" t="s">
        <v>111</v>
      </c>
      <c r="D49" s="23" t="s">
        <v>112</v>
      </c>
      <c r="E49" s="56">
        <v>120000</v>
      </c>
      <c r="F49" s="23" t="s">
        <v>64</v>
      </c>
      <c r="G49" s="26" t="s">
        <v>125</v>
      </c>
      <c r="H49" s="23"/>
    </row>
    <row r="50" spans="2:10" s="18" customFormat="1" ht="58.5" customHeight="1">
      <c r="B50" s="65" t="s">
        <v>132</v>
      </c>
      <c r="C50" s="30">
        <v>63700000</v>
      </c>
      <c r="D50" s="23" t="s">
        <v>70</v>
      </c>
      <c r="E50" s="56">
        <v>2000</v>
      </c>
      <c r="F50" s="25" t="s">
        <v>61</v>
      </c>
      <c r="G50" s="26" t="s">
        <v>125</v>
      </c>
      <c r="H50" s="26" t="s">
        <v>85</v>
      </c>
    </row>
    <row r="51" spans="2:10" s="18" customFormat="1" ht="63.75" customHeight="1">
      <c r="B51" s="65" t="s">
        <v>132</v>
      </c>
      <c r="C51" s="23" t="s">
        <v>47</v>
      </c>
      <c r="D51" s="23" t="s">
        <v>48</v>
      </c>
      <c r="E51" s="56">
        <v>6000</v>
      </c>
      <c r="F51" s="25" t="s">
        <v>64</v>
      </c>
      <c r="G51" s="26" t="s">
        <v>125</v>
      </c>
      <c r="H51" s="23"/>
    </row>
    <row r="52" spans="2:10" s="18" customFormat="1" ht="33.75">
      <c r="B52" s="65" t="s">
        <v>132</v>
      </c>
      <c r="C52" s="38" t="s">
        <v>18</v>
      </c>
      <c r="D52" s="23" t="s">
        <v>46</v>
      </c>
      <c r="E52" s="56">
        <v>25000</v>
      </c>
      <c r="F52" s="25" t="s">
        <v>64</v>
      </c>
      <c r="G52" s="26" t="s">
        <v>125</v>
      </c>
      <c r="H52" s="33"/>
    </row>
    <row r="53" spans="2:10" s="18" customFormat="1" ht="56.25">
      <c r="B53" s="65" t="s">
        <v>132</v>
      </c>
      <c r="C53" s="38" t="s">
        <v>18</v>
      </c>
      <c r="D53" s="23" t="s">
        <v>46</v>
      </c>
      <c r="E53" s="56">
        <v>25500</v>
      </c>
      <c r="F53" s="25" t="s">
        <v>61</v>
      </c>
      <c r="G53" s="26" t="s">
        <v>125</v>
      </c>
      <c r="H53" s="26" t="s">
        <v>96</v>
      </c>
    </row>
    <row r="54" spans="2:10" s="18" customFormat="1" ht="56.25">
      <c r="B54" s="65" t="s">
        <v>132</v>
      </c>
      <c r="C54" s="77" t="s">
        <v>161</v>
      </c>
      <c r="D54" s="78" t="s">
        <v>46</v>
      </c>
      <c r="E54" s="56">
        <v>9000</v>
      </c>
      <c r="F54" s="79" t="s">
        <v>61</v>
      </c>
      <c r="G54" s="80" t="s">
        <v>152</v>
      </c>
      <c r="H54" s="80" t="s">
        <v>162</v>
      </c>
    </row>
    <row r="55" spans="2:10" s="18" customFormat="1" ht="33.75">
      <c r="B55" s="65" t="s">
        <v>132</v>
      </c>
      <c r="C55" s="77" t="s">
        <v>18</v>
      </c>
      <c r="D55" s="78" t="s">
        <v>46</v>
      </c>
      <c r="E55" s="56">
        <f>24000+3260</f>
        <v>27260</v>
      </c>
      <c r="F55" s="79" t="s">
        <v>60</v>
      </c>
      <c r="G55" s="80" t="s">
        <v>125</v>
      </c>
      <c r="H55" s="125"/>
    </row>
    <row r="56" spans="2:10" s="18" customFormat="1" ht="33.75">
      <c r="B56" s="65" t="s">
        <v>134</v>
      </c>
      <c r="C56" s="38" t="s">
        <v>114</v>
      </c>
      <c r="D56" s="23" t="s">
        <v>113</v>
      </c>
      <c r="E56" s="56">
        <v>30000</v>
      </c>
      <c r="F56" s="25" t="s">
        <v>64</v>
      </c>
      <c r="G56" s="26" t="s">
        <v>125</v>
      </c>
      <c r="H56" s="26"/>
    </row>
    <row r="57" spans="2:10" s="18" customFormat="1" ht="33.75">
      <c r="B57" s="65" t="s">
        <v>132</v>
      </c>
      <c r="C57" s="38" t="s">
        <v>55</v>
      </c>
      <c r="D57" s="23" t="s">
        <v>56</v>
      </c>
      <c r="E57" s="56">
        <v>1680</v>
      </c>
      <c r="F57" s="25" t="s">
        <v>91</v>
      </c>
      <c r="G57" s="26" t="s">
        <v>125</v>
      </c>
      <c r="H57" s="33"/>
    </row>
    <row r="58" spans="2:10" s="18" customFormat="1" ht="57" customHeight="1">
      <c r="B58" s="65" t="s">
        <v>132</v>
      </c>
      <c r="C58" s="77" t="s">
        <v>17</v>
      </c>
      <c r="D58" s="78" t="s">
        <v>16</v>
      </c>
      <c r="E58" s="56">
        <f>90000+34000</f>
        <v>124000</v>
      </c>
      <c r="F58" s="79" t="s">
        <v>61</v>
      </c>
      <c r="G58" s="80" t="s">
        <v>125</v>
      </c>
      <c r="H58" s="80" t="s">
        <v>67</v>
      </c>
    </row>
    <row r="59" spans="2:10" s="18" customFormat="1" ht="57" customHeight="1">
      <c r="B59" s="65" t="s">
        <v>132</v>
      </c>
      <c r="C59" s="77" t="s">
        <v>189</v>
      </c>
      <c r="D59" s="78" t="s">
        <v>190</v>
      </c>
      <c r="E59" s="56">
        <v>15000</v>
      </c>
      <c r="F59" s="79" t="s">
        <v>64</v>
      </c>
      <c r="G59" s="80" t="s">
        <v>183</v>
      </c>
      <c r="H59" s="80"/>
    </row>
    <row r="60" spans="2:10" s="18" customFormat="1" ht="65.25" customHeight="1">
      <c r="B60" s="65" t="s">
        <v>132</v>
      </c>
      <c r="C60" s="77" t="s">
        <v>17</v>
      </c>
      <c r="D60" s="78" t="s">
        <v>16</v>
      </c>
      <c r="E60" s="56">
        <f>150+400+266+21+350+175+30+175</f>
        <v>1567</v>
      </c>
      <c r="F60" s="79" t="s">
        <v>61</v>
      </c>
      <c r="G60" s="80" t="s">
        <v>125</v>
      </c>
      <c r="H60" s="80"/>
      <c r="J60" s="20"/>
    </row>
    <row r="61" spans="2:10" s="18" customFormat="1" ht="56.25">
      <c r="B61" s="65" t="s">
        <v>132</v>
      </c>
      <c r="C61" s="38" t="s">
        <v>77</v>
      </c>
      <c r="D61" s="23" t="s">
        <v>78</v>
      </c>
      <c r="E61" s="56">
        <v>3000</v>
      </c>
      <c r="F61" s="25" t="s">
        <v>61</v>
      </c>
      <c r="G61" s="26" t="s">
        <v>125</v>
      </c>
      <c r="H61" s="26" t="s">
        <v>79</v>
      </c>
    </row>
    <row r="62" spans="2:10" s="18" customFormat="1" ht="56.25">
      <c r="B62" s="65" t="s">
        <v>132</v>
      </c>
      <c r="C62" s="77" t="s">
        <v>163</v>
      </c>
      <c r="D62" s="78" t="s">
        <v>164</v>
      </c>
      <c r="E62" s="56">
        <v>500</v>
      </c>
      <c r="F62" s="79" t="s">
        <v>61</v>
      </c>
      <c r="G62" s="80" t="s">
        <v>152</v>
      </c>
      <c r="H62" s="80" t="s">
        <v>79</v>
      </c>
    </row>
    <row r="63" spans="2:10" s="18" customFormat="1" ht="75" customHeight="1">
      <c r="B63" s="65" t="s">
        <v>132</v>
      </c>
      <c r="C63" s="77" t="s">
        <v>25</v>
      </c>
      <c r="D63" s="78" t="s">
        <v>119</v>
      </c>
      <c r="E63" s="56">
        <v>100000</v>
      </c>
      <c r="F63" s="79" t="s">
        <v>64</v>
      </c>
      <c r="G63" s="80" t="s">
        <v>125</v>
      </c>
      <c r="H63" s="80"/>
    </row>
    <row r="64" spans="2:10" s="1" customFormat="1" ht="75" customHeight="1">
      <c r="B64" s="104" t="s">
        <v>132</v>
      </c>
      <c r="C64" s="38" t="s">
        <v>163</v>
      </c>
      <c r="D64" s="23" t="s">
        <v>164</v>
      </c>
      <c r="E64" s="24">
        <v>4900</v>
      </c>
      <c r="F64" s="25" t="s">
        <v>61</v>
      </c>
      <c r="G64" s="26" t="s">
        <v>183</v>
      </c>
      <c r="H64" s="26"/>
    </row>
    <row r="65" spans="2:10" s="1" customFormat="1" ht="63.75" customHeight="1">
      <c r="B65" s="104" t="s">
        <v>132</v>
      </c>
      <c r="C65" s="23" t="s">
        <v>45</v>
      </c>
      <c r="D65" s="23" t="s">
        <v>63</v>
      </c>
      <c r="E65" s="24">
        <f>6000+3850</f>
        <v>9850</v>
      </c>
      <c r="F65" s="25" t="s">
        <v>64</v>
      </c>
      <c r="G65" s="26" t="s">
        <v>125</v>
      </c>
      <c r="H65" s="26"/>
    </row>
    <row r="66" spans="2:10" s="18" customFormat="1" ht="63.75" customHeight="1">
      <c r="B66" s="65" t="s">
        <v>132</v>
      </c>
      <c r="C66" s="78" t="s">
        <v>120</v>
      </c>
      <c r="D66" s="78" t="s">
        <v>121</v>
      </c>
      <c r="E66" s="56">
        <v>450</v>
      </c>
      <c r="F66" s="79" t="s">
        <v>61</v>
      </c>
      <c r="G66" s="80" t="s">
        <v>125</v>
      </c>
      <c r="H66" s="80"/>
    </row>
    <row r="67" spans="2:10" s="18" customFormat="1" ht="77.25" customHeight="1">
      <c r="B67" s="65" t="s">
        <v>132</v>
      </c>
      <c r="C67" s="30">
        <v>79700000</v>
      </c>
      <c r="D67" s="23" t="s">
        <v>27</v>
      </c>
      <c r="E67" s="56">
        <v>600000</v>
      </c>
      <c r="F67" s="25" t="s">
        <v>61</v>
      </c>
      <c r="G67" s="26" t="s">
        <v>125</v>
      </c>
      <c r="H67" s="26" t="s">
        <v>80</v>
      </c>
    </row>
    <row r="68" spans="2:10" s="18" customFormat="1" ht="62.25" customHeight="1">
      <c r="B68" s="65" t="s">
        <v>132</v>
      </c>
      <c r="C68" s="30">
        <v>79800000</v>
      </c>
      <c r="D68" s="23" t="s">
        <v>81</v>
      </c>
      <c r="E68" s="56">
        <v>10000</v>
      </c>
      <c r="F68" s="25" t="s">
        <v>64</v>
      </c>
      <c r="G68" s="26" t="s">
        <v>125</v>
      </c>
      <c r="H68" s="26"/>
    </row>
    <row r="69" spans="2:10" s="18" customFormat="1" ht="62.25" customHeight="1">
      <c r="B69" s="65" t="s">
        <v>132</v>
      </c>
      <c r="C69" s="78" t="s">
        <v>53</v>
      </c>
      <c r="D69" s="78" t="s">
        <v>65</v>
      </c>
      <c r="E69" s="56">
        <f>20000+12000-2305</f>
        <v>29695</v>
      </c>
      <c r="F69" s="79" t="s">
        <v>61</v>
      </c>
      <c r="G69" s="80" t="s">
        <v>125</v>
      </c>
      <c r="H69" s="78" t="s">
        <v>68</v>
      </c>
    </row>
    <row r="70" spans="2:10" s="18" customFormat="1" ht="62.25" customHeight="1">
      <c r="B70" s="65" t="s">
        <v>132</v>
      </c>
      <c r="C70" s="78" t="s">
        <v>53</v>
      </c>
      <c r="D70" s="78" t="s">
        <v>65</v>
      </c>
      <c r="E70" s="56">
        <v>2305</v>
      </c>
      <c r="F70" s="79" t="s">
        <v>61</v>
      </c>
      <c r="G70" s="80" t="s">
        <v>173</v>
      </c>
      <c r="H70" s="78"/>
    </row>
    <row r="71" spans="2:10" s="18" customFormat="1" ht="62.25" customHeight="1">
      <c r="B71" s="65" t="s">
        <v>132</v>
      </c>
      <c r="C71" s="38" t="s">
        <v>24</v>
      </c>
      <c r="D71" s="23" t="s">
        <v>71</v>
      </c>
      <c r="E71" s="56">
        <v>12000</v>
      </c>
      <c r="F71" s="25" t="s">
        <v>64</v>
      </c>
      <c r="G71" s="26" t="s">
        <v>125</v>
      </c>
      <c r="H71" s="23"/>
    </row>
    <row r="72" spans="2:10" s="18" customFormat="1" ht="62.25" customHeight="1">
      <c r="B72" s="65" t="s">
        <v>132</v>
      </c>
      <c r="C72" s="38" t="s">
        <v>122</v>
      </c>
      <c r="D72" s="23" t="s">
        <v>123</v>
      </c>
      <c r="E72" s="56">
        <v>1000</v>
      </c>
      <c r="F72" s="25" t="s">
        <v>61</v>
      </c>
      <c r="G72" s="26" t="s">
        <v>125</v>
      </c>
      <c r="H72" s="23"/>
    </row>
    <row r="73" spans="2:10" s="18" customFormat="1" ht="60.75" customHeight="1">
      <c r="B73" s="65" t="s">
        <v>132</v>
      </c>
      <c r="C73" s="78" t="s">
        <v>82</v>
      </c>
      <c r="D73" s="78" t="s">
        <v>83</v>
      </c>
      <c r="E73" s="56">
        <v>10000</v>
      </c>
      <c r="F73" s="79" t="s">
        <v>61</v>
      </c>
      <c r="G73" s="80" t="s">
        <v>125</v>
      </c>
      <c r="H73" s="80" t="s">
        <v>79</v>
      </c>
    </row>
    <row r="74" spans="2:10" s="18" customFormat="1" ht="36.75" customHeight="1">
      <c r="B74" s="65" t="s">
        <v>132</v>
      </c>
      <c r="C74" s="78" t="s">
        <v>12</v>
      </c>
      <c r="D74" s="78" t="s">
        <v>19</v>
      </c>
      <c r="E74" s="56">
        <f>80000+110000</f>
        <v>190000</v>
      </c>
      <c r="F74" s="79" t="s">
        <v>64</v>
      </c>
      <c r="G74" s="80" t="s">
        <v>125</v>
      </c>
      <c r="H74" s="81"/>
    </row>
    <row r="75" spans="2:10" s="18" customFormat="1" ht="54.75" customHeight="1">
      <c r="B75" s="65" t="s">
        <v>132</v>
      </c>
      <c r="C75" s="78" t="s">
        <v>115</v>
      </c>
      <c r="D75" s="78" t="s">
        <v>116</v>
      </c>
      <c r="E75" s="56">
        <v>15000</v>
      </c>
      <c r="F75" s="79" t="s">
        <v>61</v>
      </c>
      <c r="G75" s="80" t="s">
        <v>125</v>
      </c>
      <c r="H75" s="80" t="s">
        <v>79</v>
      </c>
    </row>
    <row r="76" spans="2:10" s="18" customFormat="1" ht="89.25" customHeight="1">
      <c r="B76" s="65" t="s">
        <v>132</v>
      </c>
      <c r="C76" s="78" t="s">
        <v>193</v>
      </c>
      <c r="D76" s="78" t="s">
        <v>194</v>
      </c>
      <c r="E76" s="56">
        <f>11500*2.85</f>
        <v>32775</v>
      </c>
      <c r="F76" s="111" t="s">
        <v>61</v>
      </c>
      <c r="G76" s="111" t="s">
        <v>187</v>
      </c>
      <c r="H76" s="111" t="s">
        <v>157</v>
      </c>
      <c r="J76" s="21"/>
    </row>
    <row r="77" spans="2:10" s="18" customFormat="1" ht="54.75" customHeight="1">
      <c r="B77" s="108" t="s">
        <v>132</v>
      </c>
      <c r="C77" s="78" t="s">
        <v>165</v>
      </c>
      <c r="D77" s="78" t="s">
        <v>166</v>
      </c>
      <c r="E77" s="56">
        <v>4900</v>
      </c>
      <c r="F77" s="79" t="s">
        <v>61</v>
      </c>
      <c r="G77" s="80" t="s">
        <v>152</v>
      </c>
      <c r="H77" s="80" t="s">
        <v>79</v>
      </c>
    </row>
    <row r="78" spans="2:10" s="1" customFormat="1" ht="75" customHeight="1">
      <c r="B78" s="127" t="s">
        <v>135</v>
      </c>
      <c r="C78" s="128"/>
      <c r="D78" s="128"/>
      <c r="E78" s="16">
        <f>SUM(E79:E83)</f>
        <v>2283000</v>
      </c>
      <c r="F78" s="13"/>
      <c r="G78" s="14"/>
      <c r="H78" s="10"/>
      <c r="I78" s="61"/>
      <c r="J78" s="62"/>
    </row>
    <row r="79" spans="2:10" s="18" customFormat="1" ht="59.25" customHeight="1">
      <c r="B79" s="65" t="s">
        <v>132</v>
      </c>
      <c r="C79" s="78" t="s">
        <v>24</v>
      </c>
      <c r="D79" s="78" t="s">
        <v>71</v>
      </c>
      <c r="E79" s="56">
        <f>1710000-142500-E82-E81-100000+685000+90000-136543.4-31970-33486.6</f>
        <v>1820789</v>
      </c>
      <c r="F79" s="79" t="s">
        <v>64</v>
      </c>
      <c r="G79" s="80" t="s">
        <v>125</v>
      </c>
      <c r="H79" s="86"/>
      <c r="J79" s="21"/>
    </row>
    <row r="80" spans="2:10" s="18" customFormat="1" ht="59.25" customHeight="1">
      <c r="B80" s="65" t="s">
        <v>132</v>
      </c>
      <c r="C80" s="78" t="s">
        <v>25</v>
      </c>
      <c r="D80" s="103" t="s">
        <v>69</v>
      </c>
      <c r="E80" s="56">
        <v>100000</v>
      </c>
      <c r="F80" s="79" t="s">
        <v>64</v>
      </c>
      <c r="G80" s="80" t="s">
        <v>187</v>
      </c>
      <c r="H80" s="111"/>
      <c r="I80" s="21"/>
      <c r="J80" s="21"/>
    </row>
    <row r="81" spans="2:14" s="18" customFormat="1" ht="67.5">
      <c r="B81" s="65" t="s">
        <v>132</v>
      </c>
      <c r="C81" s="78" t="s">
        <v>103</v>
      </c>
      <c r="D81" s="78" t="s">
        <v>71</v>
      </c>
      <c r="E81" s="56">
        <v>19098</v>
      </c>
      <c r="F81" s="79" t="s">
        <v>61</v>
      </c>
      <c r="G81" s="80" t="s">
        <v>186</v>
      </c>
      <c r="H81" s="111" t="s">
        <v>98</v>
      </c>
      <c r="J81" s="21"/>
    </row>
    <row r="82" spans="2:14" s="18" customFormat="1" ht="67.5">
      <c r="B82" s="65" t="s">
        <v>132</v>
      </c>
      <c r="C82" s="78" t="s">
        <v>103</v>
      </c>
      <c r="D82" s="78" t="s">
        <v>71</v>
      </c>
      <c r="E82" s="56">
        <v>200613</v>
      </c>
      <c r="F82" s="79" t="s">
        <v>61</v>
      </c>
      <c r="G82" s="80" t="s">
        <v>150</v>
      </c>
      <c r="H82" s="111" t="s">
        <v>98</v>
      </c>
    </row>
    <row r="83" spans="2:14" s="18" customFormat="1" ht="98.25" customHeight="1">
      <c r="B83" s="65" t="s">
        <v>132</v>
      </c>
      <c r="C83" s="78" t="s">
        <v>24</v>
      </c>
      <c r="D83" s="78" t="s">
        <v>71</v>
      </c>
      <c r="E83" s="56">
        <v>142500</v>
      </c>
      <c r="F83" s="79" t="s">
        <v>61</v>
      </c>
      <c r="G83" s="80" t="s">
        <v>125</v>
      </c>
      <c r="H83" s="111" t="s">
        <v>128</v>
      </c>
      <c r="J83" s="21"/>
    </row>
    <row r="84" spans="2:14" s="1" customFormat="1" ht="31.5" customHeight="1">
      <c r="B84" s="127" t="s">
        <v>136</v>
      </c>
      <c r="C84" s="128"/>
      <c r="D84" s="128"/>
      <c r="E84" s="16">
        <f>SUM(E85:E89)</f>
        <v>21896000</v>
      </c>
      <c r="F84" s="13"/>
      <c r="G84" s="9"/>
      <c r="H84" s="10"/>
      <c r="I84" s="61"/>
      <c r="J84" s="62"/>
    </row>
    <row r="85" spans="2:14" s="18" customFormat="1" ht="75.75" customHeight="1">
      <c r="B85" s="65" t="s">
        <v>132</v>
      </c>
      <c r="C85" s="78" t="s">
        <v>7</v>
      </c>
      <c r="D85" s="78" t="s">
        <v>57</v>
      </c>
      <c r="E85" s="56">
        <f>3750000+400000-1000000+151300</f>
        <v>3301300</v>
      </c>
      <c r="F85" s="79" t="s">
        <v>61</v>
      </c>
      <c r="G85" s="80" t="s">
        <v>125</v>
      </c>
      <c r="H85" s="111" t="s">
        <v>97</v>
      </c>
    </row>
    <row r="86" spans="2:14" s="18" customFormat="1" ht="75.75" customHeight="1">
      <c r="B86" s="123" t="s">
        <v>133</v>
      </c>
      <c r="C86" s="78" t="s">
        <v>7</v>
      </c>
      <c r="D86" s="78" t="s">
        <v>57</v>
      </c>
      <c r="E86" s="56">
        <v>154700</v>
      </c>
      <c r="F86" s="79" t="s">
        <v>61</v>
      </c>
      <c r="G86" s="80" t="s">
        <v>125</v>
      </c>
      <c r="H86" s="111" t="s">
        <v>97</v>
      </c>
      <c r="I86" s="21"/>
      <c r="J86" s="21"/>
    </row>
    <row r="87" spans="2:14" s="18" customFormat="1" ht="121.5" customHeight="1">
      <c r="B87" s="65" t="s">
        <v>132</v>
      </c>
      <c r="C87" s="78">
        <v>33600000</v>
      </c>
      <c r="D87" s="78" t="s">
        <v>29</v>
      </c>
      <c r="E87" s="56">
        <f>1440000+270000-22680-444000+402700+5692300-308320-22680</f>
        <v>7007320</v>
      </c>
      <c r="F87" s="79" t="s">
        <v>64</v>
      </c>
      <c r="G87" s="80" t="s">
        <v>125</v>
      </c>
      <c r="H87" s="86"/>
      <c r="I87" s="21"/>
      <c r="J87" s="21"/>
      <c r="K87" s="21"/>
      <c r="L87" s="21"/>
      <c r="M87" s="21"/>
    </row>
    <row r="88" spans="2:14" s="18" customFormat="1" ht="121.5" customHeight="1">
      <c r="B88" s="65" t="s">
        <v>132</v>
      </c>
      <c r="C88" s="78" t="s">
        <v>32</v>
      </c>
      <c r="D88" s="78" t="s">
        <v>29</v>
      </c>
      <c r="E88" s="56">
        <v>22680</v>
      </c>
      <c r="F88" s="79" t="s">
        <v>61</v>
      </c>
      <c r="G88" s="80" t="s">
        <v>150</v>
      </c>
      <c r="H88" s="111" t="s">
        <v>157</v>
      </c>
      <c r="I88" s="21"/>
      <c r="J88" s="21"/>
      <c r="K88" s="21"/>
      <c r="L88" s="21"/>
      <c r="M88" s="21"/>
    </row>
    <row r="89" spans="2:14" s="18" customFormat="1" ht="87.75" customHeight="1">
      <c r="B89" s="65" t="s">
        <v>132</v>
      </c>
      <c r="C89" s="78" t="s">
        <v>32</v>
      </c>
      <c r="D89" s="78" t="s">
        <v>29</v>
      </c>
      <c r="E89" s="56">
        <f>16410000-5000000</f>
        <v>11410000</v>
      </c>
      <c r="F89" s="79" t="s">
        <v>61</v>
      </c>
      <c r="G89" s="80" t="s">
        <v>125</v>
      </c>
      <c r="H89" s="111" t="s">
        <v>98</v>
      </c>
      <c r="J89" s="21"/>
      <c r="K89" s="21"/>
      <c r="M89" s="21"/>
    </row>
    <row r="90" spans="2:14" s="1" customFormat="1" ht="60" customHeight="1">
      <c r="B90" s="127" t="s">
        <v>137</v>
      </c>
      <c r="C90" s="128"/>
      <c r="D90" s="128"/>
      <c r="E90" s="16">
        <f>SUM(E91:E95)</f>
        <v>1700000</v>
      </c>
      <c r="F90" s="13"/>
      <c r="G90" s="14"/>
      <c r="H90" s="10"/>
      <c r="I90" s="61"/>
      <c r="J90" s="105"/>
      <c r="N90" s="62"/>
    </row>
    <row r="91" spans="2:14" s="1" customFormat="1" ht="36.75" customHeight="1">
      <c r="B91" s="104" t="s">
        <v>132</v>
      </c>
      <c r="C91" s="23" t="s">
        <v>7</v>
      </c>
      <c r="D91" s="23" t="s">
        <v>28</v>
      </c>
      <c r="E91" s="24">
        <v>42272.9</v>
      </c>
      <c r="F91" s="25" t="s">
        <v>64</v>
      </c>
      <c r="G91" s="26" t="s">
        <v>125</v>
      </c>
      <c r="H91" s="41"/>
    </row>
    <row r="92" spans="2:14" s="1" customFormat="1" ht="51" customHeight="1">
      <c r="B92" s="104" t="s">
        <v>132</v>
      </c>
      <c r="C92" s="23" t="s">
        <v>32</v>
      </c>
      <c r="D92" s="23" t="s">
        <v>29</v>
      </c>
      <c r="E92" s="24">
        <v>60607.14</v>
      </c>
      <c r="F92" s="25" t="s">
        <v>64</v>
      </c>
      <c r="G92" s="26" t="s">
        <v>125</v>
      </c>
      <c r="H92" s="41"/>
      <c r="J92" s="62"/>
    </row>
    <row r="93" spans="2:14" s="1" customFormat="1" ht="45" customHeight="1">
      <c r="B93" s="104" t="s">
        <v>132</v>
      </c>
      <c r="C93" s="23" t="s">
        <v>89</v>
      </c>
      <c r="D93" s="23" t="s">
        <v>90</v>
      </c>
      <c r="E93" s="24">
        <v>798000</v>
      </c>
      <c r="F93" s="25" t="s">
        <v>64</v>
      </c>
      <c r="G93" s="26" t="s">
        <v>125</v>
      </c>
      <c r="H93" s="48"/>
    </row>
    <row r="94" spans="2:14" s="1" customFormat="1" ht="78.75">
      <c r="B94" s="104" t="s">
        <v>132</v>
      </c>
      <c r="C94" s="23" t="s">
        <v>24</v>
      </c>
      <c r="D94" s="23" t="s">
        <v>71</v>
      </c>
      <c r="E94" s="24">
        <v>69239.960000000006</v>
      </c>
      <c r="F94" s="25" t="s">
        <v>61</v>
      </c>
      <c r="G94" s="26" t="s">
        <v>125</v>
      </c>
      <c r="H94" s="48" t="s">
        <v>129</v>
      </c>
      <c r="J94" s="62"/>
    </row>
    <row r="95" spans="2:14" s="1" customFormat="1" ht="67.5">
      <c r="B95" s="104" t="s">
        <v>132</v>
      </c>
      <c r="C95" s="23" t="s">
        <v>24</v>
      </c>
      <c r="D95" s="23" t="s">
        <v>71</v>
      </c>
      <c r="E95" s="24">
        <v>729880</v>
      </c>
      <c r="F95" s="25" t="s">
        <v>61</v>
      </c>
      <c r="G95" s="26" t="s">
        <v>152</v>
      </c>
      <c r="H95" s="48" t="s">
        <v>98</v>
      </c>
    </row>
    <row r="96" spans="2:14" s="1" customFormat="1" ht="65.25" customHeight="1">
      <c r="B96" s="127" t="s">
        <v>138</v>
      </c>
      <c r="C96" s="128"/>
      <c r="D96" s="128"/>
      <c r="E96" s="16">
        <f>SUM(E97:E99)</f>
        <v>1672000</v>
      </c>
      <c r="F96" s="13"/>
      <c r="G96" s="14"/>
      <c r="H96" s="10"/>
      <c r="I96" s="61"/>
      <c r="J96" s="62"/>
    </row>
    <row r="97" spans="2:11" s="1" customFormat="1" ht="33.75">
      <c r="B97" s="104" t="s">
        <v>132</v>
      </c>
      <c r="C97" s="36" t="s">
        <v>25</v>
      </c>
      <c r="D97" s="36" t="s">
        <v>69</v>
      </c>
      <c r="E97" s="24">
        <f>55000+145000</f>
        <v>200000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23">
        <v>85100000</v>
      </c>
      <c r="D98" s="23" t="s">
        <v>71</v>
      </c>
      <c r="E98" s="24">
        <v>127500.5</v>
      </c>
      <c r="F98" s="25" t="s">
        <v>61</v>
      </c>
      <c r="G98" s="26" t="s">
        <v>125</v>
      </c>
      <c r="H98" s="45" t="s">
        <v>124</v>
      </c>
    </row>
    <row r="99" spans="2:11" s="18" customFormat="1" ht="60.75" customHeight="1">
      <c r="B99" s="65" t="s">
        <v>132</v>
      </c>
      <c r="C99" s="78">
        <v>85100000</v>
      </c>
      <c r="D99" s="78" t="s">
        <v>71</v>
      </c>
      <c r="E99" s="56">
        <f>1460000+111200-145000-81700.5</f>
        <v>1344499.5</v>
      </c>
      <c r="F99" s="79" t="s">
        <v>61</v>
      </c>
      <c r="G99" s="80" t="s">
        <v>125</v>
      </c>
      <c r="H99" s="111" t="s">
        <v>98</v>
      </c>
      <c r="K99" s="21"/>
    </row>
    <row r="100" spans="2:11" s="1" customFormat="1" ht="61.5" customHeight="1">
      <c r="B100" s="127" t="s">
        <v>139</v>
      </c>
      <c r="C100" s="128"/>
      <c r="D100" s="128"/>
      <c r="E100" s="16">
        <f>SUM(E101:E102)</f>
        <v>184166.6</v>
      </c>
      <c r="F100" s="13"/>
      <c r="G100" s="14"/>
      <c r="H100" s="10"/>
      <c r="I100" s="61"/>
      <c r="J100" s="62"/>
    </row>
    <row r="101" spans="2:11" s="18" customFormat="1" ht="70.5" customHeight="1">
      <c r="B101" s="65" t="s">
        <v>132</v>
      </c>
      <c r="C101" s="23" t="s">
        <v>24</v>
      </c>
      <c r="D101" s="23" t="s">
        <v>71</v>
      </c>
      <c r="E101" s="56">
        <v>14166.6</v>
      </c>
      <c r="F101" s="25" t="s">
        <v>61</v>
      </c>
      <c r="G101" s="26" t="s">
        <v>125</v>
      </c>
      <c r="H101" s="48" t="s">
        <v>76</v>
      </c>
    </row>
    <row r="102" spans="2:11" s="1" customFormat="1" ht="75" customHeight="1">
      <c r="B102" s="104" t="s">
        <v>132</v>
      </c>
      <c r="C102" s="23" t="s">
        <v>24</v>
      </c>
      <c r="D102" s="23" t="s">
        <v>71</v>
      </c>
      <c r="E102" s="24">
        <v>170000</v>
      </c>
      <c r="F102" s="25" t="s">
        <v>61</v>
      </c>
      <c r="G102" s="26" t="s">
        <v>125</v>
      </c>
      <c r="H102" s="48" t="s">
        <v>98</v>
      </c>
    </row>
    <row r="103" spans="2:11" s="1" customFormat="1" ht="65.25" customHeight="1">
      <c r="B103" s="138" t="s">
        <v>140</v>
      </c>
      <c r="C103" s="139"/>
      <c r="D103" s="139"/>
      <c r="E103" s="16">
        <f>SUM(E104:E110)</f>
        <v>1078190</v>
      </c>
      <c r="F103" s="13"/>
      <c r="G103" s="14"/>
      <c r="H103" s="60"/>
      <c r="I103" s="61"/>
      <c r="J103" s="62"/>
    </row>
    <row r="104" spans="2:11" s="1" customFormat="1" ht="49.5" customHeight="1">
      <c r="B104" s="104" t="s">
        <v>132</v>
      </c>
      <c r="C104" s="23" t="s">
        <v>14</v>
      </c>
      <c r="D104" s="23" t="s">
        <v>15</v>
      </c>
      <c r="E104" s="24">
        <v>24200</v>
      </c>
      <c r="F104" s="25" t="s">
        <v>60</v>
      </c>
      <c r="G104" s="26" t="s">
        <v>125</v>
      </c>
      <c r="H104" s="41"/>
    </row>
    <row r="105" spans="2:11" s="1" customFormat="1" ht="33.75">
      <c r="B105" s="104" t="s">
        <v>132</v>
      </c>
      <c r="C105" s="28">
        <v>33100000</v>
      </c>
      <c r="D105" s="28" t="s">
        <v>28</v>
      </c>
      <c r="E105" s="24">
        <f>240004-87983</f>
        <v>152021</v>
      </c>
      <c r="F105" s="29" t="s">
        <v>64</v>
      </c>
      <c r="G105" s="26" t="s">
        <v>125</v>
      </c>
      <c r="H105" s="46"/>
    </row>
    <row r="106" spans="2:11" s="18" customFormat="1" ht="25.5">
      <c r="B106" s="65" t="s">
        <v>132</v>
      </c>
      <c r="C106" s="99" t="s">
        <v>32</v>
      </c>
      <c r="D106" s="78" t="s">
        <v>29</v>
      </c>
      <c r="E106" s="56">
        <f>33830</f>
        <v>33830</v>
      </c>
      <c r="F106" s="100" t="s">
        <v>64</v>
      </c>
      <c r="G106" s="80" t="s">
        <v>178</v>
      </c>
      <c r="H106" s="118"/>
    </row>
    <row r="107" spans="2:11" s="18" customFormat="1" ht="25.5">
      <c r="B107" s="65" t="s">
        <v>132</v>
      </c>
      <c r="C107" s="99" t="s">
        <v>184</v>
      </c>
      <c r="D107" s="78" t="s">
        <v>185</v>
      </c>
      <c r="E107" s="56">
        <v>2980</v>
      </c>
      <c r="F107" s="100" t="s">
        <v>64</v>
      </c>
      <c r="G107" s="80" t="s">
        <v>178</v>
      </c>
      <c r="H107" s="118"/>
    </row>
    <row r="108" spans="2:11" s="18" customFormat="1" ht="60.75" customHeight="1">
      <c r="B108" s="65" t="s">
        <v>132</v>
      </c>
      <c r="C108" s="78" t="s">
        <v>59</v>
      </c>
      <c r="D108" s="78" t="s">
        <v>44</v>
      </c>
      <c r="E108" s="56">
        <v>15000</v>
      </c>
      <c r="F108" s="79" t="s">
        <v>64</v>
      </c>
      <c r="G108" s="80" t="s">
        <v>125</v>
      </c>
      <c r="H108" s="86"/>
    </row>
    <row r="109" spans="2:11" s="18" customFormat="1" ht="75" customHeight="1">
      <c r="B109" s="65" t="s">
        <v>132</v>
      </c>
      <c r="C109" s="78">
        <v>85100000</v>
      </c>
      <c r="D109" s="78" t="s">
        <v>71</v>
      </c>
      <c r="E109" s="56">
        <v>48313</v>
      </c>
      <c r="F109" s="79" t="s">
        <v>61</v>
      </c>
      <c r="G109" s="80" t="s">
        <v>125</v>
      </c>
      <c r="H109" s="111" t="s">
        <v>126</v>
      </c>
      <c r="J109" s="21"/>
    </row>
    <row r="110" spans="2:11" s="18" customFormat="1" ht="65.25" customHeight="1">
      <c r="B110" s="65" t="s">
        <v>132</v>
      </c>
      <c r="C110" s="78">
        <v>85100000</v>
      </c>
      <c r="D110" s="78" t="s">
        <v>71</v>
      </c>
      <c r="E110" s="56">
        <f>1071996+37800-260000-33830-2980-11140</f>
        <v>801846</v>
      </c>
      <c r="F110" s="79" t="s">
        <v>61</v>
      </c>
      <c r="G110" s="80" t="s">
        <v>125</v>
      </c>
      <c r="H110" s="111" t="s">
        <v>98</v>
      </c>
    </row>
    <row r="111" spans="2:11" s="1" customFormat="1" ht="80.25" customHeight="1">
      <c r="B111" s="127" t="s">
        <v>141</v>
      </c>
      <c r="C111" s="128"/>
      <c r="D111" s="128"/>
      <c r="E111" s="16">
        <f>SUM(E112:E112)</f>
        <v>1250000</v>
      </c>
      <c r="F111" s="13"/>
      <c r="G111" s="14"/>
      <c r="H111" s="10"/>
      <c r="I111" s="61"/>
      <c r="J111" s="62"/>
    </row>
    <row r="112" spans="2:11" s="1" customFormat="1" ht="84.75" customHeight="1">
      <c r="B112" s="104" t="s">
        <v>132</v>
      </c>
      <c r="C112" s="23" t="s">
        <v>32</v>
      </c>
      <c r="D112" s="23" t="s">
        <v>29</v>
      </c>
      <c r="E112" s="24">
        <v>1250000</v>
      </c>
      <c r="F112" s="25" t="s">
        <v>61</v>
      </c>
      <c r="G112" s="26" t="s">
        <v>125</v>
      </c>
      <c r="H112" s="48" t="s">
        <v>98</v>
      </c>
    </row>
    <row r="113" spans="2:11" s="1" customFormat="1" ht="57.75" customHeight="1">
      <c r="B113" s="136" t="s">
        <v>142</v>
      </c>
      <c r="C113" s="137"/>
      <c r="D113" s="137"/>
      <c r="E113" s="57">
        <f>SUM(E114:E117)</f>
        <v>3880000</v>
      </c>
      <c r="F113" s="58"/>
      <c r="G113" s="58"/>
      <c r="H113" s="59"/>
      <c r="I113" s="61"/>
      <c r="J113" s="62"/>
    </row>
    <row r="114" spans="2:11" s="18" customFormat="1" ht="29.25" customHeight="1">
      <c r="B114" s="65" t="s">
        <v>132</v>
      </c>
      <c r="C114" s="77">
        <v>33100000</v>
      </c>
      <c r="D114" s="78" t="s">
        <v>8</v>
      </c>
      <c r="E114" s="56">
        <f>124876.2+72000</f>
        <v>196876.2</v>
      </c>
      <c r="F114" s="79" t="s">
        <v>64</v>
      </c>
      <c r="G114" s="80" t="s">
        <v>125</v>
      </c>
      <c r="H114" s="80"/>
      <c r="J114" s="21"/>
    </row>
    <row r="115" spans="2:11" s="18" customFormat="1" ht="33.75">
      <c r="B115" s="65" t="s">
        <v>132</v>
      </c>
      <c r="C115" s="77" t="s">
        <v>32</v>
      </c>
      <c r="D115" s="78" t="s">
        <v>9</v>
      </c>
      <c r="E115" s="56">
        <f>2995349.4-3495.8-99984.41-120000-72000</f>
        <v>2699869.19</v>
      </c>
      <c r="F115" s="79" t="s">
        <v>64</v>
      </c>
      <c r="G115" s="80" t="s">
        <v>125</v>
      </c>
      <c r="H115" s="80"/>
    </row>
    <row r="116" spans="2:11" s="18" customFormat="1" ht="67.5">
      <c r="B116" s="65" t="s">
        <v>132</v>
      </c>
      <c r="C116" s="77" t="s">
        <v>24</v>
      </c>
      <c r="D116" s="78" t="s">
        <v>71</v>
      </c>
      <c r="E116" s="56">
        <v>73605.850000000006</v>
      </c>
      <c r="F116" s="79" t="s">
        <v>61</v>
      </c>
      <c r="G116" s="80" t="s">
        <v>125</v>
      </c>
      <c r="H116" s="122" t="s">
        <v>127</v>
      </c>
    </row>
    <row r="117" spans="2:11" s="1" customFormat="1" ht="83.25" customHeight="1">
      <c r="B117" s="104" t="s">
        <v>132</v>
      </c>
      <c r="C117" s="23" t="s">
        <v>24</v>
      </c>
      <c r="D117" s="23" t="s">
        <v>71</v>
      </c>
      <c r="E117" s="24">
        <v>909648.76</v>
      </c>
      <c r="F117" s="25" t="s">
        <v>61</v>
      </c>
      <c r="G117" s="26" t="s">
        <v>152</v>
      </c>
      <c r="H117" s="32" t="s">
        <v>98</v>
      </c>
    </row>
    <row r="118" spans="2:11" ht="122.25" customHeight="1">
      <c r="B118" s="127" t="s">
        <v>143</v>
      </c>
      <c r="C118" s="128"/>
      <c r="D118" s="128"/>
      <c r="E118" s="16">
        <f>SUM(E119)</f>
        <v>2190000</v>
      </c>
      <c r="F118" s="13"/>
      <c r="G118" s="14"/>
      <c r="H118" s="10"/>
      <c r="I118" s="61"/>
      <c r="J118" s="63"/>
    </row>
    <row r="119" spans="2:11" s="1" customFormat="1" ht="117.75" customHeight="1">
      <c r="B119" s="104" t="s">
        <v>132</v>
      </c>
      <c r="C119" s="23" t="s">
        <v>32</v>
      </c>
      <c r="D119" s="23" t="s">
        <v>29</v>
      </c>
      <c r="E119" s="24">
        <v>2190000</v>
      </c>
      <c r="F119" s="25" t="s">
        <v>61</v>
      </c>
      <c r="G119" s="26" t="s">
        <v>152</v>
      </c>
      <c r="H119" s="48" t="s">
        <v>98</v>
      </c>
    </row>
    <row r="120" spans="2:11" s="1" customFormat="1" ht="57" customHeight="1">
      <c r="B120" s="138" t="s">
        <v>144</v>
      </c>
      <c r="C120" s="139"/>
      <c r="D120" s="139"/>
      <c r="E120" s="16">
        <f>SUM(E121:E125)</f>
        <v>255000</v>
      </c>
      <c r="F120" s="13"/>
      <c r="G120" s="60"/>
      <c r="H120" s="60"/>
      <c r="I120" s="61"/>
      <c r="J120" s="62"/>
    </row>
    <row r="121" spans="2:11" s="18" customFormat="1" ht="59.25" customHeight="1">
      <c r="B121" s="65" t="s">
        <v>148</v>
      </c>
      <c r="C121" s="78">
        <v>33100000</v>
      </c>
      <c r="D121" s="78" t="s">
        <v>28</v>
      </c>
      <c r="E121" s="56">
        <v>0</v>
      </c>
      <c r="F121" s="79" t="s">
        <v>64</v>
      </c>
      <c r="G121" s="80" t="s">
        <v>125</v>
      </c>
      <c r="H121" s="86"/>
    </row>
    <row r="122" spans="2:11" s="18" customFormat="1" ht="38.25">
      <c r="B122" s="65" t="s">
        <v>148</v>
      </c>
      <c r="C122" s="103">
        <v>33600000</v>
      </c>
      <c r="D122" s="103" t="s">
        <v>29</v>
      </c>
      <c r="E122" s="56">
        <f>266824.3+68000-17770-162054.3+10000</f>
        <v>165000</v>
      </c>
      <c r="F122" s="120" t="s">
        <v>64</v>
      </c>
      <c r="G122" s="80" t="s">
        <v>125</v>
      </c>
      <c r="H122" s="121"/>
    </row>
    <row r="123" spans="2:11" s="18" customFormat="1" ht="78.75">
      <c r="B123" s="65" t="s">
        <v>132</v>
      </c>
      <c r="C123" s="77" t="s">
        <v>103</v>
      </c>
      <c r="D123" s="78" t="s">
        <v>71</v>
      </c>
      <c r="E123" s="56">
        <f>6870-4365</f>
        <v>2505</v>
      </c>
      <c r="F123" s="79" t="s">
        <v>61</v>
      </c>
      <c r="G123" s="80" t="s">
        <v>125</v>
      </c>
      <c r="H123" s="122" t="s">
        <v>130</v>
      </c>
    </row>
    <row r="124" spans="2:11" s="18" customFormat="1" ht="67.5">
      <c r="B124" s="65" t="s">
        <v>132</v>
      </c>
      <c r="C124" s="77" t="s">
        <v>103</v>
      </c>
      <c r="D124" s="78" t="s">
        <v>71</v>
      </c>
      <c r="E124" s="56">
        <f>13740+6870-5635</f>
        <v>14975</v>
      </c>
      <c r="F124" s="79" t="s">
        <v>61</v>
      </c>
      <c r="G124" s="80" t="s">
        <v>152</v>
      </c>
      <c r="H124" s="111" t="s">
        <v>98</v>
      </c>
      <c r="J124" s="21"/>
      <c r="K124" s="21"/>
    </row>
    <row r="125" spans="2:11" s="1" customFormat="1" ht="51" customHeight="1">
      <c r="B125" s="104" t="s">
        <v>132</v>
      </c>
      <c r="C125" s="38" t="s">
        <v>24</v>
      </c>
      <c r="D125" s="23" t="s">
        <v>71</v>
      </c>
      <c r="E125" s="24">
        <v>72520</v>
      </c>
      <c r="F125" s="25" t="s">
        <v>64</v>
      </c>
      <c r="G125" s="26" t="s">
        <v>153</v>
      </c>
      <c r="H125" s="45"/>
      <c r="J125" s="62"/>
      <c r="K125" s="62"/>
    </row>
    <row r="126" spans="2:11" ht="59.25" customHeight="1">
      <c r="B126" s="127" t="s">
        <v>145</v>
      </c>
      <c r="C126" s="128"/>
      <c r="D126" s="128"/>
      <c r="E126" s="16">
        <f>SUM(E127:E132)</f>
        <v>2100000</v>
      </c>
      <c r="F126" s="13"/>
      <c r="G126" s="14"/>
      <c r="H126" s="10"/>
      <c r="I126" s="61"/>
      <c r="J126" s="63"/>
    </row>
    <row r="127" spans="2:11" s="18" customFormat="1" ht="42.75" customHeight="1">
      <c r="B127" s="67" t="s">
        <v>132</v>
      </c>
      <c r="C127" s="68" t="s">
        <v>25</v>
      </c>
      <c r="D127" s="68" t="s">
        <v>69</v>
      </c>
      <c r="E127" s="69">
        <f>2100000-115976-175000+5000-25000-144000</f>
        <v>1645024</v>
      </c>
      <c r="F127" s="70" t="s">
        <v>64</v>
      </c>
      <c r="G127" s="71" t="s">
        <v>125</v>
      </c>
      <c r="H127" s="112"/>
    </row>
    <row r="128" spans="2:11" s="18" customFormat="1" ht="42.75" customHeight="1">
      <c r="B128" s="65" t="s">
        <v>132</v>
      </c>
      <c r="C128" s="78" t="s">
        <v>25</v>
      </c>
      <c r="D128" s="78" t="s">
        <v>69</v>
      </c>
      <c r="E128" s="56">
        <f>5976</f>
        <v>5976</v>
      </c>
      <c r="F128" s="79" t="s">
        <v>61</v>
      </c>
      <c r="G128" s="80" t="s">
        <v>152</v>
      </c>
      <c r="H128" s="111" t="s">
        <v>98</v>
      </c>
    </row>
    <row r="129" spans="2:10" s="18" customFormat="1" ht="42.75" customHeight="1">
      <c r="B129" s="65" t="s">
        <v>134</v>
      </c>
      <c r="C129" s="78" t="s">
        <v>176</v>
      </c>
      <c r="D129" s="78" t="s">
        <v>177</v>
      </c>
      <c r="E129" s="56">
        <v>170000</v>
      </c>
      <c r="F129" s="79" t="s">
        <v>64</v>
      </c>
      <c r="G129" s="80" t="s">
        <v>178</v>
      </c>
      <c r="H129" s="111"/>
    </row>
    <row r="130" spans="2:10" s="18" customFormat="1" ht="42.75" customHeight="1">
      <c r="B130" s="65" t="s">
        <v>132</v>
      </c>
      <c r="C130" s="78" t="s">
        <v>195</v>
      </c>
      <c r="D130" s="78" t="s">
        <v>81</v>
      </c>
      <c r="E130" s="56">
        <v>25000</v>
      </c>
      <c r="F130" s="79" t="s">
        <v>64</v>
      </c>
      <c r="G130" s="80" t="s">
        <v>196</v>
      </c>
      <c r="H130" s="111"/>
    </row>
    <row r="131" spans="2:10" s="18" customFormat="1" ht="42.75" customHeight="1">
      <c r="B131" s="67" t="s">
        <v>132</v>
      </c>
      <c r="C131" s="68" t="s">
        <v>197</v>
      </c>
      <c r="D131" s="68" t="s">
        <v>198</v>
      </c>
      <c r="E131" s="69">
        <v>144000</v>
      </c>
      <c r="F131" s="70" t="s">
        <v>64</v>
      </c>
      <c r="G131" s="71" t="s">
        <v>196</v>
      </c>
      <c r="H131" s="92"/>
    </row>
    <row r="132" spans="2:10" s="18" customFormat="1" ht="80.25" customHeight="1">
      <c r="B132" s="65" t="s">
        <v>132</v>
      </c>
      <c r="C132" s="78" t="s">
        <v>154</v>
      </c>
      <c r="D132" s="78" t="s">
        <v>155</v>
      </c>
      <c r="E132" s="56">
        <f>115976-5976</f>
        <v>110000</v>
      </c>
      <c r="F132" s="79" t="s">
        <v>61</v>
      </c>
      <c r="G132" s="80" t="s">
        <v>152</v>
      </c>
      <c r="H132" s="111" t="s">
        <v>98</v>
      </c>
    </row>
    <row r="133" spans="2:10" ht="70.5" customHeight="1">
      <c r="B133" s="127" t="s">
        <v>146</v>
      </c>
      <c r="C133" s="128"/>
      <c r="D133" s="128"/>
      <c r="E133" s="16">
        <f>SUM(E134:E137)</f>
        <v>631800</v>
      </c>
      <c r="F133" s="13"/>
      <c r="G133" s="14"/>
      <c r="H133" s="10"/>
      <c r="I133" s="61"/>
      <c r="J133" s="63"/>
    </row>
    <row r="134" spans="2:10" s="18" customFormat="1" ht="33.75">
      <c r="B134" s="65" t="s">
        <v>132</v>
      </c>
      <c r="C134" s="99" t="s">
        <v>32</v>
      </c>
      <c r="D134" s="99" t="s">
        <v>29</v>
      </c>
      <c r="E134" s="56">
        <f>264000-4020+90500-480</f>
        <v>350000</v>
      </c>
      <c r="F134" s="100" t="s">
        <v>64</v>
      </c>
      <c r="G134" s="80" t="s">
        <v>125</v>
      </c>
      <c r="H134" s="101"/>
    </row>
    <row r="135" spans="2:10" s="18" customFormat="1" ht="33.75">
      <c r="B135" s="65" t="s">
        <v>132</v>
      </c>
      <c r="C135" s="99" t="s">
        <v>7</v>
      </c>
      <c r="D135" s="99" t="s">
        <v>28</v>
      </c>
      <c r="E135" s="56">
        <v>125450</v>
      </c>
      <c r="F135" s="100" t="s">
        <v>64</v>
      </c>
      <c r="G135" s="80" t="s">
        <v>125</v>
      </c>
      <c r="H135" s="117"/>
    </row>
    <row r="136" spans="2:10" s="18" customFormat="1" ht="25.5">
      <c r="B136" s="65" t="s">
        <v>132</v>
      </c>
      <c r="C136" s="99" t="s">
        <v>7</v>
      </c>
      <c r="D136" s="99" t="s">
        <v>28</v>
      </c>
      <c r="E136" s="56">
        <f>62000+55300-11770</f>
        <v>105530</v>
      </c>
      <c r="F136" s="79" t="s">
        <v>60</v>
      </c>
      <c r="G136" s="80" t="s">
        <v>178</v>
      </c>
      <c r="H136" s="117"/>
    </row>
    <row r="137" spans="2:10" s="1" customFormat="1" ht="33.75">
      <c r="B137" s="104" t="s">
        <v>132</v>
      </c>
      <c r="C137" s="23" t="s">
        <v>14</v>
      </c>
      <c r="D137" s="23" t="s">
        <v>40</v>
      </c>
      <c r="E137" s="24">
        <f>4020+46800</f>
        <v>50820</v>
      </c>
      <c r="F137" s="25" t="s">
        <v>60</v>
      </c>
      <c r="G137" s="26" t="s">
        <v>125</v>
      </c>
      <c r="H137" s="23"/>
    </row>
    <row r="148" spans="7:7">
      <c r="G148" s="63"/>
    </row>
  </sheetData>
  <autoFilter ref="A8:H137"/>
  <mergeCells count="20">
    <mergeCell ref="B96:D96"/>
    <mergeCell ref="B2:H2"/>
    <mergeCell ref="B3:H3"/>
    <mergeCell ref="B4:E4"/>
    <mergeCell ref="F4:H4"/>
    <mergeCell ref="B5:E5"/>
    <mergeCell ref="F5:H5"/>
    <mergeCell ref="B6:F6"/>
    <mergeCell ref="B9:D9"/>
    <mergeCell ref="B78:D78"/>
    <mergeCell ref="B84:D84"/>
    <mergeCell ref="B90:D90"/>
    <mergeCell ref="B126:D126"/>
    <mergeCell ref="B133:D133"/>
    <mergeCell ref="B100:D100"/>
    <mergeCell ref="B103:D103"/>
    <mergeCell ref="B111:D111"/>
    <mergeCell ref="B113:D113"/>
    <mergeCell ref="B118:D118"/>
    <mergeCell ref="B120:D12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50"/>
  <sheetViews>
    <sheetView tabSelected="1" view="pageBreakPreview" topLeftCell="B113" zoomScaleNormal="100" zoomScaleSheetLayoutView="100" workbookViewId="0">
      <selection activeCell="E10" sqref="E10:E13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4" bestFit="1" customWidth="1"/>
    <col min="12" max="12" width="14.28515625" bestFit="1" customWidth="1"/>
    <col min="13" max="13" width="15.28515625" bestFit="1" customWidth="1"/>
    <col min="14" max="14" width="12.28515625" bestFit="1" customWidth="1"/>
  </cols>
  <sheetData>
    <row r="2" spans="2:11" ht="18.75">
      <c r="B2" s="129" t="s">
        <v>41</v>
      </c>
      <c r="C2" s="129"/>
      <c r="D2" s="129"/>
      <c r="E2" s="129"/>
      <c r="F2" s="129"/>
      <c r="G2" s="129"/>
      <c r="H2" s="129"/>
    </row>
    <row r="3" spans="2:11" ht="18.75">
      <c r="B3" s="130" t="s">
        <v>4</v>
      </c>
      <c r="C3" s="130"/>
      <c r="D3" s="130"/>
      <c r="E3" s="130"/>
      <c r="F3" s="130"/>
      <c r="G3" s="130"/>
      <c r="H3" s="130"/>
    </row>
    <row r="4" spans="2:11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11">
      <c r="B5" s="131" t="s">
        <v>20</v>
      </c>
      <c r="C5" s="131"/>
      <c r="D5" s="131"/>
      <c r="E5" s="131"/>
      <c r="F5" s="131" t="s">
        <v>10</v>
      </c>
      <c r="G5" s="131"/>
      <c r="H5" s="131"/>
      <c r="I5" s="109"/>
    </row>
    <row r="6" spans="2:11" ht="24.75" customHeight="1">
      <c r="B6" s="132" t="s">
        <v>22</v>
      </c>
      <c r="C6" s="133"/>
      <c r="D6" s="133"/>
      <c r="E6" s="133"/>
      <c r="F6" s="133"/>
      <c r="G6" s="2">
        <f>E9+E80+E86+E92+E98+E102+E105+E113+E115+E120+E122+E128+E135</f>
        <v>43635460.100000001</v>
      </c>
      <c r="H6" s="3" t="s">
        <v>23</v>
      </c>
      <c r="I6" s="63"/>
      <c r="J6" s="63"/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34" t="s">
        <v>131</v>
      </c>
      <c r="C9" s="135"/>
      <c r="D9" s="135"/>
      <c r="E9" s="15">
        <f>SUM(E10:E79)</f>
        <v>4515303.5</v>
      </c>
      <c r="F9" s="11"/>
      <c r="G9" s="9"/>
      <c r="H9" s="10"/>
      <c r="I9" s="63"/>
      <c r="J9">
        <v>4515303.5</v>
      </c>
      <c r="K9" s="63">
        <f>E9-J9</f>
        <v>0</v>
      </c>
    </row>
    <row r="10" spans="2:11" s="18" customFormat="1" ht="33.75">
      <c r="B10" s="65" t="s">
        <v>132</v>
      </c>
      <c r="C10" s="78" t="s">
        <v>49</v>
      </c>
      <c r="D10" s="78" t="s">
        <v>51</v>
      </c>
      <c r="E10" s="56">
        <f>2700-420</f>
        <v>2280</v>
      </c>
      <c r="F10" s="79" t="s">
        <v>61</v>
      </c>
      <c r="G10" s="80" t="s">
        <v>125</v>
      </c>
      <c r="H10" s="78"/>
      <c r="J10" s="18">
        <v>2280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f>6100+1140</f>
        <v>7240</v>
      </c>
      <c r="F12" s="79" t="s">
        <v>60</v>
      </c>
      <c r="G12" s="110" t="s">
        <v>160</v>
      </c>
      <c r="H12" s="78"/>
      <c r="J12" s="18">
        <v>7240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78" t="s">
        <v>39</v>
      </c>
      <c r="D16" s="78" t="s">
        <v>58</v>
      </c>
      <c r="E16" s="56">
        <f>23100-15587+18000</f>
        <v>25513</v>
      </c>
      <c r="F16" s="79" t="s">
        <v>60</v>
      </c>
      <c r="G16" s="80" t="s">
        <v>125</v>
      </c>
      <c r="H16" s="78"/>
      <c r="J16" s="18">
        <v>25513</v>
      </c>
      <c r="K16" s="63">
        <f t="shared" si="1"/>
        <v>0</v>
      </c>
    </row>
    <row r="17" spans="2:11" s="18" customFormat="1" ht="49.5" customHeight="1">
      <c r="B17" s="67" t="s">
        <v>132</v>
      </c>
      <c r="C17" s="68" t="s">
        <v>39</v>
      </c>
      <c r="D17" s="68" t="s">
        <v>58</v>
      </c>
      <c r="E17" s="126">
        <f>60000+9000+15587-4000</f>
        <v>80587</v>
      </c>
      <c r="F17" s="70" t="s">
        <v>64</v>
      </c>
      <c r="G17" s="71" t="s">
        <v>125</v>
      </c>
      <c r="H17" s="68"/>
      <c r="J17" s="18">
        <v>84587</v>
      </c>
      <c r="K17" s="63">
        <f t="shared" si="1"/>
        <v>-4000</v>
      </c>
    </row>
    <row r="18" spans="2:11" s="18" customFormat="1" ht="49.5" customHeight="1">
      <c r="B18" s="65" t="s">
        <v>132</v>
      </c>
      <c r="C18" s="78" t="s">
        <v>191</v>
      </c>
      <c r="D18" s="78" t="s">
        <v>192</v>
      </c>
      <c r="E18" s="56">
        <v>2100</v>
      </c>
      <c r="F18" s="79" t="s">
        <v>64</v>
      </c>
      <c r="G18" s="78" t="s">
        <v>173</v>
      </c>
      <c r="H18" s="78"/>
      <c r="J18" s="18">
        <v>2100</v>
      </c>
      <c r="K18" s="63">
        <f t="shared" si="1"/>
        <v>0</v>
      </c>
    </row>
    <row r="19" spans="2:11" s="18" customFormat="1" ht="38.25" customHeight="1">
      <c r="B19" s="65" t="s">
        <v>147</v>
      </c>
      <c r="C19" s="84">
        <v>31400000</v>
      </c>
      <c r="D19" s="78" t="s">
        <v>11</v>
      </c>
      <c r="E19" s="56">
        <f>3000+1800</f>
        <v>4800</v>
      </c>
      <c r="F19" s="79" t="s">
        <v>60</v>
      </c>
      <c r="G19" s="80" t="s">
        <v>125</v>
      </c>
      <c r="H19" s="81"/>
      <c r="J19" s="21">
        <v>4800</v>
      </c>
      <c r="K19" s="63">
        <f t="shared" si="1"/>
        <v>0</v>
      </c>
    </row>
    <row r="20" spans="2:11" s="18" customFormat="1" ht="56.25">
      <c r="B20" s="65" t="s">
        <v>147</v>
      </c>
      <c r="C20" s="84">
        <v>33100000</v>
      </c>
      <c r="D20" s="78" t="s">
        <v>57</v>
      </c>
      <c r="E20" s="56">
        <v>2000</v>
      </c>
      <c r="F20" s="79" t="s">
        <v>61</v>
      </c>
      <c r="G20" s="80" t="s">
        <v>160</v>
      </c>
      <c r="H20" s="102" t="s">
        <v>85</v>
      </c>
      <c r="J20" s="18">
        <v>2000</v>
      </c>
      <c r="K20" s="63">
        <f t="shared" si="1"/>
        <v>0</v>
      </c>
    </row>
    <row r="21" spans="2:11" s="18" customFormat="1" ht="33.75">
      <c r="B21" s="65" t="s">
        <v>147</v>
      </c>
      <c r="C21" s="84">
        <v>35100000</v>
      </c>
      <c r="D21" s="78" t="s">
        <v>188</v>
      </c>
      <c r="E21" s="56">
        <v>20355</v>
      </c>
      <c r="F21" s="79" t="s">
        <v>64</v>
      </c>
      <c r="G21" s="80" t="s">
        <v>173</v>
      </c>
      <c r="H21" s="102"/>
      <c r="J21" s="18">
        <v>20355</v>
      </c>
      <c r="K21" s="63">
        <f t="shared" si="1"/>
        <v>0</v>
      </c>
    </row>
    <row r="22" spans="2:11" s="18" customFormat="1" ht="25.5">
      <c r="B22" s="65" t="s">
        <v>147</v>
      </c>
      <c r="C22" s="84">
        <v>35800000</v>
      </c>
      <c r="D22" s="78" t="s">
        <v>171</v>
      </c>
      <c r="E22" s="56">
        <v>405</v>
      </c>
      <c r="F22" s="79" t="s">
        <v>61</v>
      </c>
      <c r="G22" s="80" t="s">
        <v>172</v>
      </c>
      <c r="H22" s="102"/>
      <c r="J22" s="18">
        <v>405</v>
      </c>
      <c r="K22" s="63">
        <f t="shared" si="1"/>
        <v>0</v>
      </c>
    </row>
    <row r="23" spans="2:11" s="18" customFormat="1" ht="56.25">
      <c r="B23" s="65" t="s">
        <v>147</v>
      </c>
      <c r="C23" s="84">
        <v>33600000</v>
      </c>
      <c r="D23" s="78" t="s">
        <v>29</v>
      </c>
      <c r="E23" s="56">
        <v>10000</v>
      </c>
      <c r="F23" s="79" t="s">
        <v>61</v>
      </c>
      <c r="G23" s="80" t="s">
        <v>160</v>
      </c>
      <c r="H23" s="102" t="s">
        <v>85</v>
      </c>
      <c r="J23" s="18">
        <v>10000</v>
      </c>
      <c r="K23" s="63">
        <f t="shared" si="1"/>
        <v>0</v>
      </c>
    </row>
    <row r="24" spans="2:11" s="18" customFormat="1" ht="25.5">
      <c r="B24" s="65" t="s">
        <v>147</v>
      </c>
      <c r="C24" s="84">
        <v>33700000</v>
      </c>
      <c r="D24" s="78" t="s">
        <v>181</v>
      </c>
      <c r="E24" s="56">
        <v>1295</v>
      </c>
      <c r="F24" s="79" t="s">
        <v>61</v>
      </c>
      <c r="G24" s="80" t="s">
        <v>172</v>
      </c>
      <c r="H24" s="102"/>
      <c r="J24" s="18">
        <v>1295</v>
      </c>
      <c r="K24" s="63">
        <f t="shared" si="1"/>
        <v>0</v>
      </c>
    </row>
    <row r="25" spans="2:11" s="18" customFormat="1" ht="38.25" customHeight="1">
      <c r="B25" s="65" t="s">
        <v>147</v>
      </c>
      <c r="C25" s="78" t="s">
        <v>43</v>
      </c>
      <c r="D25" s="78" t="s">
        <v>42</v>
      </c>
      <c r="E25" s="56">
        <f>10000+7260+80</f>
        <v>17340</v>
      </c>
      <c r="F25" s="79" t="s">
        <v>60</v>
      </c>
      <c r="G25" s="80" t="s">
        <v>125</v>
      </c>
      <c r="H25" s="110"/>
      <c r="J25" s="18">
        <v>17340</v>
      </c>
      <c r="K25" s="63">
        <f t="shared" si="1"/>
        <v>0</v>
      </c>
    </row>
    <row r="26" spans="2:11" s="18" customFormat="1" ht="42" customHeight="1">
      <c r="B26" s="65" t="s">
        <v>132</v>
      </c>
      <c r="C26" s="78" t="s">
        <v>174</v>
      </c>
      <c r="D26" s="78" t="s">
        <v>175</v>
      </c>
      <c r="E26" s="56">
        <v>3756</v>
      </c>
      <c r="F26" s="79" t="s">
        <v>91</v>
      </c>
      <c r="G26" s="80" t="s">
        <v>172</v>
      </c>
      <c r="H26" s="81"/>
      <c r="J26" s="18">
        <v>3756</v>
      </c>
      <c r="K26" s="63">
        <f t="shared" si="1"/>
        <v>0</v>
      </c>
    </row>
    <row r="27" spans="2:11" s="18" customFormat="1" ht="33.75">
      <c r="B27" s="65" t="s">
        <v>132</v>
      </c>
      <c r="C27" s="23" t="s">
        <v>92</v>
      </c>
      <c r="D27" s="23" t="s">
        <v>93</v>
      </c>
      <c r="E27" s="56">
        <v>4800</v>
      </c>
      <c r="F27" s="25" t="s">
        <v>91</v>
      </c>
      <c r="G27" s="26" t="s">
        <v>125</v>
      </c>
      <c r="H27" s="31"/>
      <c r="J27" s="18">
        <v>4800</v>
      </c>
      <c r="K27" s="63">
        <f t="shared" si="1"/>
        <v>0</v>
      </c>
    </row>
    <row r="28" spans="2:11" s="18" customFormat="1" ht="33.75">
      <c r="B28" s="65" t="s">
        <v>132</v>
      </c>
      <c r="C28" s="78" t="s">
        <v>94</v>
      </c>
      <c r="D28" s="78" t="s">
        <v>95</v>
      </c>
      <c r="E28" s="56">
        <f>4800-1140</f>
        <v>3660</v>
      </c>
      <c r="F28" s="79" t="s">
        <v>91</v>
      </c>
      <c r="G28" s="80" t="s">
        <v>125</v>
      </c>
      <c r="H28" s="81"/>
      <c r="J28" s="18">
        <v>3660</v>
      </c>
      <c r="K28" s="63">
        <f t="shared" si="1"/>
        <v>0</v>
      </c>
    </row>
    <row r="29" spans="2:11" s="18" customFormat="1" ht="33.75">
      <c r="B29" s="65" t="s">
        <v>132</v>
      </c>
      <c r="C29" s="34">
        <v>39800000</v>
      </c>
      <c r="D29" s="34" t="s">
        <v>84</v>
      </c>
      <c r="E29" s="56">
        <v>4800</v>
      </c>
      <c r="F29" s="25" t="s">
        <v>91</v>
      </c>
      <c r="G29" s="26" t="s">
        <v>125</v>
      </c>
      <c r="H29" s="31"/>
      <c r="J29" s="18">
        <v>4800</v>
      </c>
      <c r="K29" s="63">
        <f t="shared" si="1"/>
        <v>0</v>
      </c>
    </row>
    <row r="30" spans="2:11" s="18" customFormat="1" ht="33.75" customHeight="1">
      <c r="B30" s="67" t="s">
        <v>132</v>
      </c>
      <c r="C30" s="83">
        <v>39100000</v>
      </c>
      <c r="D30" s="83" t="s">
        <v>200</v>
      </c>
      <c r="E30" s="126">
        <f>4000+7000+10000</f>
        <v>21000</v>
      </c>
      <c r="F30" s="70" t="s">
        <v>64</v>
      </c>
      <c r="G30" s="70" t="s">
        <v>201</v>
      </c>
      <c r="H30" s="72"/>
      <c r="K30" s="63">
        <f t="shared" si="1"/>
        <v>21000</v>
      </c>
    </row>
    <row r="31" spans="2:11" s="18" customFormat="1" ht="33.75">
      <c r="B31" s="65" t="s">
        <v>132</v>
      </c>
      <c r="C31" s="85">
        <v>42900000</v>
      </c>
      <c r="D31" s="85" t="s">
        <v>168</v>
      </c>
      <c r="E31" s="56">
        <f>1920+420</f>
        <v>2340</v>
      </c>
      <c r="F31" s="79" t="s">
        <v>60</v>
      </c>
      <c r="G31" s="110" t="s">
        <v>160</v>
      </c>
      <c r="H31" s="110"/>
      <c r="J31" s="18">
        <v>2340</v>
      </c>
      <c r="K31" s="63">
        <f t="shared" si="1"/>
        <v>0</v>
      </c>
    </row>
    <row r="32" spans="2:11" s="18" customFormat="1" ht="51.75" customHeight="1">
      <c r="B32" s="65" t="s">
        <v>132</v>
      </c>
      <c r="C32" s="84">
        <v>41100000</v>
      </c>
      <c r="D32" s="85" t="s">
        <v>149</v>
      </c>
      <c r="E32" s="56">
        <v>6750</v>
      </c>
      <c r="F32" s="79" t="s">
        <v>64</v>
      </c>
      <c r="G32" s="80" t="s">
        <v>125</v>
      </c>
      <c r="H32" s="81"/>
      <c r="J32" s="18">
        <v>6750</v>
      </c>
      <c r="K32" s="63">
        <f t="shared" si="1"/>
        <v>0</v>
      </c>
    </row>
    <row r="33" spans="2:11" s="18" customFormat="1" ht="51.75" customHeight="1">
      <c r="B33" s="67" t="s">
        <v>132</v>
      </c>
      <c r="C33" s="82">
        <v>44400000</v>
      </c>
      <c r="D33" s="83" t="s">
        <v>167</v>
      </c>
      <c r="E33" s="126">
        <f>4120+18180</f>
        <v>22300</v>
      </c>
      <c r="F33" s="70" t="s">
        <v>64</v>
      </c>
      <c r="G33" s="71" t="s">
        <v>160</v>
      </c>
      <c r="H33" s="72"/>
      <c r="J33" s="18">
        <v>4120</v>
      </c>
      <c r="K33" s="63">
        <f t="shared" si="1"/>
        <v>18180</v>
      </c>
    </row>
    <row r="34" spans="2:11" s="1" customFormat="1" ht="51.75" customHeight="1">
      <c r="B34" s="104" t="s">
        <v>132</v>
      </c>
      <c r="C34" s="30">
        <v>48400000</v>
      </c>
      <c r="D34" s="34" t="s">
        <v>182</v>
      </c>
      <c r="E34" s="24">
        <f>3234+980</f>
        <v>4214</v>
      </c>
      <c r="F34" s="25" t="s">
        <v>61</v>
      </c>
      <c r="G34" s="26" t="s">
        <v>172</v>
      </c>
      <c r="H34" s="35"/>
      <c r="J34" s="18">
        <v>4214</v>
      </c>
      <c r="K34" s="63">
        <f t="shared" si="1"/>
        <v>0</v>
      </c>
    </row>
    <row r="35" spans="2:11" s="18" customFormat="1" ht="51.75" customHeight="1">
      <c r="B35" s="65" t="s">
        <v>132</v>
      </c>
      <c r="C35" s="30">
        <v>45400000</v>
      </c>
      <c r="D35" s="34" t="s">
        <v>102</v>
      </c>
      <c r="E35" s="56">
        <v>40000</v>
      </c>
      <c r="F35" s="25" t="s">
        <v>64</v>
      </c>
      <c r="G35" s="26" t="s">
        <v>125</v>
      </c>
      <c r="H35" s="31"/>
      <c r="J35" s="1">
        <v>40000</v>
      </c>
      <c r="K35" s="63">
        <f t="shared" si="1"/>
        <v>0</v>
      </c>
    </row>
    <row r="36" spans="2:11" s="18" customFormat="1" ht="37.5" customHeight="1">
      <c r="B36" s="65" t="s">
        <v>133</v>
      </c>
      <c r="C36" s="30">
        <v>48700000</v>
      </c>
      <c r="D36" s="23" t="s">
        <v>104</v>
      </c>
      <c r="E36" s="56">
        <v>30000</v>
      </c>
      <c r="F36" s="25" t="s">
        <v>64</v>
      </c>
      <c r="G36" s="26" t="s">
        <v>125</v>
      </c>
      <c r="H36" s="31"/>
      <c r="J36" s="18">
        <v>30000</v>
      </c>
      <c r="K36" s="63">
        <f t="shared" si="1"/>
        <v>0</v>
      </c>
    </row>
    <row r="37" spans="2:11" s="18" customFormat="1" ht="37.5" customHeight="1">
      <c r="B37" s="65" t="s">
        <v>133</v>
      </c>
      <c r="C37" s="84">
        <v>48800000</v>
      </c>
      <c r="D37" s="78" t="s">
        <v>179</v>
      </c>
      <c r="E37" s="56">
        <f>85900-5900</f>
        <v>80000</v>
      </c>
      <c r="F37" s="56" t="s">
        <v>64</v>
      </c>
      <c r="G37" s="115" t="s">
        <v>173</v>
      </c>
      <c r="H37" s="81"/>
      <c r="J37" s="18">
        <v>80000</v>
      </c>
      <c r="K37" s="63">
        <f t="shared" si="1"/>
        <v>0</v>
      </c>
    </row>
    <row r="38" spans="2:11" s="18" customFormat="1" ht="37.5" customHeight="1">
      <c r="B38" s="65" t="s">
        <v>132</v>
      </c>
      <c r="C38" s="84">
        <v>48800000</v>
      </c>
      <c r="D38" s="78" t="s">
        <v>179</v>
      </c>
      <c r="E38" s="56">
        <f>500+5900</f>
        <v>6400</v>
      </c>
      <c r="F38" s="56" t="s">
        <v>64</v>
      </c>
      <c r="G38" s="115" t="s">
        <v>173</v>
      </c>
      <c r="H38" s="81"/>
      <c r="J38" s="18">
        <v>6400</v>
      </c>
      <c r="K38" s="63">
        <f t="shared" si="1"/>
        <v>0</v>
      </c>
    </row>
    <row r="39" spans="2:11" s="18" customFormat="1" ht="56.25">
      <c r="B39" s="67" t="s">
        <v>132</v>
      </c>
      <c r="C39" s="68">
        <v>50100000</v>
      </c>
      <c r="D39" s="68" t="s">
        <v>44</v>
      </c>
      <c r="E39" s="126">
        <f>10000+30000-21058</f>
        <v>18942</v>
      </c>
      <c r="F39" s="70" t="s">
        <v>61</v>
      </c>
      <c r="G39" s="71" t="s">
        <v>125</v>
      </c>
      <c r="H39" s="90" t="s">
        <v>66</v>
      </c>
      <c r="J39" s="18">
        <v>40000</v>
      </c>
      <c r="K39" s="63">
        <f t="shared" si="1"/>
        <v>-21058</v>
      </c>
    </row>
    <row r="40" spans="2:11" s="1" customFormat="1" ht="92.25" customHeight="1">
      <c r="B40" s="67" t="s">
        <v>132</v>
      </c>
      <c r="C40" s="68" t="s">
        <v>59</v>
      </c>
      <c r="D40" s="68" t="s">
        <v>62</v>
      </c>
      <c r="E40" s="126">
        <f>120000-30000+15000+21058+6647</f>
        <v>132705</v>
      </c>
      <c r="F40" s="70" t="s">
        <v>64</v>
      </c>
      <c r="G40" s="71" t="s">
        <v>125</v>
      </c>
      <c r="H40" s="91"/>
      <c r="J40" s="18">
        <v>105000</v>
      </c>
      <c r="K40" s="63">
        <f t="shared" si="1"/>
        <v>27705</v>
      </c>
    </row>
    <row r="41" spans="2:11" s="18" customFormat="1" ht="56.25">
      <c r="B41" s="65" t="s">
        <v>132</v>
      </c>
      <c r="C41" s="78">
        <v>50100000</v>
      </c>
      <c r="D41" s="78" t="s">
        <v>44</v>
      </c>
      <c r="E41" s="56">
        <v>2080</v>
      </c>
      <c r="F41" s="79" t="s">
        <v>61</v>
      </c>
      <c r="G41" s="80" t="s">
        <v>160</v>
      </c>
      <c r="H41" s="102" t="s">
        <v>85</v>
      </c>
      <c r="J41" s="1">
        <v>2080</v>
      </c>
      <c r="K41" s="63">
        <f t="shared" si="1"/>
        <v>0</v>
      </c>
    </row>
    <row r="42" spans="2:11" s="18" customFormat="1" ht="92.25" customHeight="1">
      <c r="B42" s="67" t="s">
        <v>132</v>
      </c>
      <c r="C42" s="68" t="s">
        <v>107</v>
      </c>
      <c r="D42" s="68" t="s">
        <v>108</v>
      </c>
      <c r="E42" s="126">
        <f>50000-10000</f>
        <v>40000</v>
      </c>
      <c r="F42" s="70" t="s">
        <v>64</v>
      </c>
      <c r="G42" s="71" t="s">
        <v>125</v>
      </c>
      <c r="H42" s="72"/>
      <c r="J42" s="18">
        <v>50000</v>
      </c>
      <c r="K42" s="63">
        <f t="shared" si="1"/>
        <v>-10000</v>
      </c>
    </row>
    <row r="43" spans="2:11" s="18" customFormat="1" ht="92.25" customHeight="1">
      <c r="B43" s="65" t="s">
        <v>132</v>
      </c>
      <c r="C43" s="23" t="s">
        <v>105</v>
      </c>
      <c r="D43" s="23" t="s">
        <v>106</v>
      </c>
      <c r="E43" s="56">
        <v>310000</v>
      </c>
      <c r="F43" s="25" t="s">
        <v>64</v>
      </c>
      <c r="G43" s="26" t="s">
        <v>125</v>
      </c>
      <c r="H43" s="36"/>
      <c r="J43" s="18">
        <v>310000</v>
      </c>
      <c r="K43" s="63">
        <f t="shared" si="1"/>
        <v>0</v>
      </c>
    </row>
    <row r="44" spans="2:11" s="18" customFormat="1" ht="115.5" customHeight="1">
      <c r="B44" s="65" t="s">
        <v>132</v>
      </c>
      <c r="C44" s="78" t="s">
        <v>105</v>
      </c>
      <c r="D44" s="78" t="s">
        <v>106</v>
      </c>
      <c r="E44" s="56">
        <f>23265*I44</f>
        <v>62815.500000000007</v>
      </c>
      <c r="F44" s="78" t="s">
        <v>61</v>
      </c>
      <c r="G44" s="80" t="s">
        <v>152</v>
      </c>
      <c r="H44" s="78" t="s">
        <v>180</v>
      </c>
      <c r="I44" s="18">
        <v>2.7</v>
      </c>
      <c r="J44" s="18">
        <v>62815.500000000007</v>
      </c>
      <c r="K44" s="63">
        <f t="shared" si="1"/>
        <v>0</v>
      </c>
    </row>
    <row r="45" spans="2:11" s="18" customFormat="1" ht="115.5" customHeight="1">
      <c r="B45" s="67" t="s">
        <v>147</v>
      </c>
      <c r="C45" s="68" t="s">
        <v>109</v>
      </c>
      <c r="D45" s="68" t="s">
        <v>110</v>
      </c>
      <c r="E45" s="126">
        <f>60000+45000-20000-6647-7000</f>
        <v>71353</v>
      </c>
      <c r="F45" s="70" t="s">
        <v>64</v>
      </c>
      <c r="G45" s="71" t="s">
        <v>125</v>
      </c>
      <c r="H45" s="91"/>
      <c r="J45" s="18">
        <v>85000</v>
      </c>
      <c r="K45" s="63">
        <f t="shared" si="1"/>
        <v>-13647</v>
      </c>
    </row>
    <row r="46" spans="2:11" s="18" customFormat="1" ht="102.75" customHeight="1">
      <c r="B46" s="65" t="s">
        <v>132</v>
      </c>
      <c r="C46" s="23" t="s">
        <v>86</v>
      </c>
      <c r="D46" s="23" t="s">
        <v>87</v>
      </c>
      <c r="E46" s="56">
        <v>8000</v>
      </c>
      <c r="F46" s="25" t="s">
        <v>64</v>
      </c>
      <c r="G46" s="26" t="s">
        <v>125</v>
      </c>
      <c r="H46" s="23"/>
      <c r="J46" s="18">
        <v>8000</v>
      </c>
      <c r="K46" s="63">
        <f t="shared" si="1"/>
        <v>0</v>
      </c>
    </row>
    <row r="47" spans="2:11" s="18" customFormat="1" ht="115.5" customHeight="1">
      <c r="B47" s="65" t="s">
        <v>132</v>
      </c>
      <c r="C47" s="23">
        <v>50700000</v>
      </c>
      <c r="D47" s="23" t="s">
        <v>13</v>
      </c>
      <c r="E47" s="56">
        <f>1600000-59200</f>
        <v>1540800</v>
      </c>
      <c r="F47" s="23" t="s">
        <v>61</v>
      </c>
      <c r="G47" s="26" t="s">
        <v>125</v>
      </c>
      <c r="H47" s="23" t="s">
        <v>99</v>
      </c>
      <c r="J47" s="18">
        <v>1540800</v>
      </c>
      <c r="K47" s="63">
        <f t="shared" si="1"/>
        <v>0</v>
      </c>
    </row>
    <row r="48" spans="2:11" s="18" customFormat="1" ht="115.5" customHeight="1">
      <c r="B48" s="65" t="s">
        <v>132</v>
      </c>
      <c r="C48" s="78">
        <v>50700000</v>
      </c>
      <c r="D48" s="78" t="s">
        <v>13</v>
      </c>
      <c r="E48" s="56">
        <f>93000-45000+20000+46148</f>
        <v>114148</v>
      </c>
      <c r="F48" s="78" t="s">
        <v>64</v>
      </c>
      <c r="G48" s="80" t="s">
        <v>125</v>
      </c>
      <c r="H48" s="78"/>
      <c r="J48" s="18">
        <v>114148</v>
      </c>
      <c r="K48" s="63">
        <f t="shared" si="1"/>
        <v>0</v>
      </c>
    </row>
    <row r="49" spans="2:11" s="18" customFormat="1" ht="115.5" customHeight="1">
      <c r="B49" s="65" t="s">
        <v>132</v>
      </c>
      <c r="C49" s="78" t="s">
        <v>117</v>
      </c>
      <c r="D49" s="78" t="s">
        <v>118</v>
      </c>
      <c r="E49" s="56">
        <f>120000+68250</f>
        <v>188250</v>
      </c>
      <c r="F49" s="78" t="s">
        <v>64</v>
      </c>
      <c r="G49" s="80" t="s">
        <v>125</v>
      </c>
      <c r="H49" s="78"/>
      <c r="J49" s="18">
        <v>188250</v>
      </c>
      <c r="K49" s="63">
        <f t="shared" si="1"/>
        <v>0</v>
      </c>
    </row>
    <row r="50" spans="2:11" s="18" customFormat="1" ht="115.5" customHeight="1">
      <c r="B50" s="67" t="s">
        <v>132</v>
      </c>
      <c r="C50" s="68" t="s">
        <v>111</v>
      </c>
      <c r="D50" s="68" t="s">
        <v>112</v>
      </c>
      <c r="E50" s="126">
        <f>120000-31949</f>
        <v>88051</v>
      </c>
      <c r="F50" s="68" t="s">
        <v>64</v>
      </c>
      <c r="G50" s="71" t="s">
        <v>125</v>
      </c>
      <c r="H50" s="68"/>
      <c r="J50" s="18">
        <v>120000</v>
      </c>
      <c r="K50" s="63">
        <f t="shared" si="1"/>
        <v>-31949</v>
      </c>
    </row>
    <row r="51" spans="2:11" s="18" customFormat="1" ht="58.5" customHeight="1">
      <c r="B51" s="65" t="s">
        <v>132</v>
      </c>
      <c r="C51" s="30">
        <v>63700000</v>
      </c>
      <c r="D51" s="23" t="s">
        <v>70</v>
      </c>
      <c r="E51" s="56">
        <v>2000</v>
      </c>
      <c r="F51" s="25" t="s">
        <v>61</v>
      </c>
      <c r="G51" s="26" t="s">
        <v>125</v>
      </c>
      <c r="H51" s="26" t="s">
        <v>85</v>
      </c>
      <c r="J51" s="18">
        <v>2000</v>
      </c>
      <c r="K51" s="63">
        <f t="shared" si="1"/>
        <v>0</v>
      </c>
    </row>
    <row r="52" spans="2:11" s="18" customFormat="1" ht="63.75" customHeight="1">
      <c r="B52" s="65" t="s">
        <v>132</v>
      </c>
      <c r="C52" s="23" t="s">
        <v>47</v>
      </c>
      <c r="D52" s="23" t="s">
        <v>48</v>
      </c>
      <c r="E52" s="56">
        <v>6000</v>
      </c>
      <c r="F52" s="25" t="s">
        <v>64</v>
      </c>
      <c r="G52" s="26" t="s">
        <v>125</v>
      </c>
      <c r="H52" s="23"/>
      <c r="J52" s="18">
        <v>6000</v>
      </c>
      <c r="K52" s="63">
        <f t="shared" si="1"/>
        <v>0</v>
      </c>
    </row>
    <row r="53" spans="2:11" s="18" customFormat="1" ht="33.75">
      <c r="B53" s="67" t="s">
        <v>132</v>
      </c>
      <c r="C53" s="76" t="s">
        <v>18</v>
      </c>
      <c r="D53" s="68" t="s">
        <v>46</v>
      </c>
      <c r="E53" s="126">
        <f>25000-25000</f>
        <v>0</v>
      </c>
      <c r="F53" s="70" t="s">
        <v>64</v>
      </c>
      <c r="G53" s="71" t="s">
        <v>125</v>
      </c>
      <c r="H53" s="124"/>
      <c r="J53" s="18">
        <v>25000</v>
      </c>
      <c r="K53" s="63">
        <f t="shared" si="1"/>
        <v>-25000</v>
      </c>
    </row>
    <row r="54" spans="2:11" s="18" customFormat="1" ht="56.25">
      <c r="B54" s="65" t="s">
        <v>132</v>
      </c>
      <c r="C54" s="38" t="s">
        <v>18</v>
      </c>
      <c r="D54" s="23" t="s">
        <v>46</v>
      </c>
      <c r="E54" s="56">
        <v>25500</v>
      </c>
      <c r="F54" s="25" t="s">
        <v>61</v>
      </c>
      <c r="G54" s="26" t="s">
        <v>125</v>
      </c>
      <c r="H54" s="26" t="s">
        <v>96</v>
      </c>
      <c r="J54" s="18">
        <v>25500</v>
      </c>
      <c r="K54" s="63">
        <f t="shared" si="1"/>
        <v>0</v>
      </c>
    </row>
    <row r="55" spans="2:11" s="18" customFormat="1" ht="56.25">
      <c r="B55" s="65" t="s">
        <v>132</v>
      </c>
      <c r="C55" s="77" t="s">
        <v>161</v>
      </c>
      <c r="D55" s="78" t="s">
        <v>46</v>
      </c>
      <c r="E55" s="56">
        <v>9000</v>
      </c>
      <c r="F55" s="79" t="s">
        <v>61</v>
      </c>
      <c r="G55" s="80" t="s">
        <v>152</v>
      </c>
      <c r="H55" s="80" t="s">
        <v>162</v>
      </c>
      <c r="J55" s="18">
        <v>9000</v>
      </c>
      <c r="K55" s="63">
        <f t="shared" si="1"/>
        <v>0</v>
      </c>
    </row>
    <row r="56" spans="2:11" s="18" customFormat="1" ht="33.75">
      <c r="B56" s="65" t="s">
        <v>132</v>
      </c>
      <c r="C56" s="77" t="s">
        <v>18</v>
      </c>
      <c r="D56" s="78" t="s">
        <v>46</v>
      </c>
      <c r="E56" s="56">
        <f>24000+3260</f>
        <v>27260</v>
      </c>
      <c r="F56" s="79" t="s">
        <v>60</v>
      </c>
      <c r="G56" s="80" t="s">
        <v>125</v>
      </c>
      <c r="H56" s="125"/>
      <c r="J56" s="18">
        <v>27260</v>
      </c>
      <c r="K56" s="63">
        <f t="shared" si="1"/>
        <v>0</v>
      </c>
    </row>
    <row r="57" spans="2:11" s="18" customFormat="1" ht="33.75">
      <c r="B57" s="65" t="s">
        <v>134</v>
      </c>
      <c r="C57" s="38" t="s">
        <v>114</v>
      </c>
      <c r="D57" s="23" t="s">
        <v>113</v>
      </c>
      <c r="E57" s="56">
        <v>30000</v>
      </c>
      <c r="F57" s="25" t="s">
        <v>64</v>
      </c>
      <c r="G57" s="26" t="s">
        <v>125</v>
      </c>
      <c r="H57" s="26"/>
      <c r="J57" s="18">
        <v>30000</v>
      </c>
      <c r="K57" s="63">
        <f t="shared" si="1"/>
        <v>0</v>
      </c>
    </row>
    <row r="58" spans="2:11" s="18" customFormat="1" ht="33.75">
      <c r="B58" s="65" t="s">
        <v>132</v>
      </c>
      <c r="C58" s="38" t="s">
        <v>55</v>
      </c>
      <c r="D58" s="23" t="s">
        <v>56</v>
      </c>
      <c r="E58" s="56">
        <v>1680</v>
      </c>
      <c r="F58" s="25" t="s">
        <v>91</v>
      </c>
      <c r="G58" s="26" t="s">
        <v>125</v>
      </c>
      <c r="H58" s="33"/>
      <c r="J58" s="18">
        <v>1680</v>
      </c>
      <c r="K58" s="63">
        <f t="shared" si="1"/>
        <v>0</v>
      </c>
    </row>
    <row r="59" spans="2:11" s="18" customFormat="1" ht="57" customHeight="1">
      <c r="B59" s="65" t="s">
        <v>132</v>
      </c>
      <c r="C59" s="77" t="s">
        <v>17</v>
      </c>
      <c r="D59" s="78" t="s">
        <v>16</v>
      </c>
      <c r="E59" s="56">
        <f>90000+34000</f>
        <v>124000</v>
      </c>
      <c r="F59" s="79" t="s">
        <v>61</v>
      </c>
      <c r="G59" s="80" t="s">
        <v>125</v>
      </c>
      <c r="H59" s="80" t="s">
        <v>67</v>
      </c>
      <c r="J59" s="18">
        <v>124000</v>
      </c>
      <c r="K59" s="63">
        <f t="shared" si="1"/>
        <v>0</v>
      </c>
    </row>
    <row r="60" spans="2:11" s="18" customFormat="1" ht="57" customHeight="1">
      <c r="B60" s="65" t="s">
        <v>132</v>
      </c>
      <c r="C60" s="77" t="s">
        <v>189</v>
      </c>
      <c r="D60" s="78" t="s">
        <v>190</v>
      </c>
      <c r="E60" s="56">
        <v>15000</v>
      </c>
      <c r="F60" s="79" t="s">
        <v>64</v>
      </c>
      <c r="G60" s="80" t="s">
        <v>183</v>
      </c>
      <c r="H60" s="80"/>
      <c r="J60" s="18">
        <v>15000</v>
      </c>
      <c r="K60" s="63">
        <f t="shared" si="1"/>
        <v>0</v>
      </c>
    </row>
    <row r="61" spans="2:11" s="18" customFormat="1" ht="65.25" customHeight="1">
      <c r="B61" s="65" t="s">
        <v>132</v>
      </c>
      <c r="C61" s="77" t="s">
        <v>17</v>
      </c>
      <c r="D61" s="78" t="s">
        <v>16</v>
      </c>
      <c r="E61" s="56">
        <f>150+400+266+21+350+175+30+175</f>
        <v>1567</v>
      </c>
      <c r="F61" s="79" t="s">
        <v>61</v>
      </c>
      <c r="G61" s="80" t="s">
        <v>125</v>
      </c>
      <c r="H61" s="80"/>
      <c r="J61" s="18">
        <v>1567</v>
      </c>
      <c r="K61" s="63">
        <f t="shared" si="1"/>
        <v>0</v>
      </c>
    </row>
    <row r="62" spans="2:11" s="18" customFormat="1" ht="56.25">
      <c r="B62" s="65" t="s">
        <v>132</v>
      </c>
      <c r="C62" s="38" t="s">
        <v>77</v>
      </c>
      <c r="D62" s="23" t="s">
        <v>78</v>
      </c>
      <c r="E62" s="56">
        <v>3000</v>
      </c>
      <c r="F62" s="25" t="s">
        <v>61</v>
      </c>
      <c r="G62" s="26" t="s">
        <v>125</v>
      </c>
      <c r="H62" s="26" t="s">
        <v>79</v>
      </c>
      <c r="J62" s="20">
        <v>3000</v>
      </c>
      <c r="K62" s="63">
        <f t="shared" si="1"/>
        <v>0</v>
      </c>
    </row>
    <row r="63" spans="2:11" s="18" customFormat="1" ht="56.25">
      <c r="B63" s="65" t="s">
        <v>132</v>
      </c>
      <c r="C63" s="77" t="s">
        <v>163</v>
      </c>
      <c r="D63" s="78" t="s">
        <v>164</v>
      </c>
      <c r="E63" s="56">
        <v>500</v>
      </c>
      <c r="F63" s="79" t="s">
        <v>61</v>
      </c>
      <c r="G63" s="80" t="s">
        <v>152</v>
      </c>
      <c r="H63" s="80" t="s">
        <v>79</v>
      </c>
      <c r="J63" s="18">
        <v>500</v>
      </c>
      <c r="K63" s="63">
        <f t="shared" si="1"/>
        <v>0</v>
      </c>
    </row>
    <row r="64" spans="2:11" s="18" customFormat="1" ht="75" customHeight="1">
      <c r="B64" s="65" t="s">
        <v>132</v>
      </c>
      <c r="C64" s="77" t="s">
        <v>25</v>
      </c>
      <c r="D64" s="78" t="s">
        <v>119</v>
      </c>
      <c r="E64" s="56">
        <v>100000</v>
      </c>
      <c r="F64" s="79" t="s">
        <v>64</v>
      </c>
      <c r="G64" s="80" t="s">
        <v>125</v>
      </c>
      <c r="H64" s="80"/>
      <c r="J64" s="18">
        <v>100000</v>
      </c>
      <c r="K64" s="63">
        <f t="shared" si="1"/>
        <v>0</v>
      </c>
    </row>
    <row r="65" spans="2:11" s="1" customFormat="1" ht="75" customHeight="1">
      <c r="B65" s="104" t="s">
        <v>132</v>
      </c>
      <c r="C65" s="38" t="s">
        <v>163</v>
      </c>
      <c r="D65" s="23" t="s">
        <v>164</v>
      </c>
      <c r="E65" s="24">
        <v>4900</v>
      </c>
      <c r="F65" s="25" t="s">
        <v>61</v>
      </c>
      <c r="G65" s="26" t="s">
        <v>183</v>
      </c>
      <c r="H65" s="26"/>
      <c r="J65" s="18">
        <v>4900</v>
      </c>
      <c r="K65" s="63">
        <f t="shared" si="1"/>
        <v>0</v>
      </c>
    </row>
    <row r="66" spans="2:11" s="1" customFormat="1" ht="63.75" customHeight="1">
      <c r="B66" s="104" t="s">
        <v>132</v>
      </c>
      <c r="C66" s="23" t="s">
        <v>45</v>
      </c>
      <c r="D66" s="23" t="s">
        <v>63</v>
      </c>
      <c r="E66" s="24">
        <f>6000+3850</f>
        <v>9850</v>
      </c>
      <c r="F66" s="25" t="s">
        <v>64</v>
      </c>
      <c r="G66" s="26" t="s">
        <v>125</v>
      </c>
      <c r="H66" s="26"/>
      <c r="J66" s="1">
        <v>9850</v>
      </c>
      <c r="K66" s="63">
        <f t="shared" si="1"/>
        <v>0</v>
      </c>
    </row>
    <row r="67" spans="2:11" s="18" customFormat="1" ht="63.75" customHeight="1">
      <c r="B67" s="65" t="s">
        <v>132</v>
      </c>
      <c r="C67" s="78" t="s">
        <v>120</v>
      </c>
      <c r="D67" s="78" t="s">
        <v>121</v>
      </c>
      <c r="E67" s="56">
        <v>450</v>
      </c>
      <c r="F67" s="79" t="s">
        <v>61</v>
      </c>
      <c r="G67" s="80" t="s">
        <v>125</v>
      </c>
      <c r="H67" s="80"/>
      <c r="J67" s="1">
        <v>450</v>
      </c>
      <c r="K67" s="63">
        <f t="shared" si="1"/>
        <v>0</v>
      </c>
    </row>
    <row r="68" spans="2:11" s="18" customFormat="1" ht="77.25" customHeight="1">
      <c r="B68" s="65" t="s">
        <v>132</v>
      </c>
      <c r="C68" s="30">
        <v>79700000</v>
      </c>
      <c r="D68" s="23" t="s">
        <v>27</v>
      </c>
      <c r="E68" s="56">
        <v>600000</v>
      </c>
      <c r="F68" s="25" t="s">
        <v>61</v>
      </c>
      <c r="G68" s="26" t="s">
        <v>125</v>
      </c>
      <c r="H68" s="26" t="s">
        <v>80</v>
      </c>
      <c r="J68" s="18">
        <v>600000</v>
      </c>
      <c r="K68" s="63">
        <f t="shared" si="1"/>
        <v>0</v>
      </c>
    </row>
    <row r="69" spans="2:11" s="18" customFormat="1" ht="62.25" customHeight="1">
      <c r="B69" s="65" t="s">
        <v>132</v>
      </c>
      <c r="C69" s="30">
        <v>79800000</v>
      </c>
      <c r="D69" s="23" t="s">
        <v>81</v>
      </c>
      <c r="E69" s="56">
        <v>10000</v>
      </c>
      <c r="F69" s="25" t="s">
        <v>64</v>
      </c>
      <c r="G69" s="26" t="s">
        <v>125</v>
      </c>
      <c r="H69" s="26"/>
      <c r="J69" s="18">
        <v>10000</v>
      </c>
      <c r="K69" s="63">
        <f t="shared" si="1"/>
        <v>0</v>
      </c>
    </row>
    <row r="70" spans="2:11" s="18" customFormat="1" ht="62.25" customHeight="1">
      <c r="B70" s="65" t="s">
        <v>132</v>
      </c>
      <c r="C70" s="78" t="s">
        <v>53</v>
      </c>
      <c r="D70" s="78" t="s">
        <v>65</v>
      </c>
      <c r="E70" s="56">
        <f>20000+12000-2305</f>
        <v>29695</v>
      </c>
      <c r="F70" s="79" t="s">
        <v>61</v>
      </c>
      <c r="G70" s="80" t="s">
        <v>125</v>
      </c>
      <c r="H70" s="78" t="s">
        <v>68</v>
      </c>
      <c r="J70" s="18">
        <v>29695</v>
      </c>
      <c r="K70" s="63">
        <f t="shared" si="1"/>
        <v>0</v>
      </c>
    </row>
    <row r="71" spans="2:11" s="18" customFormat="1" ht="62.25" customHeight="1">
      <c r="B71" s="65" t="s">
        <v>132</v>
      </c>
      <c r="C71" s="78" t="s">
        <v>53</v>
      </c>
      <c r="D71" s="78" t="s">
        <v>65</v>
      </c>
      <c r="E71" s="56">
        <v>2305</v>
      </c>
      <c r="F71" s="79" t="s">
        <v>61</v>
      </c>
      <c r="G71" s="80" t="s">
        <v>173</v>
      </c>
      <c r="H71" s="78"/>
      <c r="J71" s="18">
        <v>2305</v>
      </c>
      <c r="K71" s="63">
        <f t="shared" si="1"/>
        <v>0</v>
      </c>
    </row>
    <row r="72" spans="2:11" s="18" customFormat="1" ht="62.25" customHeight="1">
      <c r="B72" s="65" t="s">
        <v>132</v>
      </c>
      <c r="C72" s="38" t="s">
        <v>24</v>
      </c>
      <c r="D72" s="23" t="s">
        <v>71</v>
      </c>
      <c r="E72" s="56">
        <v>12000</v>
      </c>
      <c r="F72" s="25" t="s">
        <v>64</v>
      </c>
      <c r="G72" s="26" t="s">
        <v>125</v>
      </c>
      <c r="H72" s="23"/>
      <c r="J72" s="18">
        <v>12000</v>
      </c>
      <c r="K72" s="63">
        <f t="shared" si="1"/>
        <v>0</v>
      </c>
    </row>
    <row r="73" spans="2:11" s="18" customFormat="1" ht="62.25" customHeight="1">
      <c r="B73" s="65" t="s">
        <v>132</v>
      </c>
      <c r="C73" s="38" t="s">
        <v>122</v>
      </c>
      <c r="D73" s="23" t="s">
        <v>123</v>
      </c>
      <c r="E73" s="56">
        <v>1000</v>
      </c>
      <c r="F73" s="25" t="s">
        <v>61</v>
      </c>
      <c r="G73" s="26" t="s">
        <v>125</v>
      </c>
      <c r="H73" s="23"/>
      <c r="J73" s="18">
        <v>1000</v>
      </c>
      <c r="K73" s="63">
        <f t="shared" si="1"/>
        <v>0</v>
      </c>
    </row>
    <row r="74" spans="2:11" s="18" customFormat="1" ht="60.75" customHeight="1">
      <c r="B74" s="65" t="s">
        <v>132</v>
      </c>
      <c r="C74" s="78" t="s">
        <v>82</v>
      </c>
      <c r="D74" s="78" t="s">
        <v>83</v>
      </c>
      <c r="E74" s="56">
        <v>10000</v>
      </c>
      <c r="F74" s="79" t="s">
        <v>61</v>
      </c>
      <c r="G74" s="80" t="s">
        <v>125</v>
      </c>
      <c r="H74" s="80" t="s">
        <v>79</v>
      </c>
      <c r="J74" s="18">
        <v>10000</v>
      </c>
      <c r="K74" s="63">
        <f t="shared" ref="K74:K137" si="2">E74-J74</f>
        <v>0</v>
      </c>
    </row>
    <row r="75" spans="2:11" s="18" customFormat="1" ht="60.75" customHeight="1">
      <c r="B75" s="67" t="s">
        <v>132</v>
      </c>
      <c r="C75" s="68" t="s">
        <v>82</v>
      </c>
      <c r="D75" s="68" t="s">
        <v>83</v>
      </c>
      <c r="E75" s="126">
        <v>38769</v>
      </c>
      <c r="F75" s="70" t="s">
        <v>64</v>
      </c>
      <c r="G75" s="71" t="s">
        <v>199</v>
      </c>
      <c r="H75" s="71"/>
      <c r="K75" s="63">
        <f t="shared" si="2"/>
        <v>38769</v>
      </c>
    </row>
    <row r="76" spans="2:11" s="18" customFormat="1" ht="36.75" customHeight="1">
      <c r="B76" s="65" t="s">
        <v>132</v>
      </c>
      <c r="C76" s="78" t="s">
        <v>12</v>
      </c>
      <c r="D76" s="78" t="s">
        <v>19</v>
      </c>
      <c r="E76" s="56">
        <f>80000+110000</f>
        <v>190000</v>
      </c>
      <c r="F76" s="79" t="s">
        <v>64</v>
      </c>
      <c r="G76" s="80" t="s">
        <v>125</v>
      </c>
      <c r="H76" s="81"/>
      <c r="J76" s="18">
        <v>190000</v>
      </c>
      <c r="K76" s="63">
        <f t="shared" si="2"/>
        <v>0</v>
      </c>
    </row>
    <row r="77" spans="2:11" s="18" customFormat="1" ht="54.75" customHeight="1">
      <c r="B77" s="65" t="s">
        <v>132</v>
      </c>
      <c r="C77" s="78" t="s">
        <v>115</v>
      </c>
      <c r="D77" s="78" t="s">
        <v>116</v>
      </c>
      <c r="E77" s="56">
        <v>15000</v>
      </c>
      <c r="F77" s="79" t="s">
        <v>61</v>
      </c>
      <c r="G77" s="80" t="s">
        <v>125</v>
      </c>
      <c r="H77" s="80" t="s">
        <v>79</v>
      </c>
      <c r="J77" s="18">
        <v>15000</v>
      </c>
      <c r="K77" s="63">
        <f t="shared" si="2"/>
        <v>0</v>
      </c>
    </row>
    <row r="78" spans="2:11" s="18" customFormat="1" ht="89.25" customHeight="1">
      <c r="B78" s="65" t="s">
        <v>132</v>
      </c>
      <c r="C78" s="78" t="s">
        <v>193</v>
      </c>
      <c r="D78" s="78" t="s">
        <v>194</v>
      </c>
      <c r="E78" s="56">
        <f>11500*2.85</f>
        <v>32775</v>
      </c>
      <c r="F78" s="111" t="s">
        <v>61</v>
      </c>
      <c r="G78" s="111" t="s">
        <v>187</v>
      </c>
      <c r="H78" s="111" t="s">
        <v>157</v>
      </c>
      <c r="J78" s="18">
        <v>32775</v>
      </c>
      <c r="K78" s="63">
        <f t="shared" si="2"/>
        <v>0</v>
      </c>
    </row>
    <row r="79" spans="2:11" s="18" customFormat="1" ht="54.75" customHeight="1">
      <c r="B79" s="108" t="s">
        <v>132</v>
      </c>
      <c r="C79" s="78" t="s">
        <v>165</v>
      </c>
      <c r="D79" s="78" t="s">
        <v>166</v>
      </c>
      <c r="E79" s="56">
        <v>4900</v>
      </c>
      <c r="F79" s="79" t="s">
        <v>61</v>
      </c>
      <c r="G79" s="80" t="s">
        <v>152</v>
      </c>
      <c r="H79" s="80" t="s">
        <v>79</v>
      </c>
      <c r="J79" s="18">
        <v>4900</v>
      </c>
      <c r="K79" s="63">
        <f t="shared" si="2"/>
        <v>0</v>
      </c>
    </row>
    <row r="80" spans="2:11" s="1" customFormat="1" ht="75" customHeight="1">
      <c r="B80" s="127" t="s">
        <v>135</v>
      </c>
      <c r="C80" s="128"/>
      <c r="D80" s="128"/>
      <c r="E80" s="16">
        <f>SUM(E81:E85)</f>
        <v>2283000</v>
      </c>
      <c r="F80" s="13"/>
      <c r="G80" s="14"/>
      <c r="H80" s="10"/>
      <c r="I80" s="61"/>
      <c r="J80" s="21">
        <v>2283000</v>
      </c>
      <c r="K80" s="63">
        <f t="shared" si="2"/>
        <v>0</v>
      </c>
    </row>
    <row r="81" spans="2:14" s="18" customFormat="1" ht="59.25" customHeight="1">
      <c r="B81" s="65" t="s">
        <v>132</v>
      </c>
      <c r="C81" s="78" t="s">
        <v>24</v>
      </c>
      <c r="D81" s="78" t="s">
        <v>71</v>
      </c>
      <c r="E81" s="56">
        <f>1710000-142500-E84-E83-100000+685000+90000-136543.4-31970-33486.6</f>
        <v>1820789</v>
      </c>
      <c r="F81" s="79" t="s">
        <v>64</v>
      </c>
      <c r="G81" s="80" t="s">
        <v>125</v>
      </c>
      <c r="H81" s="86"/>
      <c r="J81" s="18">
        <v>1820789</v>
      </c>
      <c r="K81" s="63">
        <f t="shared" si="2"/>
        <v>0</v>
      </c>
    </row>
    <row r="82" spans="2:14" s="18" customFormat="1" ht="59.25" customHeight="1">
      <c r="B82" s="65" t="s">
        <v>132</v>
      </c>
      <c r="C82" s="78" t="s">
        <v>25</v>
      </c>
      <c r="D82" s="103" t="s">
        <v>69</v>
      </c>
      <c r="E82" s="56">
        <v>100000</v>
      </c>
      <c r="F82" s="79" t="s">
        <v>64</v>
      </c>
      <c r="G82" s="80" t="s">
        <v>187</v>
      </c>
      <c r="H82" s="111"/>
      <c r="I82" s="21"/>
      <c r="J82" s="62">
        <v>100000</v>
      </c>
      <c r="K82" s="63">
        <f t="shared" si="2"/>
        <v>0</v>
      </c>
    </row>
    <row r="83" spans="2:14" s="18" customFormat="1" ht="67.5">
      <c r="B83" s="65" t="s">
        <v>132</v>
      </c>
      <c r="C83" s="78" t="s">
        <v>103</v>
      </c>
      <c r="D83" s="78" t="s">
        <v>71</v>
      </c>
      <c r="E83" s="56">
        <v>19098</v>
      </c>
      <c r="F83" s="79" t="s">
        <v>61</v>
      </c>
      <c r="G83" s="80" t="s">
        <v>186</v>
      </c>
      <c r="H83" s="111" t="s">
        <v>98</v>
      </c>
      <c r="J83" s="21">
        <v>19098</v>
      </c>
      <c r="K83" s="63">
        <f t="shared" si="2"/>
        <v>0</v>
      </c>
    </row>
    <row r="84" spans="2:14" s="18" customFormat="1" ht="67.5">
      <c r="B84" s="65" t="s">
        <v>132</v>
      </c>
      <c r="C84" s="78" t="s">
        <v>103</v>
      </c>
      <c r="D84" s="78" t="s">
        <v>71</v>
      </c>
      <c r="E84" s="56">
        <v>200613</v>
      </c>
      <c r="F84" s="79" t="s">
        <v>61</v>
      </c>
      <c r="G84" s="80" t="s">
        <v>150</v>
      </c>
      <c r="H84" s="111" t="s">
        <v>98</v>
      </c>
      <c r="J84" s="21">
        <v>200613</v>
      </c>
      <c r="K84" s="63">
        <f t="shared" si="2"/>
        <v>0</v>
      </c>
    </row>
    <row r="85" spans="2:14" s="18" customFormat="1" ht="98.25" customHeight="1">
      <c r="B85" s="65" t="s">
        <v>132</v>
      </c>
      <c r="C85" s="78" t="s">
        <v>24</v>
      </c>
      <c r="D85" s="78" t="s">
        <v>71</v>
      </c>
      <c r="E85" s="56">
        <v>142500</v>
      </c>
      <c r="F85" s="79" t="s">
        <v>61</v>
      </c>
      <c r="G85" s="80" t="s">
        <v>125</v>
      </c>
      <c r="H85" s="111" t="s">
        <v>128</v>
      </c>
      <c r="J85" s="21">
        <v>142500</v>
      </c>
      <c r="K85" s="63">
        <f t="shared" si="2"/>
        <v>0</v>
      </c>
    </row>
    <row r="86" spans="2:14" s="1" customFormat="1" ht="31.5" customHeight="1">
      <c r="B86" s="127" t="s">
        <v>136</v>
      </c>
      <c r="C86" s="128"/>
      <c r="D86" s="128"/>
      <c r="E86" s="16">
        <f>SUM(E87:E91)</f>
        <v>21896000</v>
      </c>
      <c r="F86" s="13"/>
      <c r="G86" s="9"/>
      <c r="H86" s="10"/>
      <c r="I86" s="61"/>
      <c r="J86" s="18">
        <v>21896000</v>
      </c>
      <c r="K86" s="63">
        <f t="shared" si="2"/>
        <v>0</v>
      </c>
    </row>
    <row r="87" spans="2:14" s="18" customFormat="1" ht="75.75" customHeight="1">
      <c r="B87" s="65" t="s">
        <v>132</v>
      </c>
      <c r="C87" s="78" t="s">
        <v>7</v>
      </c>
      <c r="D87" s="78" t="s">
        <v>57</v>
      </c>
      <c r="E87" s="56">
        <f>3750000+400000-1000000+151300</f>
        <v>3301300</v>
      </c>
      <c r="F87" s="79" t="s">
        <v>61</v>
      </c>
      <c r="G87" s="80" t="s">
        <v>125</v>
      </c>
      <c r="H87" s="111" t="s">
        <v>97</v>
      </c>
      <c r="J87" s="21">
        <v>3301300</v>
      </c>
      <c r="K87" s="63">
        <f t="shared" si="2"/>
        <v>0</v>
      </c>
    </row>
    <row r="88" spans="2:14" s="18" customFormat="1" ht="75.75" customHeight="1">
      <c r="B88" s="123" t="s">
        <v>133</v>
      </c>
      <c r="C88" s="78" t="s">
        <v>7</v>
      </c>
      <c r="D88" s="78" t="s">
        <v>57</v>
      </c>
      <c r="E88" s="56">
        <v>154700</v>
      </c>
      <c r="F88" s="79" t="s">
        <v>61</v>
      </c>
      <c r="G88" s="80" t="s">
        <v>125</v>
      </c>
      <c r="H88" s="111" t="s">
        <v>97</v>
      </c>
      <c r="I88" s="21"/>
      <c r="J88" s="62">
        <v>154700</v>
      </c>
      <c r="K88" s="63">
        <f t="shared" si="2"/>
        <v>0</v>
      </c>
    </row>
    <row r="89" spans="2:14" s="18" customFormat="1" ht="121.5" customHeight="1">
      <c r="B89" s="65" t="s">
        <v>132</v>
      </c>
      <c r="C89" s="78">
        <v>33600000</v>
      </c>
      <c r="D89" s="78" t="s">
        <v>29</v>
      </c>
      <c r="E89" s="56">
        <f>1440000+270000-22680-444000+402700+5692300-308320-22680</f>
        <v>7007320</v>
      </c>
      <c r="F89" s="79" t="s">
        <v>64</v>
      </c>
      <c r="G89" s="80" t="s">
        <v>125</v>
      </c>
      <c r="H89" s="86"/>
      <c r="I89" s="21"/>
      <c r="J89" s="18">
        <v>7007320</v>
      </c>
      <c r="K89" s="63">
        <f t="shared" si="2"/>
        <v>0</v>
      </c>
      <c r="L89" s="21"/>
      <c r="M89" s="21"/>
    </row>
    <row r="90" spans="2:14" s="18" customFormat="1" ht="121.5" customHeight="1">
      <c r="B90" s="65" t="s">
        <v>132</v>
      </c>
      <c r="C90" s="78" t="s">
        <v>32</v>
      </c>
      <c r="D90" s="78" t="s">
        <v>29</v>
      </c>
      <c r="E90" s="56">
        <v>22680</v>
      </c>
      <c r="F90" s="79" t="s">
        <v>61</v>
      </c>
      <c r="G90" s="80" t="s">
        <v>150</v>
      </c>
      <c r="H90" s="111" t="s">
        <v>157</v>
      </c>
      <c r="I90" s="21"/>
      <c r="J90" s="21">
        <v>22680</v>
      </c>
      <c r="K90" s="63">
        <f t="shared" si="2"/>
        <v>0</v>
      </c>
      <c r="L90" s="21"/>
      <c r="M90" s="21"/>
    </row>
    <row r="91" spans="2:14" s="18" customFormat="1" ht="87.75" customHeight="1">
      <c r="B91" s="65" t="s">
        <v>132</v>
      </c>
      <c r="C91" s="78" t="s">
        <v>32</v>
      </c>
      <c r="D91" s="78" t="s">
        <v>29</v>
      </c>
      <c r="E91" s="56">
        <f>16410000-5000000</f>
        <v>11410000</v>
      </c>
      <c r="F91" s="79" t="s">
        <v>61</v>
      </c>
      <c r="G91" s="80" t="s">
        <v>125</v>
      </c>
      <c r="H91" s="111" t="s">
        <v>98</v>
      </c>
      <c r="J91" s="21">
        <v>11410000</v>
      </c>
      <c r="K91" s="63">
        <f t="shared" si="2"/>
        <v>0</v>
      </c>
      <c r="M91" s="21"/>
    </row>
    <row r="92" spans="2:14" s="1" customFormat="1" ht="60" customHeight="1">
      <c r="B92" s="127" t="s">
        <v>137</v>
      </c>
      <c r="C92" s="128"/>
      <c r="D92" s="128"/>
      <c r="E92" s="16">
        <f>SUM(E93:E97)</f>
        <v>1700000</v>
      </c>
      <c r="F92" s="13"/>
      <c r="G92" s="14"/>
      <c r="H92" s="10"/>
      <c r="I92" s="61"/>
      <c r="J92" s="21">
        <v>1700000</v>
      </c>
      <c r="K92" s="63">
        <f t="shared" si="2"/>
        <v>0</v>
      </c>
      <c r="N92" s="62"/>
    </row>
    <row r="93" spans="2:14" s="1" customFormat="1" ht="36.75" customHeight="1">
      <c r="B93" s="104" t="s">
        <v>132</v>
      </c>
      <c r="C93" s="23" t="s">
        <v>7</v>
      </c>
      <c r="D93" s="23" t="s">
        <v>28</v>
      </c>
      <c r="E93" s="24">
        <v>42272.9</v>
      </c>
      <c r="F93" s="25" t="s">
        <v>64</v>
      </c>
      <c r="G93" s="26" t="s">
        <v>125</v>
      </c>
      <c r="H93" s="41"/>
      <c r="J93" s="21">
        <v>42272.9</v>
      </c>
      <c r="K93" s="63">
        <f t="shared" si="2"/>
        <v>0</v>
      </c>
    </row>
    <row r="94" spans="2:14" s="1" customFormat="1" ht="51" customHeight="1">
      <c r="B94" s="104" t="s">
        <v>132</v>
      </c>
      <c r="C94" s="23" t="s">
        <v>32</v>
      </c>
      <c r="D94" s="23" t="s">
        <v>29</v>
      </c>
      <c r="E94" s="24">
        <v>60607.14</v>
      </c>
      <c r="F94" s="25" t="s">
        <v>64</v>
      </c>
      <c r="G94" s="26" t="s">
        <v>125</v>
      </c>
      <c r="H94" s="41"/>
      <c r="J94" s="105">
        <v>60607.14</v>
      </c>
      <c r="K94" s="63">
        <f t="shared" si="2"/>
        <v>0</v>
      </c>
    </row>
    <row r="95" spans="2:14" s="1" customFormat="1" ht="45" customHeight="1">
      <c r="B95" s="104" t="s">
        <v>132</v>
      </c>
      <c r="C95" s="23" t="s">
        <v>89</v>
      </c>
      <c r="D95" s="23" t="s">
        <v>90</v>
      </c>
      <c r="E95" s="24">
        <v>798000</v>
      </c>
      <c r="F95" s="25" t="s">
        <v>64</v>
      </c>
      <c r="G95" s="26" t="s">
        <v>125</v>
      </c>
      <c r="H95" s="48"/>
      <c r="J95" s="1">
        <v>798000</v>
      </c>
      <c r="K95" s="63">
        <f t="shared" si="2"/>
        <v>0</v>
      </c>
    </row>
    <row r="96" spans="2:14" s="1" customFormat="1" ht="78.75">
      <c r="B96" s="104" t="s">
        <v>132</v>
      </c>
      <c r="C96" s="23" t="s">
        <v>24</v>
      </c>
      <c r="D96" s="23" t="s">
        <v>71</v>
      </c>
      <c r="E96" s="24">
        <v>69239.960000000006</v>
      </c>
      <c r="F96" s="25" t="s">
        <v>61</v>
      </c>
      <c r="G96" s="26" t="s">
        <v>125</v>
      </c>
      <c r="H96" s="48" t="s">
        <v>129</v>
      </c>
      <c r="J96" s="62">
        <v>69239.960000000006</v>
      </c>
      <c r="K96" s="63">
        <f t="shared" si="2"/>
        <v>0</v>
      </c>
    </row>
    <row r="97" spans="2:11" s="1" customFormat="1" ht="67.5">
      <c r="B97" s="104" t="s">
        <v>132</v>
      </c>
      <c r="C97" s="23" t="s">
        <v>24</v>
      </c>
      <c r="D97" s="23" t="s">
        <v>71</v>
      </c>
      <c r="E97" s="24">
        <v>729880</v>
      </c>
      <c r="F97" s="25" t="s">
        <v>61</v>
      </c>
      <c r="G97" s="26" t="s">
        <v>152</v>
      </c>
      <c r="H97" s="48" t="s">
        <v>98</v>
      </c>
      <c r="J97" s="1">
        <v>729880</v>
      </c>
      <c r="K97" s="63">
        <f t="shared" si="2"/>
        <v>0</v>
      </c>
    </row>
    <row r="98" spans="2:11" s="1" customFormat="1" ht="65.25" customHeight="1">
      <c r="B98" s="127" t="s">
        <v>138</v>
      </c>
      <c r="C98" s="128"/>
      <c r="D98" s="128"/>
      <c r="E98" s="16">
        <f>SUM(E99:E101)</f>
        <v>1672000</v>
      </c>
      <c r="F98" s="13"/>
      <c r="G98" s="14"/>
      <c r="H98" s="10"/>
      <c r="I98" s="61"/>
      <c r="J98" s="62">
        <v>1672000</v>
      </c>
      <c r="K98" s="63">
        <f t="shared" si="2"/>
        <v>0</v>
      </c>
    </row>
    <row r="99" spans="2:11" s="1" customFormat="1" ht="33.75">
      <c r="B99" s="104" t="s">
        <v>132</v>
      </c>
      <c r="C99" s="36" t="s">
        <v>25</v>
      </c>
      <c r="D99" s="36" t="s">
        <v>69</v>
      </c>
      <c r="E99" s="24">
        <f>55000+145000</f>
        <v>200000</v>
      </c>
      <c r="F99" s="43" t="s">
        <v>64</v>
      </c>
      <c r="G99" s="26" t="s">
        <v>125</v>
      </c>
      <c r="H99" s="44"/>
      <c r="J99" s="1">
        <v>200000</v>
      </c>
      <c r="K99" s="63">
        <f t="shared" si="2"/>
        <v>0</v>
      </c>
    </row>
    <row r="100" spans="2:11" s="1" customFormat="1" ht="78.75">
      <c r="B100" s="104" t="s">
        <v>132</v>
      </c>
      <c r="C100" s="23">
        <v>85100000</v>
      </c>
      <c r="D100" s="23" t="s">
        <v>71</v>
      </c>
      <c r="E100" s="24">
        <v>127500.5</v>
      </c>
      <c r="F100" s="25" t="s">
        <v>61</v>
      </c>
      <c r="G100" s="26" t="s">
        <v>125</v>
      </c>
      <c r="H100" s="45" t="s">
        <v>124</v>
      </c>
      <c r="J100" s="62">
        <v>127500.5</v>
      </c>
      <c r="K100" s="63">
        <f t="shared" si="2"/>
        <v>0</v>
      </c>
    </row>
    <row r="101" spans="2:11" s="18" customFormat="1" ht="60.75" customHeight="1">
      <c r="B101" s="65" t="s">
        <v>132</v>
      </c>
      <c r="C101" s="78">
        <v>85100000</v>
      </c>
      <c r="D101" s="78" t="s">
        <v>71</v>
      </c>
      <c r="E101" s="56">
        <f>1460000+111200-145000-81700.5</f>
        <v>1344499.5</v>
      </c>
      <c r="F101" s="79" t="s">
        <v>61</v>
      </c>
      <c r="G101" s="80" t="s">
        <v>125</v>
      </c>
      <c r="H101" s="111" t="s">
        <v>98</v>
      </c>
      <c r="J101" s="1">
        <v>1344499.5</v>
      </c>
      <c r="K101" s="63">
        <f t="shared" si="2"/>
        <v>0</v>
      </c>
    </row>
    <row r="102" spans="2:11" s="1" customFormat="1" ht="61.5" customHeight="1">
      <c r="B102" s="127" t="s">
        <v>139</v>
      </c>
      <c r="C102" s="128"/>
      <c r="D102" s="128"/>
      <c r="E102" s="16">
        <f>SUM(E103:E104)</f>
        <v>184166.6</v>
      </c>
      <c r="F102" s="13"/>
      <c r="G102" s="14"/>
      <c r="H102" s="10"/>
      <c r="I102" s="61"/>
      <c r="J102" s="1">
        <v>184166.6</v>
      </c>
      <c r="K102" s="63">
        <f t="shared" si="2"/>
        <v>0</v>
      </c>
    </row>
    <row r="103" spans="2:11" s="18" customFormat="1" ht="70.5" customHeight="1">
      <c r="B103" s="65" t="s">
        <v>132</v>
      </c>
      <c r="C103" s="23" t="s">
        <v>24</v>
      </c>
      <c r="D103" s="23" t="s">
        <v>71</v>
      </c>
      <c r="E103" s="56">
        <v>14166.6</v>
      </c>
      <c r="F103" s="25" t="s">
        <v>61</v>
      </c>
      <c r="G103" s="26" t="s">
        <v>125</v>
      </c>
      <c r="H103" s="48" t="s">
        <v>76</v>
      </c>
      <c r="J103" s="18">
        <v>14166.6</v>
      </c>
      <c r="K103" s="63">
        <f t="shared" si="2"/>
        <v>0</v>
      </c>
    </row>
    <row r="104" spans="2:11" s="1" customFormat="1" ht="75" customHeight="1">
      <c r="B104" s="104" t="s">
        <v>132</v>
      </c>
      <c r="C104" s="23" t="s">
        <v>24</v>
      </c>
      <c r="D104" s="23" t="s">
        <v>71</v>
      </c>
      <c r="E104" s="24">
        <v>170000</v>
      </c>
      <c r="F104" s="25" t="s">
        <v>61</v>
      </c>
      <c r="G104" s="26" t="s">
        <v>125</v>
      </c>
      <c r="H104" s="48" t="s">
        <v>98</v>
      </c>
      <c r="J104" s="62">
        <v>170000</v>
      </c>
      <c r="K104" s="63">
        <f t="shared" si="2"/>
        <v>0</v>
      </c>
    </row>
    <row r="105" spans="2:11" s="1" customFormat="1" ht="65.25" customHeight="1">
      <c r="B105" s="138" t="s">
        <v>140</v>
      </c>
      <c r="C105" s="139"/>
      <c r="D105" s="139"/>
      <c r="E105" s="16">
        <f>SUM(E106:E112)</f>
        <v>1078190</v>
      </c>
      <c r="F105" s="13"/>
      <c r="G105" s="14"/>
      <c r="H105" s="60"/>
      <c r="I105" s="61"/>
      <c r="J105" s="18">
        <v>1078190</v>
      </c>
      <c r="K105" s="63">
        <f t="shared" si="2"/>
        <v>0</v>
      </c>
    </row>
    <row r="106" spans="2:11" s="1" customFormat="1" ht="49.5" customHeight="1">
      <c r="B106" s="104" t="s">
        <v>132</v>
      </c>
      <c r="C106" s="23" t="s">
        <v>14</v>
      </c>
      <c r="D106" s="23" t="s">
        <v>15</v>
      </c>
      <c r="E106" s="24">
        <v>24200</v>
      </c>
      <c r="F106" s="25" t="s">
        <v>60</v>
      </c>
      <c r="G106" s="26" t="s">
        <v>125</v>
      </c>
      <c r="H106" s="41"/>
      <c r="J106" s="1">
        <v>24200</v>
      </c>
      <c r="K106" s="63">
        <f t="shared" si="2"/>
        <v>0</v>
      </c>
    </row>
    <row r="107" spans="2:11" s="1" customFormat="1" ht="33.75">
      <c r="B107" s="104" t="s">
        <v>132</v>
      </c>
      <c r="C107" s="28">
        <v>33100000</v>
      </c>
      <c r="D107" s="28" t="s">
        <v>28</v>
      </c>
      <c r="E107" s="24">
        <f>240004-87983</f>
        <v>152021</v>
      </c>
      <c r="F107" s="29" t="s">
        <v>64</v>
      </c>
      <c r="G107" s="26" t="s">
        <v>125</v>
      </c>
      <c r="H107" s="46"/>
      <c r="J107" s="62">
        <v>152021</v>
      </c>
      <c r="K107" s="63">
        <f t="shared" si="2"/>
        <v>0</v>
      </c>
    </row>
    <row r="108" spans="2:11" s="18" customFormat="1" ht="25.5">
      <c r="B108" s="65" t="s">
        <v>132</v>
      </c>
      <c r="C108" s="99" t="s">
        <v>32</v>
      </c>
      <c r="D108" s="78" t="s">
        <v>29</v>
      </c>
      <c r="E108" s="56">
        <f>33830</f>
        <v>33830</v>
      </c>
      <c r="F108" s="100" t="s">
        <v>64</v>
      </c>
      <c r="G108" s="80" t="s">
        <v>178</v>
      </c>
      <c r="H108" s="118"/>
      <c r="J108" s="1">
        <v>33830</v>
      </c>
      <c r="K108" s="63">
        <f t="shared" si="2"/>
        <v>0</v>
      </c>
    </row>
    <row r="109" spans="2:11" s="18" customFormat="1" ht="25.5">
      <c r="B109" s="65" t="s">
        <v>132</v>
      </c>
      <c r="C109" s="99" t="s">
        <v>184</v>
      </c>
      <c r="D109" s="78" t="s">
        <v>185</v>
      </c>
      <c r="E109" s="56">
        <v>2980</v>
      </c>
      <c r="F109" s="100" t="s">
        <v>64</v>
      </c>
      <c r="G109" s="80" t="s">
        <v>178</v>
      </c>
      <c r="H109" s="118"/>
      <c r="J109" s="1">
        <v>2980</v>
      </c>
      <c r="K109" s="63">
        <f t="shared" si="2"/>
        <v>0</v>
      </c>
    </row>
    <row r="110" spans="2:11" s="18" customFormat="1" ht="60.75" customHeight="1">
      <c r="B110" s="65" t="s">
        <v>132</v>
      </c>
      <c r="C110" s="78" t="s">
        <v>59</v>
      </c>
      <c r="D110" s="78" t="s">
        <v>44</v>
      </c>
      <c r="E110" s="56">
        <f>15000</f>
        <v>15000</v>
      </c>
      <c r="F110" s="79" t="s">
        <v>64</v>
      </c>
      <c r="G110" s="80" t="s">
        <v>125</v>
      </c>
      <c r="H110" s="86"/>
      <c r="J110" s="18">
        <v>15000</v>
      </c>
      <c r="K110" s="63">
        <f t="shared" si="2"/>
        <v>0</v>
      </c>
    </row>
    <row r="111" spans="2:11" s="18" customFormat="1" ht="75" customHeight="1">
      <c r="B111" s="65" t="s">
        <v>132</v>
      </c>
      <c r="C111" s="78">
        <v>85100000</v>
      </c>
      <c r="D111" s="78" t="s">
        <v>71</v>
      </c>
      <c r="E111" s="56">
        <v>48313</v>
      </c>
      <c r="F111" s="79" t="s">
        <v>61</v>
      </c>
      <c r="G111" s="80" t="s">
        <v>125</v>
      </c>
      <c r="H111" s="111" t="s">
        <v>126</v>
      </c>
      <c r="J111" s="18">
        <v>48313</v>
      </c>
      <c r="K111" s="63">
        <f t="shared" si="2"/>
        <v>0</v>
      </c>
    </row>
    <row r="112" spans="2:11" s="18" customFormat="1" ht="65.25" customHeight="1">
      <c r="B112" s="65" t="s">
        <v>132</v>
      </c>
      <c r="C112" s="78">
        <v>85100000</v>
      </c>
      <c r="D112" s="78" t="s">
        <v>71</v>
      </c>
      <c r="E112" s="56">
        <f>1071996+37800-260000-33830-2980-11140</f>
        <v>801846</v>
      </c>
      <c r="F112" s="79" t="s">
        <v>61</v>
      </c>
      <c r="G112" s="80" t="s">
        <v>125</v>
      </c>
      <c r="H112" s="111" t="s">
        <v>98</v>
      </c>
      <c r="J112" s="18">
        <v>801846</v>
      </c>
      <c r="K112" s="63">
        <f t="shared" si="2"/>
        <v>0</v>
      </c>
    </row>
    <row r="113" spans="2:11" s="1" customFormat="1" ht="80.25" customHeight="1">
      <c r="B113" s="127" t="s">
        <v>141</v>
      </c>
      <c r="C113" s="128"/>
      <c r="D113" s="128"/>
      <c r="E113" s="16">
        <f>SUM(E114:E114)</f>
        <v>1250000</v>
      </c>
      <c r="F113" s="13"/>
      <c r="G113" s="14"/>
      <c r="H113" s="10"/>
      <c r="I113" s="61"/>
      <c r="J113" s="21">
        <v>1250000</v>
      </c>
      <c r="K113" s="63">
        <f t="shared" si="2"/>
        <v>0</v>
      </c>
    </row>
    <row r="114" spans="2:11" s="1" customFormat="1" ht="84.75" customHeight="1">
      <c r="B114" s="104" t="s">
        <v>132</v>
      </c>
      <c r="C114" s="23" t="s">
        <v>32</v>
      </c>
      <c r="D114" s="23" t="s">
        <v>29</v>
      </c>
      <c r="E114" s="24">
        <v>1250000</v>
      </c>
      <c r="F114" s="25" t="s">
        <v>61</v>
      </c>
      <c r="G114" s="26" t="s">
        <v>125</v>
      </c>
      <c r="H114" s="48" t="s">
        <v>98</v>
      </c>
      <c r="J114" s="18">
        <v>1250000</v>
      </c>
      <c r="K114" s="63">
        <f t="shared" si="2"/>
        <v>0</v>
      </c>
    </row>
    <row r="115" spans="2:11" s="1" customFormat="1" ht="57.75" customHeight="1">
      <c r="B115" s="136" t="s">
        <v>142</v>
      </c>
      <c r="C115" s="137"/>
      <c r="D115" s="137"/>
      <c r="E115" s="57">
        <f>SUM(E116:E119)</f>
        <v>3880000</v>
      </c>
      <c r="F115" s="58"/>
      <c r="G115" s="58"/>
      <c r="H115" s="59"/>
      <c r="I115" s="61"/>
      <c r="J115" s="62">
        <v>3880000</v>
      </c>
      <c r="K115" s="63">
        <f t="shared" si="2"/>
        <v>0</v>
      </c>
    </row>
    <row r="116" spans="2:11" s="18" customFormat="1" ht="29.25" customHeight="1">
      <c r="B116" s="65" t="s">
        <v>132</v>
      </c>
      <c r="C116" s="77">
        <v>33100000</v>
      </c>
      <c r="D116" s="78" t="s">
        <v>8</v>
      </c>
      <c r="E116" s="56">
        <f>124876.2+72000</f>
        <v>196876.2</v>
      </c>
      <c r="F116" s="79" t="s">
        <v>64</v>
      </c>
      <c r="G116" s="80" t="s">
        <v>125</v>
      </c>
      <c r="H116" s="80"/>
      <c r="J116" s="1">
        <v>196876.2</v>
      </c>
      <c r="K116" s="63">
        <f t="shared" si="2"/>
        <v>0</v>
      </c>
    </row>
    <row r="117" spans="2:11" s="18" customFormat="1" ht="33.75">
      <c r="B117" s="65" t="s">
        <v>132</v>
      </c>
      <c r="C117" s="77" t="s">
        <v>32</v>
      </c>
      <c r="D117" s="78" t="s">
        <v>9</v>
      </c>
      <c r="E117" s="56">
        <f>2995349.4-3495.8-99984.41-120000-72000</f>
        <v>2699869.19</v>
      </c>
      <c r="F117" s="79" t="s">
        <v>64</v>
      </c>
      <c r="G117" s="80" t="s">
        <v>125</v>
      </c>
      <c r="H117" s="80"/>
      <c r="J117" s="62">
        <v>2699869.19</v>
      </c>
      <c r="K117" s="63">
        <f t="shared" si="2"/>
        <v>0</v>
      </c>
    </row>
    <row r="118" spans="2:11" s="18" customFormat="1" ht="67.5">
      <c r="B118" s="65" t="s">
        <v>132</v>
      </c>
      <c r="C118" s="77" t="s">
        <v>24</v>
      </c>
      <c r="D118" s="78" t="s">
        <v>71</v>
      </c>
      <c r="E118" s="56">
        <v>73605.850000000006</v>
      </c>
      <c r="F118" s="79" t="s">
        <v>61</v>
      </c>
      <c r="G118" s="80" t="s">
        <v>125</v>
      </c>
      <c r="H118" s="122" t="s">
        <v>127</v>
      </c>
      <c r="J118" s="21">
        <v>73605.850000000006</v>
      </c>
      <c r="K118" s="63">
        <f t="shared" si="2"/>
        <v>0</v>
      </c>
    </row>
    <row r="119" spans="2:11" s="1" customFormat="1" ht="83.25" customHeight="1">
      <c r="B119" s="104" t="s">
        <v>132</v>
      </c>
      <c r="C119" s="23" t="s">
        <v>24</v>
      </c>
      <c r="D119" s="23" t="s">
        <v>71</v>
      </c>
      <c r="E119" s="24">
        <v>909648.76</v>
      </c>
      <c r="F119" s="25" t="s">
        <v>61</v>
      </c>
      <c r="G119" s="26" t="s">
        <v>152</v>
      </c>
      <c r="H119" s="32" t="s">
        <v>98</v>
      </c>
      <c r="J119" s="18">
        <v>909648.76</v>
      </c>
      <c r="K119" s="63">
        <f t="shared" si="2"/>
        <v>0</v>
      </c>
    </row>
    <row r="120" spans="2:11" ht="122.25" customHeight="1">
      <c r="B120" s="127" t="s">
        <v>143</v>
      </c>
      <c r="C120" s="128"/>
      <c r="D120" s="128"/>
      <c r="E120" s="16">
        <f>SUM(E121)</f>
        <v>2190000</v>
      </c>
      <c r="F120" s="13"/>
      <c r="G120" s="14"/>
      <c r="H120" s="10"/>
      <c r="I120" s="61"/>
      <c r="J120" s="18">
        <v>2190000</v>
      </c>
      <c r="K120" s="63">
        <f t="shared" si="2"/>
        <v>0</v>
      </c>
    </row>
    <row r="121" spans="2:11" s="1" customFormat="1" ht="117.75" customHeight="1">
      <c r="B121" s="104" t="s">
        <v>132</v>
      </c>
      <c r="C121" s="23" t="s">
        <v>32</v>
      </c>
      <c r="D121" s="23" t="s">
        <v>29</v>
      </c>
      <c r="E121" s="24">
        <v>2190000</v>
      </c>
      <c r="F121" s="25" t="s">
        <v>61</v>
      </c>
      <c r="G121" s="26" t="s">
        <v>152</v>
      </c>
      <c r="H121" s="48" t="s">
        <v>98</v>
      </c>
      <c r="J121" s="1">
        <v>2190000</v>
      </c>
      <c r="K121" s="63">
        <f t="shared" si="2"/>
        <v>0</v>
      </c>
    </row>
    <row r="122" spans="2:11" s="1" customFormat="1" ht="57" customHeight="1">
      <c r="B122" s="138" t="s">
        <v>144</v>
      </c>
      <c r="C122" s="139"/>
      <c r="D122" s="139"/>
      <c r="E122" s="16">
        <f>SUM(E123:E127)</f>
        <v>255000</v>
      </c>
      <c r="F122" s="13"/>
      <c r="G122" s="60"/>
      <c r="H122" s="60"/>
      <c r="I122" s="61"/>
      <c r="J122" s="63">
        <v>255000</v>
      </c>
      <c r="K122" s="63">
        <f t="shared" si="2"/>
        <v>0</v>
      </c>
    </row>
    <row r="123" spans="2:11" s="18" customFormat="1" ht="59.25" customHeight="1">
      <c r="B123" s="65" t="s">
        <v>148</v>
      </c>
      <c r="C123" s="78">
        <v>33100000</v>
      </c>
      <c r="D123" s="78" t="s">
        <v>28</v>
      </c>
      <c r="E123" s="56">
        <v>0</v>
      </c>
      <c r="F123" s="79" t="s">
        <v>64</v>
      </c>
      <c r="G123" s="80" t="s">
        <v>125</v>
      </c>
      <c r="H123" s="86"/>
      <c r="J123" s="1">
        <v>0</v>
      </c>
      <c r="K123" s="63">
        <f t="shared" si="2"/>
        <v>0</v>
      </c>
    </row>
    <row r="124" spans="2:11" s="18" customFormat="1" ht="38.25">
      <c r="B124" s="65" t="s">
        <v>148</v>
      </c>
      <c r="C124" s="103">
        <v>33600000</v>
      </c>
      <c r="D124" s="103" t="s">
        <v>29</v>
      </c>
      <c r="E124" s="56">
        <f>266824.3+68000-17770-162054.3+10000</f>
        <v>165000</v>
      </c>
      <c r="F124" s="120" t="s">
        <v>64</v>
      </c>
      <c r="G124" s="80" t="s">
        <v>125</v>
      </c>
      <c r="H124" s="121"/>
      <c r="J124" s="62">
        <v>165000</v>
      </c>
      <c r="K124" s="63">
        <f t="shared" si="2"/>
        <v>0</v>
      </c>
    </row>
    <row r="125" spans="2:11" s="18" customFormat="1" ht="78.75">
      <c r="B125" s="65" t="s">
        <v>132</v>
      </c>
      <c r="C125" s="77" t="s">
        <v>103</v>
      </c>
      <c r="D125" s="78" t="s">
        <v>71</v>
      </c>
      <c r="E125" s="56">
        <f>6870-4365</f>
        <v>2505</v>
      </c>
      <c r="F125" s="79" t="s">
        <v>61</v>
      </c>
      <c r="G125" s="80" t="s">
        <v>125</v>
      </c>
      <c r="H125" s="122" t="s">
        <v>130</v>
      </c>
      <c r="J125" s="18">
        <v>2505</v>
      </c>
      <c r="K125" s="63">
        <f t="shared" si="2"/>
        <v>0</v>
      </c>
    </row>
    <row r="126" spans="2:11" s="18" customFormat="1" ht="67.5">
      <c r="B126" s="65" t="s">
        <v>132</v>
      </c>
      <c r="C126" s="77" t="s">
        <v>103</v>
      </c>
      <c r="D126" s="78" t="s">
        <v>71</v>
      </c>
      <c r="E126" s="56">
        <f>13740+6870-5635</f>
        <v>14975</v>
      </c>
      <c r="F126" s="79" t="s">
        <v>61</v>
      </c>
      <c r="G126" s="80" t="s">
        <v>152</v>
      </c>
      <c r="H126" s="111" t="s">
        <v>98</v>
      </c>
      <c r="J126" s="18">
        <v>14975</v>
      </c>
      <c r="K126" s="63">
        <f t="shared" si="2"/>
        <v>0</v>
      </c>
    </row>
    <row r="127" spans="2:11" s="1" customFormat="1" ht="51" customHeight="1">
      <c r="B127" s="104" t="s">
        <v>132</v>
      </c>
      <c r="C127" s="38" t="s">
        <v>24</v>
      </c>
      <c r="D127" s="23" t="s">
        <v>71</v>
      </c>
      <c r="E127" s="24">
        <v>72520</v>
      </c>
      <c r="F127" s="25" t="s">
        <v>64</v>
      </c>
      <c r="G127" s="26" t="s">
        <v>153</v>
      </c>
      <c r="H127" s="45"/>
      <c r="J127" s="18">
        <v>72520</v>
      </c>
      <c r="K127" s="63">
        <f t="shared" si="2"/>
        <v>0</v>
      </c>
    </row>
    <row r="128" spans="2:11" ht="59.25" customHeight="1">
      <c r="B128" s="127" t="s">
        <v>145</v>
      </c>
      <c r="C128" s="128"/>
      <c r="D128" s="128"/>
      <c r="E128" s="16">
        <f>SUM(E129:E134)</f>
        <v>2100000</v>
      </c>
      <c r="F128" s="13"/>
      <c r="G128" s="14"/>
      <c r="H128" s="10"/>
      <c r="I128" s="61"/>
      <c r="J128" s="21">
        <v>2100000</v>
      </c>
      <c r="K128" s="63">
        <f t="shared" si="2"/>
        <v>0</v>
      </c>
    </row>
    <row r="129" spans="2:11" s="1" customFormat="1" ht="42.75" customHeight="1">
      <c r="B129" s="104" t="s">
        <v>132</v>
      </c>
      <c r="C129" s="23" t="s">
        <v>25</v>
      </c>
      <c r="D129" s="23" t="s">
        <v>69</v>
      </c>
      <c r="E129" s="24">
        <f>2100000-115976-175000+5000-25000-144000</f>
        <v>1645024</v>
      </c>
      <c r="F129" s="25" t="s">
        <v>64</v>
      </c>
      <c r="G129" s="26" t="s">
        <v>125</v>
      </c>
      <c r="H129" s="53"/>
      <c r="J129" s="62">
        <v>1645024</v>
      </c>
      <c r="K129" s="63">
        <f t="shared" si="2"/>
        <v>0</v>
      </c>
    </row>
    <row r="130" spans="2:11" s="1" customFormat="1" ht="42.75" customHeight="1">
      <c r="B130" s="104" t="s">
        <v>132</v>
      </c>
      <c r="C130" s="23" t="s">
        <v>25</v>
      </c>
      <c r="D130" s="23" t="s">
        <v>69</v>
      </c>
      <c r="E130" s="24">
        <f>5976</f>
        <v>5976</v>
      </c>
      <c r="F130" s="25" t="s">
        <v>61</v>
      </c>
      <c r="G130" s="26" t="s">
        <v>152</v>
      </c>
      <c r="H130" s="48" t="s">
        <v>98</v>
      </c>
      <c r="J130" s="63">
        <v>5976</v>
      </c>
      <c r="K130" s="63">
        <f t="shared" si="2"/>
        <v>0</v>
      </c>
    </row>
    <row r="131" spans="2:11" s="1" customFormat="1" ht="42.75" customHeight="1">
      <c r="B131" s="104" t="s">
        <v>134</v>
      </c>
      <c r="C131" s="23" t="s">
        <v>176</v>
      </c>
      <c r="D131" s="23" t="s">
        <v>177</v>
      </c>
      <c r="E131" s="24">
        <v>170000</v>
      </c>
      <c r="F131" s="25" t="s">
        <v>64</v>
      </c>
      <c r="G131" s="26" t="s">
        <v>178</v>
      </c>
      <c r="H131" s="48"/>
      <c r="J131" s="1">
        <v>170000</v>
      </c>
      <c r="K131" s="63">
        <f t="shared" si="2"/>
        <v>0</v>
      </c>
    </row>
    <row r="132" spans="2:11" s="1" customFormat="1" ht="42.75" customHeight="1">
      <c r="B132" s="104" t="s">
        <v>132</v>
      </c>
      <c r="C132" s="23" t="s">
        <v>195</v>
      </c>
      <c r="D132" s="23" t="s">
        <v>81</v>
      </c>
      <c r="E132" s="24">
        <v>25000</v>
      </c>
      <c r="F132" s="25" t="s">
        <v>64</v>
      </c>
      <c r="G132" s="26" t="s">
        <v>196</v>
      </c>
      <c r="H132" s="48"/>
      <c r="J132" s="1">
        <v>25000</v>
      </c>
      <c r="K132" s="63">
        <f t="shared" si="2"/>
        <v>0</v>
      </c>
    </row>
    <row r="133" spans="2:11" s="1" customFormat="1" ht="42.75" customHeight="1">
      <c r="B133" s="104" t="s">
        <v>132</v>
      </c>
      <c r="C133" s="23" t="s">
        <v>197</v>
      </c>
      <c r="D133" s="23" t="s">
        <v>198</v>
      </c>
      <c r="E133" s="24">
        <v>144000</v>
      </c>
      <c r="F133" s="25" t="s">
        <v>64</v>
      </c>
      <c r="G133" s="26" t="s">
        <v>196</v>
      </c>
      <c r="H133" s="48"/>
      <c r="J133" s="1">
        <v>144000</v>
      </c>
      <c r="K133" s="63">
        <f t="shared" si="2"/>
        <v>0</v>
      </c>
    </row>
    <row r="134" spans="2:11" s="18" customFormat="1" ht="80.25" customHeight="1">
      <c r="B134" s="65" t="s">
        <v>132</v>
      </c>
      <c r="C134" s="78" t="s">
        <v>154</v>
      </c>
      <c r="D134" s="78" t="s">
        <v>155</v>
      </c>
      <c r="E134" s="56">
        <f>115976-5976</f>
        <v>110000</v>
      </c>
      <c r="F134" s="79" t="s">
        <v>61</v>
      </c>
      <c r="G134" s="80" t="s">
        <v>152</v>
      </c>
      <c r="H134" s="111" t="s">
        <v>98</v>
      </c>
      <c r="J134" s="1">
        <v>110000</v>
      </c>
      <c r="K134" s="63">
        <f t="shared" si="2"/>
        <v>0</v>
      </c>
    </row>
    <row r="135" spans="2:11" ht="70.5" customHeight="1">
      <c r="B135" s="127" t="s">
        <v>146</v>
      </c>
      <c r="C135" s="128"/>
      <c r="D135" s="128"/>
      <c r="E135" s="16">
        <f>SUM(E136:E139)</f>
        <v>631800</v>
      </c>
      <c r="F135" s="13"/>
      <c r="G135" s="14"/>
      <c r="H135" s="10"/>
      <c r="I135" s="61"/>
      <c r="J135" s="1">
        <v>631800</v>
      </c>
      <c r="K135" s="63">
        <f t="shared" si="2"/>
        <v>0</v>
      </c>
    </row>
    <row r="136" spans="2:11" s="18" customFormat="1" ht="33.75">
      <c r="B136" s="65" t="s">
        <v>132</v>
      </c>
      <c r="C136" s="99" t="s">
        <v>32</v>
      </c>
      <c r="D136" s="99" t="s">
        <v>29</v>
      </c>
      <c r="E136" s="56">
        <f>264000-4020+90500-480</f>
        <v>350000</v>
      </c>
      <c r="F136" s="100" t="s">
        <v>64</v>
      </c>
      <c r="G136" s="80" t="s">
        <v>125</v>
      </c>
      <c r="H136" s="101"/>
      <c r="J136" s="18">
        <v>350000</v>
      </c>
      <c r="K136" s="63">
        <f t="shared" si="2"/>
        <v>0</v>
      </c>
    </row>
    <row r="137" spans="2:11" s="18" customFormat="1" ht="33.75">
      <c r="B137" s="65" t="s">
        <v>132</v>
      </c>
      <c r="C137" s="99" t="s">
        <v>7</v>
      </c>
      <c r="D137" s="99" t="s">
        <v>28</v>
      </c>
      <c r="E137" s="56">
        <v>125450</v>
      </c>
      <c r="F137" s="100" t="s">
        <v>64</v>
      </c>
      <c r="G137" s="80" t="s">
        <v>125</v>
      </c>
      <c r="H137" s="117"/>
      <c r="J137" s="63">
        <v>125450</v>
      </c>
      <c r="K137" s="63">
        <f t="shared" si="2"/>
        <v>0</v>
      </c>
    </row>
    <row r="138" spans="2:11" s="18" customFormat="1" ht="25.5">
      <c r="B138" s="65" t="s">
        <v>132</v>
      </c>
      <c r="C138" s="99" t="s">
        <v>7</v>
      </c>
      <c r="D138" s="99" t="s">
        <v>28</v>
      </c>
      <c r="E138" s="56">
        <f>62000+55300-11770</f>
        <v>105530</v>
      </c>
      <c r="F138" s="79" t="s">
        <v>60</v>
      </c>
      <c r="G138" s="80" t="s">
        <v>178</v>
      </c>
      <c r="H138" s="117"/>
      <c r="J138" s="18">
        <v>105530</v>
      </c>
      <c r="K138" s="63">
        <f t="shared" ref="K138:K139" si="3">E138-J138</f>
        <v>0</v>
      </c>
    </row>
    <row r="139" spans="2:11" s="1" customFormat="1" ht="33.75">
      <c r="B139" s="104" t="s">
        <v>132</v>
      </c>
      <c r="C139" s="23" t="s">
        <v>14</v>
      </c>
      <c r="D139" s="23" t="s">
        <v>40</v>
      </c>
      <c r="E139" s="24">
        <f>4020+46800</f>
        <v>50820</v>
      </c>
      <c r="F139" s="25" t="s">
        <v>60</v>
      </c>
      <c r="G139" s="26" t="s">
        <v>125</v>
      </c>
      <c r="H139" s="23"/>
      <c r="J139" s="18">
        <v>50820</v>
      </c>
      <c r="K139" s="63">
        <f t="shared" si="3"/>
        <v>0</v>
      </c>
    </row>
    <row r="140" spans="2:11">
      <c r="J140" s="18"/>
    </row>
    <row r="141" spans="2:11">
      <c r="J141" s="1"/>
    </row>
    <row r="150" spans="7:7">
      <c r="G150" s="63"/>
    </row>
  </sheetData>
  <autoFilter ref="A8:H139"/>
  <mergeCells count="20">
    <mergeCell ref="B98:D98"/>
    <mergeCell ref="B2:H2"/>
    <mergeCell ref="B3:H3"/>
    <mergeCell ref="B4:E4"/>
    <mergeCell ref="F4:H4"/>
    <mergeCell ref="B5:E5"/>
    <mergeCell ref="F5:H5"/>
    <mergeCell ref="B6:F6"/>
    <mergeCell ref="B9:D9"/>
    <mergeCell ref="B80:D80"/>
    <mergeCell ref="B86:D86"/>
    <mergeCell ref="B92:D92"/>
    <mergeCell ref="B128:D128"/>
    <mergeCell ref="B135:D135"/>
    <mergeCell ref="B102:D102"/>
    <mergeCell ref="B105:D105"/>
    <mergeCell ref="B113:D113"/>
    <mergeCell ref="B115:D115"/>
    <mergeCell ref="B120:D120"/>
    <mergeCell ref="B122:D122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7" t="s">
        <v>135</v>
      </c>
      <c r="C55" s="128"/>
      <c r="D55" s="12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27" t="s">
        <v>136</v>
      </c>
      <c r="C58" s="128"/>
      <c r="D58" s="12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27" t="s">
        <v>137</v>
      </c>
      <c r="C63" s="128"/>
      <c r="D63" s="12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27" t="s">
        <v>138</v>
      </c>
      <c r="C69" s="128"/>
      <c r="D69" s="12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27" t="s">
        <v>139</v>
      </c>
      <c r="C73" s="128"/>
      <c r="D73" s="12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38" t="s">
        <v>140</v>
      </c>
      <c r="C76" s="139"/>
      <c r="D76" s="13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27" t="s">
        <v>141</v>
      </c>
      <c r="C82" s="128"/>
      <c r="D82" s="12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36" t="s">
        <v>142</v>
      </c>
      <c r="C84" s="137"/>
      <c r="D84" s="13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27" t="s">
        <v>143</v>
      </c>
      <c r="C89" s="128"/>
      <c r="D89" s="12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38" t="s">
        <v>144</v>
      </c>
      <c r="C91" s="139"/>
      <c r="D91" s="13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27" t="s">
        <v>145</v>
      </c>
      <c r="C96" s="128"/>
      <c r="D96" s="12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27" t="s">
        <v>146</v>
      </c>
      <c r="C98" s="128"/>
      <c r="D98" s="12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7" t="s">
        <v>135</v>
      </c>
      <c r="C55" s="128"/>
      <c r="D55" s="12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27" t="s">
        <v>136</v>
      </c>
      <c r="C60" s="128"/>
      <c r="D60" s="12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27" t="s">
        <v>137</v>
      </c>
      <c r="C65" s="128"/>
      <c r="D65" s="12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27" t="s">
        <v>138</v>
      </c>
      <c r="C71" s="128"/>
      <c r="D71" s="12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27" t="s">
        <v>139</v>
      </c>
      <c r="C75" s="128"/>
      <c r="D75" s="12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38" t="s">
        <v>140</v>
      </c>
      <c r="C78" s="139"/>
      <c r="D78" s="139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27" t="s">
        <v>141</v>
      </c>
      <c r="C84" s="128"/>
      <c r="D84" s="12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36" t="s">
        <v>142</v>
      </c>
      <c r="C86" s="137"/>
      <c r="D86" s="13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27" t="s">
        <v>143</v>
      </c>
      <c r="C91" s="128"/>
      <c r="D91" s="12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38" t="s">
        <v>144</v>
      </c>
      <c r="C93" s="139"/>
      <c r="D93" s="139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27" t="s">
        <v>145</v>
      </c>
      <c r="C99" s="128"/>
      <c r="D99" s="12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27" t="s">
        <v>146</v>
      </c>
      <c r="C102" s="128"/>
      <c r="D102" s="12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7" t="s">
        <v>135</v>
      </c>
      <c r="C55" s="128"/>
      <c r="D55" s="12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7" t="s">
        <v>136</v>
      </c>
      <c r="C60" s="128"/>
      <c r="D60" s="12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27" t="s">
        <v>137</v>
      </c>
      <c r="C65" s="128"/>
      <c r="D65" s="12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27" t="s">
        <v>138</v>
      </c>
      <c r="C71" s="128"/>
      <c r="D71" s="12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27" t="s">
        <v>139</v>
      </c>
      <c r="C75" s="128"/>
      <c r="D75" s="12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38" t="s">
        <v>140</v>
      </c>
      <c r="C78" s="139"/>
      <c r="D78" s="139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27" t="s">
        <v>141</v>
      </c>
      <c r="C84" s="128"/>
      <c r="D84" s="12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36" t="s">
        <v>142</v>
      </c>
      <c r="C86" s="137"/>
      <c r="D86" s="13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27" t="s">
        <v>143</v>
      </c>
      <c r="C91" s="128"/>
      <c r="D91" s="12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38" t="s">
        <v>144</v>
      </c>
      <c r="C93" s="139"/>
      <c r="D93" s="139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27" t="s">
        <v>145</v>
      </c>
      <c r="C99" s="128"/>
      <c r="D99" s="12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27" t="s">
        <v>146</v>
      </c>
      <c r="C102" s="128"/>
      <c r="D102" s="12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27" t="s">
        <v>135</v>
      </c>
      <c r="C55" s="128"/>
      <c r="D55" s="12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27" t="s">
        <v>136</v>
      </c>
      <c r="C60" s="128"/>
      <c r="D60" s="12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27" t="s">
        <v>137</v>
      </c>
      <c r="C66" s="128"/>
      <c r="D66" s="12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27" t="s">
        <v>138</v>
      </c>
      <c r="C72" s="128"/>
      <c r="D72" s="12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27" t="s">
        <v>139</v>
      </c>
      <c r="C76" s="128"/>
      <c r="D76" s="12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38" t="s">
        <v>140</v>
      </c>
      <c r="C79" s="139"/>
      <c r="D79" s="139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27" t="s">
        <v>141</v>
      </c>
      <c r="C85" s="128"/>
      <c r="D85" s="12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36" t="s">
        <v>142</v>
      </c>
      <c r="C87" s="137"/>
      <c r="D87" s="137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27" t="s">
        <v>143</v>
      </c>
      <c r="C92" s="128"/>
      <c r="D92" s="12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38" t="s">
        <v>144</v>
      </c>
      <c r="C94" s="139"/>
      <c r="D94" s="139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27" t="s">
        <v>145</v>
      </c>
      <c r="C100" s="128"/>
      <c r="D100" s="12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27" t="s">
        <v>146</v>
      </c>
      <c r="C104" s="128"/>
      <c r="D104" s="12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27" t="s">
        <v>135</v>
      </c>
      <c r="C56" s="128"/>
      <c r="D56" s="128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27" t="s">
        <v>136</v>
      </c>
      <c r="C61" s="128"/>
      <c r="D61" s="128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27" t="s">
        <v>137</v>
      </c>
      <c r="C67" s="128"/>
      <c r="D67" s="128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27" t="s">
        <v>138</v>
      </c>
      <c r="C73" s="128"/>
      <c r="D73" s="128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27" t="s">
        <v>139</v>
      </c>
      <c r="C77" s="128"/>
      <c r="D77" s="128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38" t="s">
        <v>140</v>
      </c>
      <c r="C80" s="139"/>
      <c r="D80" s="139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27" t="s">
        <v>141</v>
      </c>
      <c r="C86" s="128"/>
      <c r="D86" s="128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36" t="s">
        <v>142</v>
      </c>
      <c r="C88" s="137"/>
      <c r="D88" s="137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27" t="s">
        <v>143</v>
      </c>
      <c r="C93" s="128"/>
      <c r="D93" s="128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38" t="s">
        <v>144</v>
      </c>
      <c r="C95" s="139"/>
      <c r="D95" s="139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27" t="s">
        <v>145</v>
      </c>
      <c r="C101" s="128"/>
      <c r="D101" s="128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27" t="s">
        <v>146</v>
      </c>
      <c r="C105" s="128"/>
      <c r="D105" s="128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29" t="s">
        <v>41</v>
      </c>
      <c r="C2" s="129"/>
      <c r="D2" s="129"/>
      <c r="E2" s="129"/>
      <c r="F2" s="129"/>
      <c r="G2" s="129"/>
      <c r="H2" s="129"/>
    </row>
    <row r="3" spans="2:8" ht="18.75">
      <c r="B3" s="130" t="s">
        <v>4</v>
      </c>
      <c r="C3" s="130"/>
      <c r="D3" s="130"/>
      <c r="E3" s="130"/>
      <c r="F3" s="130"/>
      <c r="G3" s="130"/>
      <c r="H3" s="130"/>
    </row>
    <row r="4" spans="2:8">
      <c r="B4" s="131" t="s">
        <v>54</v>
      </c>
      <c r="C4" s="131"/>
      <c r="D4" s="131"/>
      <c r="E4" s="131"/>
      <c r="F4" s="131" t="s">
        <v>21</v>
      </c>
      <c r="G4" s="131"/>
      <c r="H4" s="131"/>
    </row>
    <row r="5" spans="2:8">
      <c r="B5" s="131" t="s">
        <v>20</v>
      </c>
      <c r="C5" s="131"/>
      <c r="D5" s="131"/>
      <c r="E5" s="131"/>
      <c r="F5" s="131" t="s">
        <v>10</v>
      </c>
      <c r="G5" s="131"/>
      <c r="H5" s="131"/>
    </row>
    <row r="6" spans="2:8" ht="24.75" customHeight="1">
      <c r="B6" s="132" t="s">
        <v>22</v>
      </c>
      <c r="C6" s="133"/>
      <c r="D6" s="133"/>
      <c r="E6" s="133"/>
      <c r="F6" s="133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34" t="s">
        <v>131</v>
      </c>
      <c r="C9" s="135"/>
      <c r="D9" s="135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27" t="s">
        <v>135</v>
      </c>
      <c r="C57" s="128"/>
      <c r="D57" s="128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27" t="s">
        <v>136</v>
      </c>
      <c r="C62" s="128"/>
      <c r="D62" s="128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27" t="s">
        <v>137</v>
      </c>
      <c r="C68" s="128"/>
      <c r="D68" s="128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27" t="s">
        <v>138</v>
      </c>
      <c r="C74" s="128"/>
      <c r="D74" s="128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27" t="s">
        <v>139</v>
      </c>
      <c r="C78" s="128"/>
      <c r="D78" s="128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38" t="s">
        <v>140</v>
      </c>
      <c r="C81" s="139"/>
      <c r="D81" s="139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27" t="s">
        <v>141</v>
      </c>
      <c r="C87" s="128"/>
      <c r="D87" s="128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36" t="s">
        <v>142</v>
      </c>
      <c r="C89" s="137"/>
      <c r="D89" s="137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27" t="s">
        <v>143</v>
      </c>
      <c r="C94" s="128"/>
      <c r="D94" s="128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38" t="s">
        <v>144</v>
      </c>
      <c r="C96" s="139"/>
      <c r="D96" s="139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27" t="s">
        <v>145</v>
      </c>
      <c r="C102" s="128"/>
      <c r="D102" s="128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27" t="s">
        <v>146</v>
      </c>
      <c r="C106" s="128"/>
      <c r="D106" s="128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33</vt:i4>
      </vt:variant>
    </vt:vector>
  </HeadingPairs>
  <TitlesOfParts>
    <vt:vector size="66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03.04.2019...</vt:lpstr>
      <vt:lpstr>04.04.2019...</vt:lpstr>
      <vt:lpstr>08.04.2019..</vt:lpstr>
      <vt:lpstr>11.04.2019..</vt:lpstr>
      <vt:lpstr>15.04.2019</vt:lpstr>
      <vt:lpstr>17.04.2019 </vt:lpstr>
      <vt:lpstr>23.04.2019...</vt:lpstr>
      <vt:lpstr>13.05.2019..</vt:lpstr>
      <vt:lpstr>16.05.2019....</vt:lpstr>
      <vt:lpstr>21.05.2019...</vt:lpstr>
      <vt:lpstr>31.05.2019...</vt:lpstr>
      <vt:lpstr>11.06.2019...</vt:lpstr>
      <vt:lpstr>17.06.2019...</vt:lpstr>
      <vt:lpstr>17.06.2019... (2)</vt:lpstr>
      <vt:lpstr>01.07.2019...</vt:lpstr>
      <vt:lpstr>05.07.2019...</vt:lpstr>
      <vt:lpstr>16.07.2019..</vt:lpstr>
      <vt:lpstr>01.08.02019....</vt:lpstr>
      <vt:lpstr>05.08.2019</vt:lpstr>
      <vt:lpstr>'01.07.2019...'!Print_Area</vt:lpstr>
      <vt:lpstr>'01.08.02019....'!Print_Area</vt:lpstr>
      <vt:lpstr>'03.04.2019...'!Print_Area</vt:lpstr>
      <vt:lpstr>'04.02.2019..'!Print_Area</vt:lpstr>
      <vt:lpstr>'04.04.2019...'!Print_Area</vt:lpstr>
      <vt:lpstr>'05.07.2019...'!Print_Area</vt:lpstr>
      <vt:lpstr>'05.08.2019'!Print_Area</vt:lpstr>
      <vt:lpstr>'05.12.2018...'!Print_Area</vt:lpstr>
      <vt:lpstr>'08.04.2019..'!Print_Area</vt:lpstr>
      <vt:lpstr>'11.01.2019...'!Print_Area</vt:lpstr>
      <vt:lpstr>'11.04.2019..'!Print_Area</vt:lpstr>
      <vt:lpstr>'11.06.2019...'!Print_Area</vt:lpstr>
      <vt:lpstr>'13.05.2019..'!Print_Area</vt:lpstr>
      <vt:lpstr>'14.11.2018...'!Print_Area</vt:lpstr>
      <vt:lpstr>'15.01.2019...'!Print_Area</vt:lpstr>
      <vt:lpstr>'15.02.2019...'!Print_Area</vt:lpstr>
      <vt:lpstr>'15.04.2019'!Print_Area</vt:lpstr>
      <vt:lpstr>'16.05.2019....'!Print_Area</vt:lpstr>
      <vt:lpstr>'16.07.2019..'!Print_Area</vt:lpstr>
      <vt:lpstr>'17.04.2019 '!Print_Area</vt:lpstr>
      <vt:lpstr>'17.06.2019...'!Print_Area</vt:lpstr>
      <vt:lpstr>'17.06.2019... (2)'!Print_Area</vt:lpstr>
      <vt:lpstr>'21.01.2019...'!Print_Area</vt:lpstr>
      <vt:lpstr>'21.05.2019...'!Print_Area</vt:lpstr>
      <vt:lpstr>'22.02.2019..'!Print_Area</vt:lpstr>
      <vt:lpstr>'23.04.2019...'!Print_Area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'31.05.2019...'!Print_Area</vt:lpstr>
      <vt:lpstr>'4.01.2019..'!Print_Area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Maia Zhordania</cp:lastModifiedBy>
  <cp:lastPrinted>2019-08-06T10:24:20Z</cp:lastPrinted>
  <dcterms:created xsi:type="dcterms:W3CDTF">2011-04-12T10:50:13Z</dcterms:created>
  <dcterms:modified xsi:type="dcterms:W3CDTF">2019-08-13T13:21:13Z</dcterms:modified>
</cp:coreProperties>
</file>