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rv2.edocument.ge/MOA/webdav/mmQKAf5VkEigPDn3nhWksmAlITPSPKVNoNxPTR930y3Y5gl8jjwwQ43VIV7vWhonAA2/"/>
    </mc:Choice>
  </mc:AlternateContent>
  <bookViews>
    <workbookView xWindow="2640" yWindow="465" windowWidth="22785" windowHeight="16260" tabRatio="500"/>
  </bookViews>
  <sheets>
    <sheet name="სამოქმედო გეგმა" sheetId="1"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31" i="1" l="1"/>
  <c r="I31" i="1"/>
  <c r="H31" i="1"/>
  <c r="J15" i="1" l="1"/>
  <c r="I15" i="1"/>
  <c r="H15" i="1"/>
  <c r="J44" i="1" l="1"/>
  <c r="I44" i="1"/>
  <c r="H44" i="1"/>
  <c r="J49" i="1"/>
  <c r="I49" i="1"/>
  <c r="H49" i="1"/>
  <c r="J48" i="1"/>
  <c r="I48" i="1"/>
  <c r="H48" i="1"/>
  <c r="J47" i="1"/>
  <c r="I47" i="1"/>
  <c r="H47" i="1"/>
  <c r="H42" i="1"/>
  <c r="H41" i="1"/>
  <c r="H40" i="1"/>
  <c r="J70" i="1" l="1"/>
  <c r="I70" i="1"/>
  <c r="H70" i="1"/>
  <c r="I69" i="1"/>
  <c r="H69" i="1"/>
  <c r="J41" i="1"/>
  <c r="I41" i="1"/>
  <c r="H39" i="1"/>
  <c r="I39" i="1"/>
  <c r="J39" i="1"/>
  <c r="J32" i="1"/>
  <c r="I32" i="1"/>
  <c r="H32" i="1"/>
  <c r="I42" i="1"/>
  <c r="J42" i="1"/>
  <c r="J40" i="1"/>
  <c r="I40" i="1"/>
  <c r="I46" i="1"/>
  <c r="H46" i="1"/>
  <c r="I74" i="1" l="1"/>
  <c r="I75" i="1"/>
  <c r="I76" i="1"/>
  <c r="I77" i="1"/>
  <c r="I78" i="1"/>
  <c r="I79" i="1"/>
  <c r="I80" i="1"/>
  <c r="I81" i="1"/>
  <c r="I82" i="1"/>
  <c r="I83" i="1"/>
  <c r="I84" i="1"/>
  <c r="J74" i="1"/>
  <c r="J75" i="1"/>
  <c r="J76" i="1"/>
  <c r="J77" i="1"/>
  <c r="J78" i="1"/>
  <c r="J79" i="1"/>
  <c r="J80" i="1"/>
  <c r="J81" i="1"/>
  <c r="J82" i="1"/>
  <c r="J83" i="1"/>
  <c r="J84" i="1"/>
  <c r="H74" i="1"/>
  <c r="H75" i="1"/>
  <c r="H76" i="1"/>
  <c r="H77" i="1"/>
  <c r="H78" i="1"/>
  <c r="H79" i="1"/>
  <c r="H80" i="1"/>
  <c r="H81" i="1"/>
  <c r="H82" i="1"/>
  <c r="H83" i="1"/>
  <c r="H84" i="1"/>
  <c r="J33" i="1"/>
  <c r="J34" i="1"/>
  <c r="J37" i="1"/>
  <c r="J38" i="1"/>
  <c r="J43" i="1"/>
  <c r="J45" i="1"/>
  <c r="J46" i="1"/>
  <c r="J50" i="1"/>
  <c r="J51" i="1"/>
  <c r="J52" i="1"/>
  <c r="J53" i="1"/>
  <c r="J54" i="1"/>
  <c r="J55" i="1"/>
  <c r="J56" i="1"/>
  <c r="J57" i="1"/>
  <c r="J58" i="1"/>
  <c r="J59" i="1"/>
  <c r="J60" i="1"/>
  <c r="J61" i="1"/>
  <c r="J62" i="1"/>
  <c r="J63" i="1"/>
  <c r="J64" i="1"/>
  <c r="J67" i="1"/>
  <c r="J68" i="1"/>
  <c r="I33" i="1"/>
  <c r="I34" i="1"/>
  <c r="I37" i="1"/>
  <c r="I38" i="1"/>
  <c r="I43" i="1"/>
  <c r="I45" i="1"/>
  <c r="I50" i="1"/>
  <c r="I51" i="1"/>
  <c r="I52" i="1"/>
  <c r="I53" i="1"/>
  <c r="I54" i="1"/>
  <c r="I55" i="1"/>
  <c r="I56" i="1"/>
  <c r="I57" i="1"/>
  <c r="I58" i="1"/>
  <c r="I59" i="1"/>
  <c r="I60" i="1"/>
  <c r="I61" i="1"/>
  <c r="I62" i="1"/>
  <c r="I63" i="1"/>
  <c r="I64" i="1"/>
  <c r="I65" i="1"/>
  <c r="I66" i="1"/>
  <c r="I67" i="1"/>
  <c r="I68" i="1"/>
  <c r="H33" i="1"/>
  <c r="H34" i="1"/>
  <c r="H37" i="1"/>
  <c r="H38" i="1"/>
  <c r="H43" i="1"/>
  <c r="H45" i="1"/>
  <c r="H50" i="1"/>
  <c r="H51" i="1"/>
  <c r="H52" i="1"/>
  <c r="H53" i="1"/>
  <c r="H54" i="1"/>
  <c r="H55" i="1"/>
  <c r="H56" i="1"/>
  <c r="H57" i="1"/>
  <c r="H58" i="1"/>
  <c r="H59" i="1"/>
  <c r="H60" i="1"/>
  <c r="H61" i="1"/>
  <c r="H62" i="1"/>
  <c r="H63" i="1"/>
  <c r="H64" i="1"/>
  <c r="H65" i="1"/>
  <c r="H66" i="1"/>
  <c r="H67" i="1"/>
  <c r="H68" i="1"/>
  <c r="H21" i="1"/>
  <c r="H22" i="1"/>
  <c r="H23" i="1"/>
  <c r="I21" i="1"/>
  <c r="I22" i="1"/>
  <c r="I23" i="1"/>
  <c r="J21" i="1"/>
  <c r="J22" i="1"/>
  <c r="J23" i="1"/>
  <c r="I72" i="1" l="1"/>
  <c r="J72" i="1"/>
  <c r="I24" i="1"/>
  <c r="J24" i="1"/>
  <c r="J86" i="1"/>
  <c r="H86" i="1"/>
  <c r="H24" i="1"/>
  <c r="H72" i="1"/>
  <c r="I86" i="1"/>
  <c r="J87" i="1" l="1"/>
  <c r="H87" i="1"/>
  <c r="I87" i="1"/>
  <c r="L86" i="1"/>
  <c r="L24" i="1"/>
  <c r="L72" i="1"/>
  <c r="L87" i="1" l="1"/>
</calcChain>
</file>

<file path=xl/sharedStrings.xml><?xml version="1.0" encoding="utf-8"?>
<sst xmlns="http://schemas.openxmlformats.org/spreadsheetml/2006/main" count="350" uniqueCount="228">
  <si>
    <t>აქტივობა</t>
  </si>
  <si>
    <t>შესრულების ინდიკატორი</t>
  </si>
  <si>
    <t>პასუხისმგებელი უწყება</t>
  </si>
  <si>
    <t>პარტნიორი ორგანიზაცია</t>
  </si>
  <si>
    <t>დაფინანსების წყარო</t>
  </si>
  <si>
    <t>სახელმწიფო ბიუჯეტი</t>
  </si>
  <si>
    <t>საქართველოს განათლებისა და მეცნიერების სამინისტრო</t>
  </si>
  <si>
    <t>საქართველოს შრომის, ჯანმრთელობისა და სოციალური დაცვის სამინისტრო</t>
  </si>
  <si>
    <t>საქართველოს სოფლის მეურნეობის სამინისტრო</t>
  </si>
  <si>
    <t>სახელმწიფო ბიუჯეტი; დონორი ორგანიზაციები</t>
  </si>
  <si>
    <t>მსოფლიო ბანკი</t>
  </si>
  <si>
    <t>TOTAL</t>
  </si>
  <si>
    <t>სახელმწიფო ბიუჯეტი; 
დონორი ორგანიზაციები</t>
  </si>
  <si>
    <t>პრიორიტეტული ღონისძიება</t>
  </si>
  <si>
    <t>კომენტარი</t>
  </si>
  <si>
    <t>ვინაიდან,  სსიპ "აწარმოე საქართველოში" -სააგენტოს სოფლის განვითარებასთან დაკავშირებული პროგრამების ბიუჯეტები არ არის გამიჯნული რეგიონებად და ქალაქებად, საპროგნოზო ბიუჯეტები და ბენეფიციართა რაოდენობა დათვლილია 2016 წლის სტატისტიკურ მონაცემებზე დაყრდნობით რეგიონებსა და ქალაქებში განხორციელებული პროექტების წილობრივი თანაფარდობის საფუძველზე. აღნიშნული საპროგნოზო ბიუჯეტების გაანგარიშების მიზნებისთვის სოფელად მიჩნეულია ყველა დასახლებული პუნქტი   5 თვითმმართველი ქალაქის გარდა.  ასევე, შესაძლოა საჭირო გახდეს  სოფლის განვითარებასთან დაკავშირებული პროგრამების დაკორექტირება, რადგან 2018 წელს სახელმწიფო ბიუჯეტიდან შესაძლებელია დამატებით  გამოიყოს სახსრები მიკრო და მცირე მეწარმეობის განვითარებისთვის.</t>
  </si>
  <si>
    <t>ცდომილება მაქსიმუმ შეიძლება იყოს  15% -იანი ალბათობით. რაც შეეხება  ქალაქებსა და სოფლებზე გადანაწილებას ვერანაირად ვერ დაიყოფა ვინაიდან არც ერთი პროექტი არაა განსაზვრული ინდივიდუალური ადგილისთვის.  მაგ: სამთო-საფეხმავლო ბილიკები მოიცავს არაერთ სოფლის მთას და მათ შორის შეიძლება იყოს ქალაქის მიმდებარე ტერიტორიებიც.  ასევე პროექტი ,, ღვინის გზა ''- ობიექტები მთელი ქვეყნის მასშტაბითაა და მათ შორის, შეიძლება იყოს გარკვეული მარნები ქალაქის ტერიტორიაზეც. ვერ გამოიყოფა მათ შორის, რამდენი იქნება მომავალში ისეთი საწარმო, რომელიც ქალაქს იქნება მიკუთვნებული. ძირითადად ამ ტიპის ობიექტები სოფლად გვხვდება.</t>
  </si>
  <si>
    <t>სახელმწიფო ბიუჯეტი
IBRD</t>
  </si>
  <si>
    <t>მოსალოდნელი შედეგების შეფასების ინდიკატორების მხრივ ცდომილების ალბათობა განისაზღვრება 10 %-ით (სათანადო ინფრასტრუქტურის არ არსებობა)</t>
  </si>
  <si>
    <t>მოსალოდნელი შედეგების შეფასების ინდიკატორების მხრივ ცდომილების ალბათობა განისაზღვრება 5 %-ით (ტექნიკური ხასიათის რისკები)</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</si>
  <si>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ჯგუფის დაბალი აქტივობა)</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</si>
  <si>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ჯგუფების დაბალი აქტივობა )</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</si>
  <si>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ჯგუფის დაბალი აქტივობა)</t>
  </si>
  <si>
    <t>საქართველოს ენერგეტიკის სამინისტრო</t>
  </si>
  <si>
    <t>საქართველოს სპორტის და ახალგაზრდობის საქმეთა სამინისტრო</t>
  </si>
  <si>
    <t>საქართველოს რეგიონული განვითარების და ინფრასტრუქტურის სამინისტრო</t>
  </si>
  <si>
    <t>მითითებული შესრულების ინდიკატორები 2019-2020 წლებისთვის, შესაძლოა შეიცვალოს 2018 წლის შესრულების დინამიკის გათვალისწინებით.</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</si>
  <si>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</si>
  <si>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საქართველოს კულტურისა და ძეგლთა დაცვის სამინისტრო</t>
  </si>
  <si>
    <t>შესაბამისი მუნიციპალიტეტები</t>
  </si>
  <si>
    <t>2.2.17 სოფლად მრავალბინიანი კორპუსების მშენებლობა/ რეაბილიტაცია</t>
  </si>
  <si>
    <t>სსიპ „იუსტიციის სახლის“ საკუთარი შემოსავლები/ სახელმწიფო ბიუჯეტი</t>
  </si>
  <si>
    <t>სსიპ-ნოტარიუსთა პალატის საკუთარი შემოსავლები</t>
  </si>
  <si>
    <t xml:space="preserve">სახელმწიფო ბიუჯეტი </t>
  </si>
  <si>
    <t>3.1.1 დაცული ტერიტორიების სისტემის ჩამოყალიბება და მართვა -  დაცული ტერიტორიების დაცვა და რესურსების მართვა</t>
  </si>
  <si>
    <t>3.1.2 დაცული ტერიტორიების სისტემის ჩამოყალიბება და მართვა  - ეკოტურიზმის განვითარება და საზოგადოებასთან ეფექტური კომუნიკაცია</t>
  </si>
  <si>
    <t>3.1.3 ტყის რესურსებით მდგრადი სარგებლობა</t>
  </si>
  <si>
    <t>3.1.4 ტყის მოვლა და აღდგენა</t>
  </si>
  <si>
    <t>3.1.5 ტყის აღრიცხვა და ინვენტარიზაცია</t>
  </si>
  <si>
    <t>3.1.6 ყოველწლიური გეოლოგიური მონიტორინგის განხორციელება</t>
  </si>
  <si>
    <t>3.1.7 გეოლოგიური აგეგმვითი სამუშაოების ჩატარება</t>
  </si>
  <si>
    <t>3.1.8 მიწისქვეშა წყლების მონიტორინგის განხორციელება</t>
  </si>
  <si>
    <t>3.1.9 გარემოს დაბინძურების მონიტორინგი</t>
  </si>
  <si>
    <t>3.2.1 მყარი ნარჩენების მართვა</t>
  </si>
  <si>
    <t>3.3.1 ჰიდრომეტეოროლოგიური დაკვირვების წარმოება და დაკვირვების ქსელის გაფართოება.</t>
  </si>
  <si>
    <t>სულ ბიუჯეტი</t>
  </si>
  <si>
    <t>სულ 2018-2020</t>
  </si>
  <si>
    <t xml:space="preserve"> სულ ბიუჯეტი პრიორ. 1</t>
  </si>
  <si>
    <t xml:space="preserve"> სულ ბიუჯეტი პრიორ. 2</t>
  </si>
  <si>
    <t xml:space="preserve"> სულ ბიუჯეტი პრიორ. 3</t>
  </si>
  <si>
    <t>საპროგნოზო ბიუჯეტი (000" ლარი)</t>
  </si>
  <si>
    <t>ამოცანა 2.1</t>
  </si>
  <si>
    <t>1.1.1 შეღავათიანი აგროკრედიტი</t>
  </si>
  <si>
    <t>1.1.2 აგროკრედიტი</t>
  </si>
  <si>
    <t xml:space="preserve">1.1.3 დანერგე მომავალი </t>
  </si>
  <si>
    <t xml:space="preserve">1.1.5 მეფუტკრეობის სასოფლო-სამეურნეო კოოპერატივების მხარდაჭერა </t>
  </si>
  <si>
    <t>1.1.6 კოოპერატივებში საერთაშორისო სტანდარტების დანერგვა და წარმოებული პროდუქციის  პოპულარიზაცია</t>
  </si>
  <si>
    <t>1.1.7 სასოფლო-სამეურნეო კოოპერატივების ინფრასტრუქტურის განვითარება</t>
  </si>
  <si>
    <t xml:space="preserve">1.1.11 სამელიორაციო სისტემების რეაბილიტაცია </t>
  </si>
  <si>
    <t xml:space="preserve">1.1.12 ირიგაციისა და დრენაჟის სისტემების გაუმჯობესება </t>
  </si>
  <si>
    <t>3.3.2 აგროდაზღვევის უზრუნველყოფის ღონისძიებები</t>
  </si>
  <si>
    <t xml:space="preserve">2.2.19 ეკომიგრანტთა მიგრაციის მართვა </t>
  </si>
  <si>
    <t xml:space="preserve">2.2.18 იძულებით გადაადგილებულ პირთა განსახლებისა, სოციალური და საცხოვრებელი პირობების შექმნა </t>
  </si>
  <si>
    <t>2.2.20 სოფლის ექიმი</t>
  </si>
  <si>
    <t>1.3.5 კულტურული მემკვიდრეობის დაცვა და სამუზეუმო სისტემის სრულყოფა</t>
  </si>
  <si>
    <t>სოციალური პირობები და ცხოვრების დონე</t>
  </si>
  <si>
    <t>საქართველოს სოფლის მეურნეობის სამინისტრო/ა(ა)იპ სოფლის მეურნეობის პროექტების მართვის სააგენტო;</t>
  </si>
  <si>
    <t>საქართველოს სოფლის მეურნეობის სამინისტრო/სსიპ სასოფლო-სამეურნეო კოოპერატივების განვითარების სააგენტო</t>
  </si>
  <si>
    <t>საქართველოს სოფლის მეურნეობის სამინისტრო/შპს „საქართველოს მელიორაცია“</t>
  </si>
  <si>
    <t>საქართველოს ეკონომიკისა და მდგრადი განვითარების სამინისტრო/სსიპ აწარმოე საქართველოში</t>
  </si>
  <si>
    <t>საქართველოს ეკონომიკისა და მდგრადი განვითარების სამინისტრო/სსიპ საქართველოს ტურიზმის ეროვნული ადმინისტრაცია</t>
  </si>
  <si>
    <t>საქართველოს კულტურისა და ძეგლთა დაცვის სამინისტრო/კულტურული 
მემკვიდრეობის
დაცვის სააგენტო</t>
  </si>
  <si>
    <t>საქართველოს ეკონომიკისა და მდგრადი განვითარების სამინისტრო/სსიპ-საქართველოს ინოვაციებისა და ტექნოლოგიების სააგენტო</t>
  </si>
  <si>
    <t>საქართველოს შრომის, ჯანმრთელობისა და სოციალური დაცვის სამინისტრო/სსიპ სოციალური მომსახურების სააგენტო</t>
  </si>
  <si>
    <t xml:space="preserve">შესაბამისი მუნიციპალიტეტები; </t>
  </si>
  <si>
    <t>საქართველოს რეგიონული განვითარების და ინფრასტრუქტურის სამინისტრო/საქართველოს მუნიციპალური განვითარების ფონდი</t>
  </si>
  <si>
    <t>საქართველოს რეგიონული განვითარების და ინფრასტრუქტურის სამინისტრო/საქართველოს მუნიციპალური განვითარების ფონდი/ საქართველოს გაერთიანებული წყალმომარაგების კომპანია</t>
  </si>
  <si>
    <t>საქართველოს იუსტიციის სამინისტრო/სსიპ  „სახელმწიფო სერვისების განვითარების სააგენტო“</t>
  </si>
  <si>
    <t>საქართველოს იუსტიციის სამინისტრო/სსიპ „იუსტიციის სახლი“</t>
  </si>
  <si>
    <t>საქართველოს იუსტიციის სამინისტრო/სსიპ  „საქართველოს ნოტარიუსთა პალატა“</t>
  </si>
  <si>
    <t>საქართველოს გარემოსა და ბუნებრივი რესურსების დაცვის სამინისტრო/სსიპ დაცული ტერიტორიების სააგენტო</t>
  </si>
  <si>
    <t>საქართველოს გარემოსა და ბუნებრივი რესურსების დაცვის სამინისტრო/სსიპ ეროვნული სატყეო სააგენტო</t>
  </si>
  <si>
    <t>საქართველოს გარემოსა და ბუნებრივი რესურსების დაცვის სამინისტრო/სსიპ გარემოს ეროვნული სააგენტო</t>
  </si>
  <si>
    <t>საქართველოს რეგიონული განვითარების და ინფრასტრუქტურის სამინისტრო/საქართველოს მყარი ნარჩენების მართვის კომპანია</t>
  </si>
  <si>
    <t>საქართველოს იუსტიციის სამინისტრო/სსიპ „საქართველოს ეროვნული არქივი“/სსიპ „საჯარო რეესტრის ეროვნული სააგენტო“</t>
  </si>
  <si>
    <t>სსი „საქართველოს ეროვნული არქივის“ საკუთარი შემოსავლები
სსიპ „საჯარო რეესტრის ეროვნული სააგენტოს“ საკუთარი შემოსავლები (სამცხე-ჯავახეთის არქივი)</t>
  </si>
  <si>
    <t xml:space="preserve">დონორი
</t>
  </si>
  <si>
    <t>ევროპის საინვესტიციო ბანკი</t>
  </si>
  <si>
    <t xml:space="preserve">1.1.9 მაღალმთიანი რეგიონებში სახელმწიფო საკუთრებაში არსებული სათიბ-საძოვრების რაციონალურად გამოყენება </t>
  </si>
  <si>
    <t xml:space="preserve">1.2.1 მეწარმეობის განვითარება </t>
  </si>
  <si>
    <t>1.3.1 ტურიზმის განვითარება</t>
  </si>
  <si>
    <t>1.3.2 ტურიზმის განვითარება და ხელშეწყობა</t>
  </si>
  <si>
    <t>1.1.4 შემნახველი და გადამამუშავებელი საწარმოების თანადაფინანსება</t>
  </si>
  <si>
    <t xml:space="preserve">1.1.8 კოოპერატივების მეპაიეთა კვალიფიკაციის ამაღლება და ტრეინინგი </t>
  </si>
  <si>
    <t>1.1.10 სოფლის მეურნეობის მოდერნიზაციის, ბაზარზე წვდომა და მდგრადობა</t>
  </si>
  <si>
    <t xml:space="preserve">1.1.13 ქართული ჩაის წარმოების ხელშეწყობა </t>
  </si>
  <si>
    <t>1.3.3 რეგიონებში კულტურის მხარდაჭერა</t>
  </si>
  <si>
    <t>1.3.4  კულტურული მემკვიდრეობის დაცვა</t>
  </si>
  <si>
    <t>ვინაიდან,  სსიპ "აწარმოე საქართველოში" -სააგენტოს სოფლის განვითარებასთან დაკავშირებული პროგრამების ბიუჯეტები არ არის გამიჯნული რეგიონებად და ქალაქებად, საპროგნოზო ბიუჯეტები და ბენეფიციართა რაოდენობა დათვლილია 2016 წლის სტატისტიკურ მონაცემებზე დაყრდნობით რეგიონებსა და ქალაქებში განხორციელებული პროექტების წილობრივი თანაფარდობის საფუძველზე. აღნიშნული საპროგნოზო ბიუჯეტების გაანგარიშების მიზნებისთვის სოფლად მიჩნეულია ყველა დასახლებული პუნქტი   5 თვითმმართველი ქალაქის გარდა.  ასევე, შესაძლოა საჭირო გახდეს  სოფლის განვითარებასთან დაკავშირებული პროგრამების დაკორექტირება, რადგან 2018 წელს სახელმწიფო ბიუჯეტიდან შესაძლებელია დამატებით  გამოიყოს სახსრები მიკრო და მცირე მეწარმეობის განვითარებისთვის.</t>
  </si>
  <si>
    <t>შენიშვნა:2018 წლისთვის საბაზისო მაჩვენებელი იქნება 2016 წელი - 8030 პროფესიული სტუდენტი, ვინაიდან 2017 წლის სრული მონაცემი ხელმისაწვდომი იქნება მიმდინარე წლის ნოემბრის ბოლოს</t>
  </si>
  <si>
    <t xml:space="preserve">2.2.21 სახელმწიფო, მუნიციპალური და კერძო სექტორის სერვისებზე ხელმისაწვდომობის  გაზრდა მუნიციპალურ დონეზე </t>
  </si>
  <si>
    <t>ევროკავშირი</t>
  </si>
  <si>
    <t xml:space="preserve">დონორი </t>
  </si>
  <si>
    <t xml:space="preserve">სახელმწიფო ბიუჯეტი; 
დონორი </t>
  </si>
  <si>
    <t>2.2.22 ქვეყნის სხვადასხვა მუნიციპალიტეტში იუსტიციის სახლების მშენებლობა და აღჭურვა</t>
  </si>
  <si>
    <t xml:space="preserve">2.2.23 სანოტარო  მომსახურებათა ხელმისაწვდომობის უზრუნველყოფა იმ დასახლებებში (მათ შორის, მაღალმთიან დასახლებებში),  სადაც სანოტარო მომსახურება არ იყო ხელმისაწვდომი </t>
  </si>
  <si>
    <t>2.2.24  რეგიონული არქივის შენობის კაპიტალური შეკეთება, მშენებლობა და აღჭურვა</t>
  </si>
  <si>
    <t xml:space="preserve">საქართველოს სოფლის მეურნეობის სამინისტრო/ა(ა)იპ სოფლის მეურნეობის პროექტების მართვის სააგენტო; </t>
  </si>
  <si>
    <t>2.2.25 დემოგრაფიული მდგომარეობის გაუმჯობესების ხელშეწყობა</t>
  </si>
  <si>
    <t xml:space="preserve">* 2018-2020 წლებში რეგიონებში  სახელმწიფო პოგრამის "აწარმოე საქართველოში"  სასტუმრო ინდუსტრიის მიმართულების ფარგლებში   ყოველწლიურად მხარი დაეჭირება დაახლოებით 10 ახალ ან/და არსებული სასტუმროს გაფართოების პროექტს.
</t>
  </si>
  <si>
    <r>
      <rPr>
        <b/>
        <sz val="11"/>
        <color theme="1"/>
        <rFont val="SylfaenARM"/>
      </rPr>
      <t xml:space="preserve">* 2018 წელს: </t>
    </r>
    <r>
      <rPr>
        <sz val="11"/>
        <color theme="1"/>
        <rFont val="SylfaenARM"/>
      </rPr>
      <t xml:space="preserve">სამ დაცულ ტერიტორიაზე  განვითარდება დაცვის ინფრასტრუქტურა  (ხერგილები); ერთი დაცული ტერიტორია უზრუნველყოფილი იქნება  სადემარკაციო საინფორმაციო ნიშნულებით; ორი  დაცული ტერიტორიის ადმინისტრაცია აღიჭურვება საველე ხანძარსაწინააღმდეგო აღჭურვილობით; ერთ დაცულ ტერიტორიაზე დაიწყება და დასრულდება ტყის ინვენტარიზაცია (დაახლოებით 20 000 ჰა).
</t>
    </r>
    <r>
      <rPr>
        <b/>
        <sz val="11"/>
        <color theme="1"/>
        <rFont val="SylfaenARM"/>
      </rPr>
      <t xml:space="preserve">* 2019 წელს: </t>
    </r>
    <r>
      <rPr>
        <sz val="11"/>
        <color theme="1"/>
        <rFont val="SylfaenARM"/>
      </rPr>
      <t xml:space="preserve">დამატებით სამ დაცულ ტერიტორიაზე  გაუმჯობესდება დაცვის ინფრასტრუქტურა (ხერგილები); დამატებით  ორი დაცული ტერიტორიის  საზღვრები უზრუნველყოფილი იქნება  სადემარკაციო საინფორმაციო ნიშნულებით; დამატებით ორი  დაცული ტერიტორიის ადმინისტრაცია აღიჭურვება საველე ხანძარსაწინააღმდეგო აღჭურვილობით; ერთ დაცულ ტერიტორიაზე დაიწყება ტყის ინვენტარიზაცია (დაახლობით 50 000 ჰა) 
</t>
    </r>
    <r>
      <rPr>
        <b/>
        <sz val="11"/>
        <color theme="1"/>
        <rFont val="SylfaenARM"/>
      </rPr>
      <t xml:space="preserve">* 2020 წელს: </t>
    </r>
    <r>
      <rPr>
        <sz val="11"/>
        <color theme="1"/>
        <rFont val="SylfaenARM"/>
      </rPr>
      <t xml:space="preserve">დამატებით სამ  დაცულ ტერიტორიაზე  გაუმჯობესდება დაცვის ინფრასტრუქტურა (ხერგილები); დამატებით ოცდაათი დაცული ტერიტორიის (ბუნების ძეგლები)  საზღვრები უზრუნველყოფილი იქნება  სადემარკაციო საინფორმაციო ნიშნულებით; დამატებით ორი  დაცული ტერიტორიის ადმინისტრაცია აღიჭურვება საველე ხანძარსაწინააღმდეგო აღჭურვილობით; ერთ დაცულ ტერიტორიაზე დასრულდება ტყის ინვენტარიზაცია (დაახლოებით 50 000 ჰა- იან ფართობზე)  </t>
    </r>
  </si>
  <si>
    <r>
      <t xml:space="preserve">* </t>
    </r>
    <r>
      <rPr>
        <b/>
        <sz val="11"/>
        <color theme="1"/>
        <rFont val="SylfaenARM"/>
      </rPr>
      <t>ყოველწლიურად</t>
    </r>
    <r>
      <rPr>
        <sz val="11"/>
        <color theme="1"/>
        <rFont val="SylfaenARM"/>
      </rPr>
      <t xml:space="preserve"> დამატებით 3 დაცულ ტერიტორიაზე მოეწყობა ეკოტურისტული და ეკოსაგანმანათლებლო მნიშვნელობის საინფორმაციო ინფრასტრუქტურა</t>
    </r>
  </si>
  <si>
    <r>
      <rPr>
        <b/>
        <sz val="11"/>
        <rFont val="SylfaenARM"/>
      </rPr>
      <t xml:space="preserve">* 2018 წელს: </t>
    </r>
    <r>
      <rPr>
        <sz val="11"/>
        <rFont val="SylfaenARM"/>
      </rPr>
      <t xml:space="preserve">გამოყოფილ ტყეკაფებში არსებულ რესურსზე ხელმისაწვდომობის გაზრდის მიზნით, დამატებით მოწყობილი/რეაბილიტირებული იქნება სატყეო-სამეურნეო გზები სიგრძით 65-დან 90 კილომეტრამდე;  სოციალური მიზნებით გაიცემა 450 000 კბმ-დან 550 000 კბმ-მდე მერქნული რესურსი (დაახლოებით 75 000 დან 80000-მდე ბენეფიციარი); კომერციული მიზნით დამზადდება და რეალიზებული იქნება 40'000 კბმ მერქნული რესურსი.
</t>
    </r>
    <r>
      <rPr>
        <b/>
        <sz val="11"/>
        <rFont val="SylfaenARM"/>
      </rPr>
      <t>* 2019 წელს:</t>
    </r>
    <r>
      <rPr>
        <sz val="11"/>
        <rFont val="SylfaenARM"/>
      </rPr>
      <t xml:space="preserve"> დამატებით მოწყობილი/რეაბილიტირებული იქნება სატყეო-სამეურნეო გზები სავარაუდო სიგრძით 125 კილომეტრამდე; სოციალური მიზნებით გაიცემა 450 000 კბმ-დან 550 000 კბმ-მდე მერქნული რესურსი (დაახლოებით 75 000 დან 80000-მდე ბენეფიციარი); კომერციული მიზნით დამზადდება და რეალიზებული იქნება 20'000 კბმ მერქნული რესურსი.
</t>
    </r>
    <r>
      <rPr>
        <b/>
        <sz val="11"/>
        <rFont val="SylfaenARM"/>
      </rPr>
      <t xml:space="preserve">* 2020 წელს: </t>
    </r>
    <r>
      <rPr>
        <sz val="11"/>
        <rFont val="SylfaenARM"/>
      </rPr>
      <t xml:space="preserve"> დამატებით მოწყობილი/რეაბილიტირებული იქნება სატყეო-სამეურნეო გზები სავარაუდო სიგრძით 125 კილომეტრამდე; სოციალური მიზნებით გაიცემა 450 000 კბმ-დან 550 000 კბმ-მდე მერქნული რესურსი (დაახლოებით 75 000 დან 80000-მდე ბენეფიციარი); კომერციული მიზნით დამზადებული და რეალიზებული იქნება 25 000 კბმ მერქნული რესურსი</t>
    </r>
  </si>
  <si>
    <r>
      <rPr>
        <b/>
        <sz val="11"/>
        <color theme="1"/>
        <rFont val="SylfaenARM"/>
      </rPr>
      <t>* 2018 წელს:</t>
    </r>
    <r>
      <rPr>
        <sz val="11"/>
        <color theme="1"/>
        <rFont val="SylfaenARM"/>
      </rPr>
      <t xml:space="preserve"> დამატებით 70-90 ჰა-ზე გაშენდება ტყის მასივი;  2017 წელთან შედარებით შესაბამის ფართობებზე 10%-ით შემცირდება მავნებელ დაავადებათა პროგრესირების  მაჩვენებელი და 5%-ით გაუმჯობესდება ტყეების სანიტარული მდგომარეობა.
</t>
    </r>
    <r>
      <rPr>
        <b/>
        <sz val="11"/>
        <color theme="1"/>
        <rFont val="SylfaenARM"/>
      </rPr>
      <t>* 2019 წელს:</t>
    </r>
    <r>
      <rPr>
        <sz val="11"/>
        <color theme="1"/>
        <rFont val="SylfaenARM"/>
      </rPr>
      <t xml:space="preserve"> დამატებით 90 ჰა-ზე გაშენდება ტყის მასივი; 2018 წელთან შედარებით 10%-ით შემცირდება შესაბამის ფართობებზე მავნებელ დაავადებათა პროგრესირების მაჩვენებელი და 5%-ით გაუმჯობესდება ტყეების სანიტარული მდგომარეობა.
</t>
    </r>
    <r>
      <rPr>
        <b/>
        <sz val="11"/>
        <color theme="1"/>
        <rFont val="SylfaenARM"/>
      </rPr>
      <t xml:space="preserve">* 2020 წელს: </t>
    </r>
    <r>
      <rPr>
        <sz val="11"/>
        <color theme="1"/>
        <rFont val="SylfaenARM"/>
      </rPr>
      <t>დამატებით 90 ჰა-ზე გაშენდება ტყის მასივი; 2019 წელთან შედარებით შესაბამის ფართობებზე 10%-ით შემცირდება მავნებელ დაავადებათა პროგრესირების მაჩვენებელი და 5%-ით გაუმჯობესდება ტყეების სანიტარული მდგომარეობა</t>
    </r>
    <r>
      <rPr>
        <b/>
        <sz val="11"/>
        <color theme="1"/>
        <rFont val="SylfaenARM"/>
      </rPr>
      <t xml:space="preserve">
</t>
    </r>
  </si>
  <si>
    <r>
      <rPr>
        <b/>
        <sz val="11"/>
        <color theme="1"/>
        <rFont val="SylfaenARM"/>
      </rPr>
      <t xml:space="preserve">* 2018 წელს: </t>
    </r>
    <r>
      <rPr>
        <sz val="11"/>
        <color theme="1"/>
        <rFont val="SylfaenARM"/>
      </rPr>
      <t xml:space="preserve">დამატებით შედგება ტყის მართვის გეგმები 2 სატყეო უბნისათვის (ლენტეხი, ცაგერი) და დასრულდება ტყის მართვის გეგმა ჩოხატაურის სატყეო უბნისათვის - საერთო ფართობით 165.1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21.5%-ს.
</t>
    </r>
    <r>
      <rPr>
        <b/>
        <sz val="11"/>
        <color theme="1"/>
        <rFont val="SylfaenARM"/>
      </rPr>
      <t xml:space="preserve">* 2019 წელს: </t>
    </r>
    <r>
      <rPr>
        <sz val="11"/>
        <color theme="1"/>
        <rFont val="SylfaenARM"/>
      </rPr>
      <t xml:space="preserve">დამატებით შედგება ტყის მართვის გეგმები 2 სატყეო უბნისათვის (ონი, ამბროლაური) - საერთო ფართობით 154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30.8%-ს;
</t>
    </r>
    <r>
      <rPr>
        <b/>
        <sz val="11"/>
        <color theme="1"/>
        <rFont val="SylfaenARM"/>
      </rPr>
      <t xml:space="preserve">* 2020 წელს: </t>
    </r>
    <r>
      <rPr>
        <sz val="11"/>
        <color theme="1"/>
        <rFont val="SylfaenARM"/>
      </rPr>
      <t>დამატებით შედგება ტყის მართვის გეგმები 2 სატყეო უბნისათვის (მესტია, ხაიში) - საერთო ფართობით 129.6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38.6 %-ს</t>
    </r>
  </si>
  <si>
    <r>
      <rPr>
        <b/>
        <sz val="11"/>
        <rFont val="SylfaenARM"/>
      </rPr>
      <t xml:space="preserve">* 2018 წელს </t>
    </r>
    <r>
      <rPr>
        <sz val="11"/>
        <rFont val="SylfaenARM"/>
      </rPr>
      <t>დასრულდება ჯვარი-ყაზბეგის გეოლოგიური ფურცლის აგეგმვა;
*</t>
    </r>
    <r>
      <rPr>
        <b/>
        <sz val="11"/>
        <rFont val="SylfaenARM"/>
      </rPr>
      <t xml:space="preserve"> 2019 წელს</t>
    </r>
    <r>
      <rPr>
        <sz val="11"/>
        <rFont val="SylfaenARM"/>
      </rPr>
      <t xml:space="preserve"> დაიწყება რუსთავის გეოლოგიური ფურცლის აგეგმვა;
*</t>
    </r>
    <r>
      <rPr>
        <b/>
        <sz val="11"/>
        <rFont val="SylfaenARM"/>
      </rPr>
      <t xml:space="preserve"> 2020 წელს </t>
    </r>
    <r>
      <rPr>
        <sz val="11"/>
        <rFont val="SylfaenARM"/>
      </rPr>
      <t>ა) დასრულდება რუსთავის გეოლოგიური ფურცლის აგეგმვა;
ბ) დაიწყება ახმეტა-ლაგოდეხის გეოლოგიური ფურცლის აგეგმვა</t>
    </r>
  </si>
  <si>
    <r>
      <t xml:space="preserve">* </t>
    </r>
    <r>
      <rPr>
        <b/>
        <sz val="11"/>
        <color rgb="FF000000"/>
        <rFont val="SylfaenARM"/>
      </rPr>
      <t>ყოველწლიურად,</t>
    </r>
    <r>
      <rPr>
        <sz val="11"/>
        <color rgb="FF000000"/>
        <rFont val="SylfaenARM"/>
      </rPr>
      <t xml:space="preserve"> წინა წელთან შედარებით 5 ერთეულით გაიზრდება მიწისქვეშა წყლების მონიტორინგული სადამკვირვებლო წყალპუნქტების რაოდენობა</t>
    </r>
  </si>
  <si>
    <r>
      <rPr>
        <b/>
        <sz val="11"/>
        <color theme="1"/>
        <rFont val="SylfaenARM"/>
      </rPr>
      <t xml:space="preserve">* 2018 წელს </t>
    </r>
    <r>
      <rPr>
        <sz val="11"/>
        <color theme="1"/>
        <rFont val="SylfaenARM"/>
      </rPr>
      <t xml:space="preserve">ზედაპირული წყლების (მდინარეებისა და ტბების) მონიტორინგის წერტილების რაოდენობა გაიზრდება 158 წერტილიდან 166 წერტილამდე; 45-დან 50-მდე გაიზრდება დასახლებული პუნქტების რაოდენობა, სადაც ჩატარდება ნიადაგის დაბინძურების მონიტორინგი.
</t>
    </r>
    <r>
      <rPr>
        <b/>
        <sz val="11"/>
        <color theme="1"/>
        <rFont val="SylfaenARM"/>
      </rPr>
      <t xml:space="preserve">* 2019 წელს </t>
    </r>
    <r>
      <rPr>
        <sz val="11"/>
        <color theme="1"/>
        <rFont val="SylfaenARM"/>
      </rPr>
      <t xml:space="preserve">ზედაპირული წყლების (მდინარეებისა და ტბების) მონიტორინგის წერტილების რაოდენობა გაიზრდება 166 წერტილიდან 171 წერტილამდე; 50-დან 53-მდე გაიზრდება დასახლებული პუნქტების რაოდენობა, სადაც ჩატარდება ნიადაგის დაბინძურების მონიტორინგი.
</t>
    </r>
    <r>
      <rPr>
        <b/>
        <sz val="11"/>
        <color theme="1"/>
        <rFont val="SylfaenARM"/>
      </rPr>
      <t xml:space="preserve">* 2020 წელს </t>
    </r>
    <r>
      <rPr>
        <sz val="11"/>
        <color theme="1"/>
        <rFont val="SylfaenARM"/>
      </rPr>
      <t xml:space="preserve">ზედაპირული წყლების (მდინარეებისა და ტბების) მონიტორინგის წერტილების რაოდენობა გაიზრდება 171 წერტილიდან 176 წერტილამდე; 53-დან 55-მდე გაიზრდება დასახლებული პუნქტების რაოდენობა, სადაც ჩატარდება ნიადაგის დაბინძურების მონიტორინგი
</t>
    </r>
  </si>
  <si>
    <r>
      <rPr>
        <sz val="11"/>
        <rFont val="SylfaenARM"/>
      </rPr>
      <t xml:space="preserve">* </t>
    </r>
    <r>
      <rPr>
        <b/>
        <sz val="11"/>
        <rFont val="SylfaenARM"/>
      </rPr>
      <t>2018 წელს</t>
    </r>
    <r>
      <rPr>
        <sz val="11"/>
        <rFont val="SylfaenARM"/>
      </rPr>
      <t xml:space="preserve"> დაიწყება 1 ახალი რეგიონული ნაგავსაყრელის მშენებლობა;
*</t>
    </r>
    <r>
      <rPr>
        <b/>
        <sz val="11"/>
        <rFont val="SylfaenARM"/>
      </rPr>
      <t xml:space="preserve"> 2019 წელს</t>
    </r>
    <r>
      <rPr>
        <sz val="11"/>
        <rFont val="SylfaenARM"/>
      </rPr>
      <t xml:space="preserve"> დაიწყება 1 ახალი რეგიონული ნაგავსაყრელის მშენებლობა; დაიგეგმება 6 ნაგავსაყრელის დახურვა;
*</t>
    </r>
    <r>
      <rPr>
        <b/>
        <sz val="11"/>
        <rFont val="SylfaenARM"/>
      </rPr>
      <t xml:space="preserve"> 2020 წელს</t>
    </r>
    <r>
      <rPr>
        <sz val="11"/>
        <rFont val="SylfaenARM"/>
      </rPr>
      <t xml:space="preserve"> დაიწყება 1 ახალი რეგიონული ნაგავსაყრელის მშენებლობა; დაიგეგმება 3 ნაგავსაყრელის დახურვა.</t>
    </r>
  </si>
  <si>
    <r>
      <rPr>
        <b/>
        <sz val="11"/>
        <rFont val="SylfaenARM"/>
      </rPr>
      <t xml:space="preserve">* 2018 წელს </t>
    </r>
    <r>
      <rPr>
        <sz val="11"/>
        <rFont val="SylfaenARM"/>
      </rPr>
      <t xml:space="preserve">2017 წელთან შედარებით დამატებით 10 ერთეული მეტეოროლოგიური და 10 ერთეული ჰიდროლოგიური დაკვირვების სადგურის ამოქმედდება; აღდგენილი ატმოსფეროს ვერტიკალური ზონდირება - 1 ერთეული აეროლოგიური დაკვირვების კომპლექსის ამოქმედდება.
</t>
    </r>
    <r>
      <rPr>
        <b/>
        <sz val="11"/>
        <rFont val="SylfaenARM"/>
      </rPr>
      <t>* 2019 წელს</t>
    </r>
    <r>
      <rPr>
        <sz val="11"/>
        <rFont val="SylfaenARM"/>
      </rPr>
      <t xml:space="preserve"> 2018 წელთან შედარებით დამატებით 10 ერთეული მეტეოროლოგიური და 10 ერთეული ჰიდროლოგიური დაკვირვების სადგურების ამოქმედდება.
</t>
    </r>
    <r>
      <rPr>
        <b/>
        <sz val="11"/>
        <rFont val="SylfaenARM"/>
      </rPr>
      <t xml:space="preserve">* 2020 წელს: </t>
    </r>
    <r>
      <rPr>
        <sz val="11"/>
        <rFont val="SylfaenARM"/>
      </rPr>
      <t>2019 წელთან შედარებით დამატებით 10 ერთეული მეტეოროლოგიური და 10 ერთეული ჰიდროლოგიური დაკვირვების სადგურების ამოქმედდება; დამატებით 1 ერთეული აეროლოგიური დაკვირვების კომპლექსის ამოქმედდება</t>
    </r>
    <r>
      <rPr>
        <sz val="11"/>
        <color rgb="FFFF0000"/>
        <rFont val="SylfaenARM"/>
      </rPr>
      <t xml:space="preserve">
</t>
    </r>
  </si>
  <si>
    <r>
      <rPr>
        <sz val="11"/>
        <color theme="4"/>
        <rFont val="SylfaenARM"/>
      </rPr>
      <t xml:space="preserve">
</t>
    </r>
    <r>
      <rPr>
        <sz val="11"/>
        <rFont val="SylfaenARM"/>
      </rPr>
      <t xml:space="preserve">* </t>
    </r>
    <r>
      <rPr>
        <b/>
        <sz val="11"/>
        <rFont val="SylfaenARM"/>
      </rPr>
      <t>2018 წელს</t>
    </r>
    <r>
      <rPr>
        <sz val="11"/>
        <rFont val="SylfaenARM"/>
      </rPr>
      <t xml:space="preserve"> დაზღვეული იქნება დაახლოებით 16 824 სასოფლო-სამეურნეო ჰა 
</t>
    </r>
    <r>
      <rPr>
        <b/>
        <sz val="11"/>
        <rFont val="SylfaenARM"/>
      </rPr>
      <t xml:space="preserve">* 2019 წელს </t>
    </r>
    <r>
      <rPr>
        <sz val="11"/>
        <rFont val="SylfaenARM"/>
      </rPr>
      <t xml:space="preserve">დაზღვეული იქნება  დაახლოებით 26 078 სასოფლო-სამეურნეო ჰა 
* </t>
    </r>
    <r>
      <rPr>
        <b/>
        <sz val="11"/>
        <rFont val="SylfaenARM"/>
      </rPr>
      <t>2020 წელს</t>
    </r>
    <r>
      <rPr>
        <sz val="11"/>
        <rFont val="SylfaenARM"/>
      </rPr>
      <t xml:space="preserve"> დაზღვეული იქნება  დაახლოებით 29 443 საოსფლო-სამეურნეო  ჰა </t>
    </r>
  </si>
  <si>
    <t>1. ეკონომიკა და კონკურენტუნარიანობა</t>
  </si>
  <si>
    <r>
      <t xml:space="preserve">
ამოცანა 1: </t>
    </r>
    <r>
      <rPr>
        <sz val="11"/>
        <color theme="1"/>
        <rFont val="SylfaenARM"/>
      </rPr>
      <t xml:space="preserve">ფერმერული საქმიანობის ეკონომიკური გაჯანსაღება, რესტრუქტურირება და მოდერნიზაცია. დივერსიფიკაციისა და  ეფექტიანი მიწოდების ჯაჭვის განვითარების მეშვეობით. </t>
    </r>
  </si>
  <si>
    <r>
      <t xml:space="preserve">ამოცანა 3. </t>
    </r>
    <r>
      <rPr>
        <sz val="11"/>
        <color theme="1"/>
        <rFont val="SylfaenARM"/>
      </rPr>
      <t xml:space="preserve">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  </t>
    </r>
  </si>
  <si>
    <r>
      <rPr>
        <b/>
        <sz val="11"/>
        <color theme="1"/>
        <rFont val="SylfaenARM"/>
      </rPr>
      <t xml:space="preserve">ამოცანა 3. </t>
    </r>
    <r>
      <rPr>
        <sz val="11"/>
        <color theme="1"/>
        <rFont val="SylfaenARM"/>
      </rPr>
      <t>დგილობრივი მოსახლეობის ჩართულობა. სოფლის მოსახლეობის (განსაკუთრებით ქალებისა და ახალგაზრდების) ჩართულობის გაზრდა ადგილობრივი საჭიროებების იდენტიფიცირებასა და მათი გადაწყვეტის გზების განსაზღვრაში.</t>
    </r>
  </si>
  <si>
    <t>გარემოს დაცვა და ბუნებრივი რესურსების მდგრადი მართვა</t>
  </si>
  <si>
    <r>
      <rPr>
        <b/>
        <sz val="11"/>
        <color theme="1"/>
        <rFont val="SylfaenARM"/>
      </rPr>
      <t>ამოცანა 1.</t>
    </r>
    <r>
      <rPr>
        <sz val="11"/>
        <color theme="1"/>
        <rFont val="SylfaenARM"/>
      </rPr>
      <t xml:space="preserve"> წყლის, ტყისა და სხვა რესურსები. მიზნობრივ სოფლის ტერიტორიებზე წყლის, ტყისა და სხვა რესურსების მართვის გაუმჯობესება. </t>
    </r>
  </si>
  <si>
    <r>
      <rPr>
        <b/>
        <sz val="11"/>
        <color theme="1"/>
        <rFont val="SylfaenARM"/>
      </rPr>
      <t>ამოცანა 2.</t>
    </r>
    <r>
      <rPr>
        <sz val="11"/>
        <color theme="1"/>
        <rFont val="SylfaenARM"/>
      </rPr>
      <t xml:space="preserve"> ნარჩენების მართვა. სოფლად ნარჩენების მართვის მდგრადი სისტემების განვითარების ხელშეწყობა</t>
    </r>
  </si>
  <si>
    <t xml:space="preserve">საბაზისო მონაცემია 2016 წ.0.9 </t>
  </si>
  <si>
    <r>
      <rPr>
        <sz val="11"/>
        <rFont val="SylfaenARM"/>
      </rPr>
      <t>*</t>
    </r>
    <r>
      <rPr>
        <b/>
        <sz val="11"/>
        <rFont val="SylfaenARM"/>
      </rPr>
      <t xml:space="preserve"> 2018 წელს</t>
    </r>
    <r>
      <rPr>
        <sz val="11"/>
        <rFont val="SylfaenARM"/>
      </rPr>
      <t xml:space="preserve"> დაფინანსდება  74  ახალი ან არსებული საწარმოს გაფართოება/გადაიარაღება/მოდერნიზება. </t>
    </r>
    <r>
      <rPr>
        <sz val="11"/>
        <color theme="1"/>
        <rFont val="SylfaenARM"/>
      </rPr>
      <t xml:space="preserve">
* </t>
    </r>
    <r>
      <rPr>
        <b/>
        <sz val="11"/>
        <color theme="1"/>
        <rFont val="SylfaenARM"/>
      </rPr>
      <t>2019 წელს</t>
    </r>
    <r>
      <rPr>
        <sz val="11"/>
        <color theme="1"/>
        <rFont val="SylfaenARM"/>
      </rPr>
      <t xml:space="preserve"> გაგრძელდება გაცემული სესხების თანადაფინანსება. 
*</t>
    </r>
    <r>
      <rPr>
        <b/>
        <sz val="11"/>
        <color theme="1"/>
        <rFont val="SylfaenARM"/>
      </rPr>
      <t xml:space="preserve"> 2020 წელს</t>
    </r>
    <r>
      <rPr>
        <sz val="11"/>
        <color theme="1"/>
        <rFont val="SylfaenARM"/>
      </rPr>
      <t xml:space="preserve"> გაგრძელდება გაცემული სესხების თანადაფინანსება.
</t>
    </r>
  </si>
  <si>
    <r>
      <rPr>
        <b/>
        <sz val="11"/>
        <color theme="1"/>
        <rFont val="SylfaenARM"/>
      </rPr>
      <t>* 2018 წელს</t>
    </r>
    <r>
      <rPr>
        <sz val="11"/>
        <color theme="1"/>
        <rFont val="SylfaenARM"/>
      </rPr>
      <t xml:space="preserve"> ათვისებული თანხის 50 %-მდე მოხმარდება ბაღების გაშენებას (4 000 ჰა-ზე მეტი). შეიქმნება ან/და გადაიარაღდება 50-მე მეტი საწარმო. 
</t>
    </r>
    <r>
      <rPr>
        <b/>
        <sz val="11"/>
        <color theme="1"/>
        <rFont val="SylfaenARM"/>
      </rPr>
      <t xml:space="preserve">* 2019 წელს </t>
    </r>
    <r>
      <rPr>
        <sz val="11"/>
        <color theme="1"/>
        <rFont val="SylfaenARM"/>
      </rPr>
      <t xml:space="preserve">ათვისებული თანხის 50%-მდე მოხმარდება თანამედროვე ხეხილის ბაღების გაშენებას (4 000 ჰა-ზე მეტი). შეიქმნება ან/და გადაიარაღდება 50-ზე მეტი საწარმო.       
</t>
    </r>
    <r>
      <rPr>
        <b/>
        <sz val="11"/>
        <color theme="1"/>
        <rFont val="SylfaenARM"/>
      </rPr>
      <t>* 2020 წელს</t>
    </r>
    <r>
      <rPr>
        <sz val="11"/>
        <color theme="1"/>
        <rFont val="SylfaenARM"/>
      </rPr>
      <t xml:space="preserve"> ათვისებული თანხის 50%-მდე მოხმარდება თანამედროვე ხეხილის ბაღების გაშენებას (4000 ჰა-ზე მეტი). შეიქმნება ან/და გადაიარაღდება 50-ზე მეტი საწარმო.</t>
    </r>
  </si>
  <si>
    <r>
      <rPr>
        <b/>
        <sz val="11"/>
        <color theme="1"/>
        <rFont val="SylfaenARM"/>
      </rPr>
      <t>* 2018 წელს</t>
    </r>
    <r>
      <rPr>
        <sz val="11"/>
        <color theme="1"/>
        <rFont val="SylfaenARM"/>
      </rPr>
      <t xml:space="preserve"> 143 კოოპერატივს გადაეცემა 2000 სკა, 15 საწური, 20 სათლელი დანადგარი.
</t>
    </r>
    <r>
      <rPr>
        <b/>
        <sz val="11"/>
        <color theme="1"/>
        <rFont val="SylfaenARM"/>
      </rPr>
      <t>* 2019 წელს</t>
    </r>
    <r>
      <rPr>
        <sz val="11"/>
        <color theme="1"/>
        <rFont val="SylfaenARM"/>
      </rPr>
      <t xml:space="preserve"> 95 კოოპერატივს გადაეცემა 1000 სკა,10 საწური, 15 ფიჭის  სათლელი დანადგარი.
</t>
    </r>
    <r>
      <rPr>
        <b/>
        <sz val="11"/>
        <color theme="1"/>
        <rFont val="SylfaenARM"/>
      </rPr>
      <t>* 2020 წელს</t>
    </r>
    <r>
      <rPr>
        <sz val="11"/>
        <color theme="1"/>
        <rFont val="SylfaenARM"/>
      </rPr>
      <t xml:space="preserve"> 45 კოოპერატივს გადაეცემა 700 სკა, 10 საწური, 10  სათლელი დანადგარი.</t>
    </r>
  </si>
  <si>
    <r>
      <rPr>
        <b/>
        <sz val="11"/>
        <color theme="1"/>
        <rFont val="SylfaenARM"/>
      </rPr>
      <t>"2018 წელს</t>
    </r>
    <r>
      <rPr>
        <sz val="11"/>
        <color theme="1"/>
        <rFont val="SylfaenARM"/>
      </rPr>
      <t xml:space="preserve"> მოეწყობა 2 ადგილობრივი  და 1 საერთაშორისო გამოფენა-გაყიდვა; 15 კოოპერატივში დაინერგება სტანდარტიზაციის პროცესი;  განხორციელდება15 სავაჭრო ნიშნის რეგისტრაცია-ბრენდირება. 
</t>
    </r>
    <r>
      <rPr>
        <b/>
        <sz val="11"/>
        <color theme="1"/>
        <rFont val="SylfaenARM"/>
      </rPr>
      <t>* 2019 წელს</t>
    </r>
    <r>
      <rPr>
        <sz val="11"/>
        <color theme="1"/>
        <rFont val="SylfaenARM"/>
      </rPr>
      <t xml:space="preserve"> მოეწყობა 2 ადგილობრივი და 1 საერთაშორისო გამოფენა-გაყიდვა; 15 კოოპერატივში დაინერგება სტანდარტიზაციის პროცესი;   განხორციელდება 20 სავაჭრო ნიშნის რეგისტრაცია-ბრენდირება.
</t>
    </r>
    <r>
      <rPr>
        <b/>
        <sz val="11"/>
        <color theme="1"/>
        <rFont val="SylfaenARM"/>
      </rPr>
      <t>* 2020 წელს</t>
    </r>
    <r>
      <rPr>
        <sz val="11"/>
        <color theme="1"/>
        <rFont val="SylfaenARM"/>
      </rPr>
      <t xml:space="preserve"> მოეწყობა 2 ადგილობრივი და 2 საერთაშორისო გამოფენა-გაყიდვა ; 20 კოოპერატივში დაინერგება სტანდარტიზაციის პროცესი;   განხორციელდება 25 სავაჭრო ნიშნის რეგისტრაცია- ბრენდირება"</t>
    </r>
  </si>
  <si>
    <r>
      <rPr>
        <b/>
        <sz val="11"/>
        <color theme="1"/>
        <rFont val="SylfaenARM"/>
      </rPr>
      <t>* 2018 წელს</t>
    </r>
    <r>
      <rPr>
        <sz val="11"/>
        <color theme="1"/>
        <rFont val="SylfaenARM"/>
      </rPr>
      <t xml:space="preserve"> სათანადო მანქანა-დანადგარებით აღიჭურვება 83 კოოპერატივი 
</t>
    </r>
    <r>
      <rPr>
        <b/>
        <sz val="11"/>
        <color theme="1"/>
        <rFont val="SylfaenARM"/>
      </rPr>
      <t>* 2019 წელს</t>
    </r>
    <r>
      <rPr>
        <sz val="11"/>
        <color theme="1"/>
        <rFont val="SylfaenARM"/>
      </rPr>
      <t xml:space="preserve"> სათანადო მანქანა-დანადგარებით აღიჭურვება 53 კოოპერატივი.            
</t>
    </r>
    <r>
      <rPr>
        <b/>
        <sz val="11"/>
        <color theme="1"/>
        <rFont val="SylfaenARM"/>
      </rPr>
      <t>* 2020 წელს</t>
    </r>
    <r>
      <rPr>
        <sz val="11"/>
        <color theme="1"/>
        <rFont val="SylfaenARM"/>
      </rPr>
      <t xml:space="preserve"> სათანადო მანქანა-დანადგარებით აღიჭურვება 44 კოოპერატივი       
* ჯამში 180 კოოპერატივში დაინერგება თანამედროვე ტიპის წარმოების მეთოდიკა; 40 კოოპერატივში დაინერგება ერთიანი საწარმოო ციკლი (ნედლეული -გადამუშავება- საბოლოო მომხმარებელი)</t>
    </r>
  </si>
  <si>
    <r>
      <rPr>
        <b/>
        <sz val="11"/>
        <color theme="1"/>
        <rFont val="SylfaenARM"/>
      </rPr>
      <t>* 2018 წელს</t>
    </r>
    <r>
      <rPr>
        <sz val="11"/>
        <color theme="1"/>
        <rFont val="SylfaenARM"/>
      </rPr>
      <t xml:space="preserve"> კოოპერატივის 950 მეპაიეს ჩაუტარდება ტრეინინგი დარგობრივი მიმართულებებით.                                                                                                                                                                 </t>
    </r>
    <r>
      <rPr>
        <b/>
        <sz val="11"/>
        <color theme="1"/>
        <rFont val="SylfaenARM"/>
      </rPr>
      <t>* 2019 წელს</t>
    </r>
    <r>
      <rPr>
        <sz val="11"/>
        <color theme="1"/>
        <rFont val="SylfaenARM"/>
      </rPr>
      <t xml:space="preserve"> კოოპერატივის 1140 მეპაიეს ჩაუტარდება ტრეინინგი დარგობრივი მიმართულებებით.                                                                                                                                                           </t>
    </r>
    <r>
      <rPr>
        <b/>
        <sz val="11"/>
        <color theme="1"/>
        <rFont val="SylfaenARM"/>
      </rPr>
      <t>* 2020 წელს</t>
    </r>
    <r>
      <rPr>
        <sz val="11"/>
        <color theme="1"/>
        <rFont val="SylfaenARM"/>
      </rPr>
      <t xml:space="preserve"> კოოპერატივის 1330  მეპაიეს ჩაუტარდება ტრეინინგი დარგობრივი მიმართულებებით. </t>
    </r>
  </si>
  <si>
    <r>
      <rPr>
        <b/>
        <sz val="11"/>
        <color theme="1"/>
        <rFont val="SylfaenARM"/>
      </rPr>
      <t>* 2018 წელს</t>
    </r>
    <r>
      <rPr>
        <sz val="11"/>
        <color theme="1"/>
        <rFont val="SylfaenARM"/>
      </rPr>
      <t xml:space="preserve"> უკანაფშავის ადმინისტრაციულ ერთეულში აშენდება და ტექნიკით აღიჭურვება რძის გადამამუშავებებლი საწარმო. </t>
    </r>
  </si>
  <si>
    <r>
      <rPr>
        <b/>
        <sz val="11"/>
        <color theme="1"/>
        <rFont val="SylfaenARM"/>
      </rPr>
      <t>* 2018 წელს</t>
    </r>
    <r>
      <rPr>
        <sz val="11"/>
        <color theme="1"/>
        <rFont val="SylfaenARM"/>
      </rPr>
      <t xml:space="preserve"> გაუმჯობესდება სარწყავი წყლის მიწოდება 1350 ჰექტარზე; ჩატარდება მიწის აღდგენითი სამუშაოები 2 ობიექტზე;   გაიცემა 40-მდე გრანტი კერძო პირებისათვის და 8 მდე  გრანტი აგრობიზნესისათვის;  მოეწყობა 3 სადემონსტრაციო ნაკვეთი,    გადამზადდება 300-მდე  ფერმერი.                                                                                                                                    
</t>
    </r>
    <r>
      <rPr>
        <b/>
        <sz val="11"/>
        <color theme="1"/>
        <rFont val="SylfaenARM"/>
      </rPr>
      <t>* 2019 წელს</t>
    </r>
    <r>
      <rPr>
        <sz val="11"/>
        <color theme="1"/>
        <rFont val="SylfaenARM"/>
      </rPr>
      <t xml:space="preserve"> გაუმჯობესდება სარწყავი წყლის მიწოდება 1350 ჰექტარზე;  ჩატარდება მიწის აღდგენითი სამუშაოები 1 ობიექტზე; გაიცემა 40 მდე გრანტი კერძო პირებისათვის და 8 მდე  გრანტი აგრობიზნესისათვის.  </t>
    </r>
  </si>
  <si>
    <r>
      <rPr>
        <b/>
        <sz val="11"/>
        <color theme="1"/>
        <rFont val="SylfaenARM"/>
      </rPr>
      <t>* 2018 წელს</t>
    </r>
    <r>
      <rPr>
        <sz val="11"/>
        <color theme="1"/>
        <rFont val="SylfaenARM"/>
      </rPr>
      <t xml:space="preserve"> დასრულდება სამი მაგისტრალური არხის რეაბილიტაცია, შედეგად გაუმჯობესდება  წყალუზრუნველყოფა  - 20 000  ჰა-ზე; 
</t>
    </r>
    <r>
      <rPr>
        <b/>
        <sz val="11"/>
        <color theme="1"/>
        <rFont val="SylfaenARM"/>
      </rPr>
      <t>* 2019 წელს</t>
    </r>
    <r>
      <rPr>
        <sz val="11"/>
        <color theme="1"/>
        <rFont val="SylfaenARM"/>
      </rPr>
      <t xml:space="preserve"> დასრულდება სამი მაგისტრალური არხის შიდა ქსელების დეტალური პროექტირება </t>
    </r>
  </si>
  <si>
    <r>
      <rPr>
        <b/>
        <sz val="11"/>
        <rFont val="SylfaenARM"/>
      </rPr>
      <t>* 2018 -2020 წლებში</t>
    </r>
    <r>
      <rPr>
        <sz val="11"/>
        <rFont val="SylfaenARM"/>
      </rPr>
      <t xml:space="preserve"> რეგიონებში  სახელმწიფო პროგრამის „აწარმოე საქართველოში“ ფინანსებზე ხელმისაწვდომობის კომპონენტის ფარგლებში,  ბენეფიციარი კომპანიების  კრედიტისა და ლიზინგის საგნის პროცენტის თანადაფინანსების მიმართულებით ყოველწლიურად მხარი დაეჭირება დაახლოებით 15 ახალ ან/და არსებული საწარმოს გაფართოების პროექტს.
</t>
    </r>
  </si>
  <si>
    <r>
      <rPr>
        <b/>
        <sz val="11"/>
        <rFont val="SylfaenARM"/>
      </rPr>
      <t xml:space="preserve">* 2018-2020 წლებში </t>
    </r>
    <r>
      <rPr>
        <sz val="11"/>
        <rFont val="SylfaenARM"/>
      </rPr>
      <t xml:space="preserve">დამატებით 5 ტურისტული პროდუქტი, დამატებით 4 ინფრასტრუქტურული პროექტი (ყოველ წელს);  2018 წელს გადამზადებული იქნება 1350 ტრენინგის მონაწილე;  2019-2020 წლებში, თითოეულ წელს  - 1400 ტრენინგის მონაწილე.
</t>
    </r>
  </si>
  <si>
    <r>
      <rPr>
        <sz val="11"/>
        <rFont val="SylfaenARM"/>
      </rPr>
      <t xml:space="preserve">* </t>
    </r>
    <r>
      <rPr>
        <b/>
        <sz val="11"/>
        <rFont val="SylfaenARM"/>
      </rPr>
      <t>ყოველწლიურად</t>
    </r>
    <r>
      <rPr>
        <sz val="11"/>
        <rFont val="SylfaenARM"/>
      </rPr>
      <t xml:space="preserve"> განხორციელდება რეგიონებში სამინისტროს დაქვემდებარებაში არსებული 13 სსიპ-ის ( მუზეუმების, მუზეუმ-ნაკრძალების, სახლ-მუზეუმების)  დაფინანსება</t>
    </r>
    <r>
      <rPr>
        <sz val="11"/>
        <color rgb="FFFF0000"/>
        <rFont val="SylfaenARM"/>
      </rPr>
      <t xml:space="preserve">
</t>
    </r>
  </si>
  <si>
    <r>
      <rPr>
        <b/>
        <sz val="11"/>
        <rFont val="SylfaenARM"/>
      </rPr>
      <t>* ყოველწლიურად</t>
    </r>
    <r>
      <rPr>
        <sz val="11"/>
        <rFont val="SylfaenARM"/>
      </rPr>
      <t xml:space="preserve"> რეგიონებში  კულტურის სფეროში განხორციელდება 15-მდე  პროექტი და  კულტურული ღონისძიებები ჩატარდება 30 მუნიციპალიტეტში  </t>
    </r>
    <r>
      <rPr>
        <sz val="11"/>
        <color theme="1"/>
        <rFont val="SylfaenARM"/>
      </rPr>
      <t xml:space="preserve">
</t>
    </r>
  </si>
  <si>
    <r>
      <rPr>
        <b/>
        <sz val="11"/>
        <rFont val="SylfaenARM"/>
      </rPr>
      <t>* 2018 წელს</t>
    </r>
    <r>
      <rPr>
        <sz val="11"/>
        <rFont val="SylfaenARM"/>
      </rPr>
      <t xml:space="preserve"> გაშენდება/ დაკონტრაქტდება 1 200 ჰა  ახალი ბაღი. 
</t>
    </r>
    <r>
      <rPr>
        <b/>
        <sz val="11"/>
        <rFont val="SylfaenARM"/>
      </rPr>
      <t>* 2019 წელს</t>
    </r>
    <r>
      <rPr>
        <sz val="11"/>
        <rFont val="SylfaenARM"/>
      </rPr>
      <t xml:space="preserve"> გაშენდება/ დაკონტრაქტდება  დამატებით 960 ჰა ახალი ბაღი. 
</t>
    </r>
    <r>
      <rPr>
        <b/>
        <sz val="11"/>
        <rFont val="SylfaenARM"/>
      </rPr>
      <t>* 2020 წელს</t>
    </r>
    <r>
      <rPr>
        <sz val="11"/>
        <rFont val="SylfaenARM"/>
      </rPr>
      <t xml:space="preserve">  გაშენდება/ დაკონტრაქტდება დამატებით 960 ჰა ახალი ბაღი</t>
    </r>
  </si>
  <si>
    <r>
      <t xml:space="preserve">* </t>
    </r>
    <r>
      <rPr>
        <b/>
        <sz val="11"/>
        <color theme="1"/>
        <rFont val="SylfaenARM"/>
      </rPr>
      <t>ყოველწლიურად</t>
    </r>
    <r>
      <rPr>
        <sz val="11"/>
        <color theme="1"/>
        <rFont val="SylfaenARM"/>
      </rPr>
      <t xml:space="preserve"> საინფორმაციო ტექნოლოგიების სფეროში გადამზადდება   1 000 სპეციალისტი</t>
    </r>
  </si>
  <si>
    <r>
      <rPr>
        <b/>
        <sz val="11"/>
        <rFont val="SylfaenARM"/>
      </rPr>
      <t>* 2018 წელს</t>
    </r>
    <r>
      <rPr>
        <sz val="11"/>
        <rFont val="SylfaenARM"/>
      </rPr>
      <t xml:space="preserve">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2016 წლის მაჩვენებელთან შედარებით  გაიზრდება მინიმუმ 2%-ით 
</t>
    </r>
    <r>
      <rPr>
        <b/>
        <sz val="11"/>
        <rFont val="SylfaenARM"/>
      </rPr>
      <t>* 2019 წელს</t>
    </r>
    <r>
      <rPr>
        <sz val="11"/>
        <rFont val="SylfaenARM"/>
      </rPr>
      <t xml:space="preserve">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2018 წლის მაჩვენებელთან შედარებით  გაიზრდება მინიმუმ 2%-ით .
</t>
    </r>
    <r>
      <rPr>
        <b/>
        <sz val="11"/>
        <rFont val="SylfaenARM"/>
      </rPr>
      <t xml:space="preserve">* 2020 წელს </t>
    </r>
    <r>
      <rPr>
        <sz val="11"/>
        <rFont val="SylfaenARM"/>
      </rPr>
      <t>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2019 წლის მაჩვენებელთან შედარებით  გაიზრდება მინიმუმ 2%-ით.</t>
    </r>
  </si>
  <si>
    <r>
      <rPr>
        <sz val="11"/>
        <rFont val="SylfaenARM"/>
      </rPr>
      <t xml:space="preserve">* </t>
    </r>
    <r>
      <rPr>
        <b/>
        <sz val="11"/>
        <rFont val="SylfaenARM"/>
      </rPr>
      <t>ყოველწლიურად</t>
    </r>
    <r>
      <rPr>
        <sz val="11"/>
        <rFont val="SylfaenARM"/>
      </rPr>
      <t xml:space="preserve">  რეგიონებში გადამზადდება მინიმუმ  200-350 ბენეფიციარი </t>
    </r>
  </si>
  <si>
    <r>
      <rPr>
        <b/>
        <sz val="11"/>
        <color theme="1"/>
        <rFont val="SylfaenARM"/>
      </rPr>
      <t>* 2018 წელი</t>
    </r>
    <r>
      <rPr>
        <sz val="11"/>
        <color theme="1"/>
        <rFont val="SylfaenARM"/>
      </rPr>
      <t xml:space="preserve"> -  შეიქმნება და აღიჭურვება 10 ინოვაციების ცენტრი და 2 ინოვაციების ჰაბი
</t>
    </r>
    <r>
      <rPr>
        <b/>
        <sz val="11"/>
        <color theme="1"/>
        <rFont val="SylfaenARM"/>
      </rPr>
      <t>* 2019 წელი</t>
    </r>
    <r>
      <rPr>
        <sz val="11"/>
        <color theme="1"/>
        <rFont val="SylfaenARM"/>
      </rPr>
      <t xml:space="preserve"> -  შეიქმნება და აღიჭურვება 10 ინოვაციების ცენტრი და 1 ინოვაციების ჰაბი
</t>
    </r>
    <r>
      <rPr>
        <b/>
        <sz val="11"/>
        <color theme="1"/>
        <rFont val="SylfaenARM"/>
      </rPr>
      <t xml:space="preserve">* 2020 წელი </t>
    </r>
    <r>
      <rPr>
        <sz val="11"/>
        <color theme="1"/>
        <rFont val="SylfaenARM"/>
      </rPr>
      <t>- შეიქმნება და აღიჭურვება 10 ინოვაციების ცენტრი და 1 ინოვაციების ჰაბი</t>
    </r>
  </si>
  <si>
    <r>
      <t xml:space="preserve">* </t>
    </r>
    <r>
      <rPr>
        <b/>
        <sz val="11"/>
        <color theme="1"/>
        <rFont val="SylfaenARM"/>
      </rPr>
      <t>ყოველწლიურად</t>
    </r>
    <r>
      <rPr>
        <sz val="11"/>
        <color theme="1"/>
        <rFont val="SylfaenARM"/>
      </rPr>
      <t xml:space="preserve"> განხორციელდება 350-მდე საჯარო სკოლის  სხვადასხვა სახის სარებილიტაციო სამუშაოები და აღჭურვა და 6-მდე ახალი სკოლის მშენებლობა.
</t>
    </r>
  </si>
  <si>
    <r>
      <rPr>
        <b/>
        <sz val="11"/>
        <color theme="1"/>
        <rFont val="SylfaenARM"/>
      </rPr>
      <t xml:space="preserve">2018 წელს </t>
    </r>
    <r>
      <rPr>
        <sz val="11"/>
        <color theme="1"/>
        <rFont val="SylfaenARM"/>
      </rPr>
      <t xml:space="preserve"> მინიმუმ ერთ მუნიციპალიტეტში დაწყებულია სამუშაოები ახალი პროფესიული საგანმანათლებლო დაწესებულების დაფუძნების მიზნით.
</t>
    </r>
    <r>
      <rPr>
        <b/>
        <sz val="11"/>
        <color theme="1"/>
        <rFont val="SylfaenARM"/>
      </rPr>
      <t>2019 წელს</t>
    </r>
    <r>
      <rPr>
        <sz val="11"/>
        <color theme="1"/>
        <rFont val="SylfaenARM"/>
      </rPr>
      <t xml:space="preserve">  მინიმუმ  ერთ მუნიციპალიტეტში განვითარებულია  ახალი პროფესიული საგანმანათლებლო დაწესებულება (რეაბილიტაცია, აღჭურვა)
</t>
    </r>
    <r>
      <rPr>
        <b/>
        <sz val="11"/>
        <color theme="1"/>
        <rFont val="SylfaenARM"/>
      </rPr>
      <t>2020 წელს</t>
    </r>
    <r>
      <rPr>
        <sz val="11"/>
        <color theme="1"/>
        <rFont val="SylfaenARM"/>
      </rPr>
      <t xml:space="preserve"> მინიმუმ  ერთ მუნიციპალიტეტში განვითარებულია  ახალი პროფესიული საგანმანათლებლო დაწესებულება (რეაბილიტაცია, აღჭურვა)
</t>
    </r>
  </si>
  <si>
    <r>
      <t xml:space="preserve">* </t>
    </r>
    <r>
      <rPr>
        <b/>
        <sz val="11"/>
        <color theme="1"/>
        <rFont val="SylfaenARM"/>
      </rPr>
      <t>ყოველწლიურად</t>
    </r>
    <r>
      <rPr>
        <sz val="11"/>
        <color theme="1"/>
        <rFont val="SylfaenARM"/>
      </rPr>
      <t xml:space="preserve"> პროგრამის ბენეფიციართა 100% უზრუნველყოფილია ტრანსპორტით.</t>
    </r>
  </si>
  <si>
    <r>
      <t xml:space="preserve">* </t>
    </r>
    <r>
      <rPr>
        <b/>
        <sz val="11"/>
        <rFont val="SylfaenARM"/>
      </rPr>
      <t>ყოველწლიურად</t>
    </r>
    <r>
      <rPr>
        <sz val="11"/>
        <rFont val="SylfaenARM"/>
      </rPr>
      <t xml:space="preserve"> განხორციელდება  70 საჯარო სკოლების ინტერნეტ საკომუნიკაციო სისტემების მოწყობა (დაქსელვა).
</t>
    </r>
  </si>
  <si>
    <r>
      <t xml:space="preserve">* </t>
    </r>
    <r>
      <rPr>
        <b/>
        <sz val="11"/>
        <color theme="1"/>
        <rFont val="SylfaenARM"/>
      </rPr>
      <t>ყოველწლიურად</t>
    </r>
    <r>
      <rPr>
        <sz val="11"/>
        <color theme="1"/>
        <rFont val="SylfaenARM"/>
      </rPr>
      <t xml:space="preserve"> ფუნქციონირებს 4 ფსიქოლოგიური მომსახურების  ცენტრი (გორში, თელავში, ზუგდიდსა და ახლციხეში), რომელიც უზრუნველყოფს  სკოლის მოსწავლეთათვის ფსიქო-სოციალური მომსახურების გაწევას.
</t>
    </r>
  </si>
  <si>
    <r>
      <t xml:space="preserve">* </t>
    </r>
    <r>
      <rPr>
        <b/>
        <sz val="11"/>
        <color theme="1"/>
        <rFont val="SylfaenARM"/>
      </rPr>
      <t>ყოველწლიურად</t>
    </r>
    <r>
      <rPr>
        <sz val="11"/>
        <color theme="1"/>
        <rFont val="SylfaenARM"/>
      </rPr>
      <t xml:space="preserve"> 1400 სოფლის საჯარო სკოლის მოსწავლეები უზრუნველყოფილი იქნებიან საზაფხულო სკოლებში  მომსახურების სერვისით.
</t>
    </r>
  </si>
  <si>
    <r>
      <t xml:space="preserve">* </t>
    </r>
    <r>
      <rPr>
        <b/>
        <sz val="11"/>
        <color theme="1"/>
        <rFont val="SylfaenARM"/>
      </rPr>
      <t>ყოველწლიურად</t>
    </r>
    <r>
      <rPr>
        <sz val="11"/>
        <color theme="1"/>
        <rFont val="SylfaenARM"/>
      </rPr>
      <t xml:space="preserve"> ყაზბეგის და დუშეთის მუნიციპალიტეტების მაღალმთიანი სოფლების მუდმივად მცხოვრებ 5 700 აბონენტს აუნაზღაურდება მიწოდებული ბუნებრივი აირის ღირებულება
</t>
    </r>
  </si>
  <si>
    <r>
      <rPr>
        <b/>
        <sz val="11"/>
        <rFont val="SylfaenARM"/>
      </rPr>
      <t>* 2018  წელს</t>
    </r>
    <r>
      <rPr>
        <sz val="11"/>
        <rFont val="SylfaenARM"/>
      </rPr>
      <t xml:space="preserve"> გარე სავარჯიშო მოწყობილობები დამონტაჟდება 10 მუნიციპალიტეტში   
</t>
    </r>
    <r>
      <rPr>
        <b/>
        <sz val="11"/>
        <rFont val="SylfaenARM"/>
      </rPr>
      <t>* 2019 წელს</t>
    </r>
    <r>
      <rPr>
        <sz val="11"/>
        <rFont val="SylfaenARM"/>
      </rPr>
      <t xml:space="preserve">  გარე სავარჯიშო მოწყობილობები დამონტაჟდება 15 მუნიციპალიტეტში                                                   
</t>
    </r>
    <r>
      <rPr>
        <b/>
        <sz val="11"/>
        <rFont val="SylfaenARM"/>
      </rPr>
      <t xml:space="preserve">* 2020  წელს </t>
    </r>
    <r>
      <rPr>
        <sz val="11"/>
        <rFont val="SylfaenARM"/>
      </rPr>
      <t xml:space="preserve">გარე სავარჯიშო მოწყობილობები დამონტაჟდება 15 მუნიციპალიტეტში </t>
    </r>
    <r>
      <rPr>
        <sz val="11"/>
        <color theme="1"/>
        <rFont val="SylfaenARM"/>
      </rPr>
      <t xml:space="preserve">
</t>
    </r>
  </si>
  <si>
    <r>
      <rPr>
        <b/>
        <sz val="11"/>
        <color theme="1"/>
        <rFont val="SylfaenARM"/>
      </rPr>
      <t>* 2018 წელს</t>
    </r>
    <r>
      <rPr>
        <sz val="11"/>
        <color theme="1"/>
        <rFont val="SylfaenARM"/>
      </rPr>
      <t xml:space="preserve"> რეგიონებში აშენდება 2 ორდარბაზიანი მულტიფუნქციური სპორტული დარბაზი.                                                      
</t>
    </r>
    <r>
      <rPr>
        <b/>
        <sz val="11"/>
        <color theme="1"/>
        <rFont val="SylfaenARM"/>
      </rPr>
      <t>* 2019 წელს</t>
    </r>
    <r>
      <rPr>
        <sz val="11"/>
        <color theme="1"/>
        <rFont val="SylfaenARM"/>
      </rPr>
      <t xml:space="preserve"> რეგიონებში აშენდება 10 ფეხბურთისა და რაგბის მოედნები.
</t>
    </r>
    <r>
      <rPr>
        <b/>
        <sz val="11"/>
        <color theme="1"/>
        <rFont val="SylfaenARM"/>
      </rPr>
      <t>* 2020 წელს</t>
    </r>
    <r>
      <rPr>
        <sz val="11"/>
        <color theme="1"/>
        <rFont val="SylfaenARM"/>
      </rPr>
      <t xml:space="preserve"> რეგიონებში აშენდება 15 ფეხბურთისა და რაგბის მოედნები. </t>
    </r>
  </si>
  <si>
    <r>
      <rPr>
        <b/>
        <sz val="11"/>
        <color theme="1"/>
        <rFont val="SylfaenARM"/>
      </rPr>
      <t>* 2018 წელს</t>
    </r>
    <r>
      <rPr>
        <sz val="11"/>
        <color theme="1"/>
        <rFont val="SylfaenARM"/>
      </rPr>
      <t xml:space="preserve"> სახელმწიფო დახმარებას მიიღებს 400  ბენეფიციარი
</t>
    </r>
    <r>
      <rPr>
        <b/>
        <sz val="11"/>
        <color theme="1"/>
        <rFont val="SylfaenARM"/>
      </rPr>
      <t>* 2019 წელს</t>
    </r>
    <r>
      <rPr>
        <sz val="11"/>
        <color theme="1"/>
        <rFont val="SylfaenARM"/>
      </rPr>
      <t xml:space="preserve"> სახელმწიფო დახმარებას მიიღებს 450  ბენეფიციარი
</t>
    </r>
    <r>
      <rPr>
        <b/>
        <sz val="11"/>
        <color theme="1"/>
        <rFont val="SylfaenARM"/>
      </rPr>
      <t>* 2020 წელს</t>
    </r>
    <r>
      <rPr>
        <sz val="11"/>
        <color theme="1"/>
        <rFont val="SylfaenARM"/>
      </rPr>
      <t xml:space="preserve">  სახელმწიფო დახმარებას მიიღებს 500  ბენეფიციარი</t>
    </r>
  </si>
  <si>
    <r>
      <t xml:space="preserve">* </t>
    </r>
    <r>
      <rPr>
        <b/>
        <sz val="11"/>
        <color theme="1"/>
        <rFont val="SylfaenARM"/>
      </rPr>
      <t>ყოველწლიურად</t>
    </r>
    <r>
      <rPr>
        <sz val="11"/>
        <color theme="1"/>
        <rFont val="SylfaenARM"/>
      </rPr>
      <t xml:space="preserve"> 300 კმ-მდე ადგილობრივი მნიშვნელობის საავტომობილო საგზაო მონაკვეთებზე - დაიგება ან რეაბილიტირებული იქნება გზის საფარი</t>
    </r>
  </si>
  <si>
    <r>
      <t xml:space="preserve">* </t>
    </r>
    <r>
      <rPr>
        <b/>
        <sz val="11"/>
        <color theme="1"/>
        <rFont val="SylfaenARM"/>
      </rPr>
      <t>ყოველწლიურად</t>
    </r>
    <r>
      <rPr>
        <sz val="11"/>
        <color theme="1"/>
        <rFont val="SylfaenARM"/>
      </rPr>
      <t xml:space="preserve"> აშენდება/რეაბილიტირებული იქნება 70-მდე საბავშვო ბაღი</t>
    </r>
  </si>
  <si>
    <r>
      <t xml:space="preserve">* </t>
    </r>
    <r>
      <rPr>
        <b/>
        <sz val="11"/>
        <color theme="1"/>
        <rFont val="SylfaenARM"/>
      </rPr>
      <t>ყოველწლიურად</t>
    </r>
    <r>
      <rPr>
        <sz val="11"/>
        <color theme="1"/>
        <rFont val="SylfaenARM"/>
      </rPr>
      <t xml:space="preserve"> აშენდება/რეაბილიტირებული იქნება 30-მდე სპორტული და კულტურის ობიექტი</t>
    </r>
  </si>
  <si>
    <r>
      <t xml:space="preserve">* </t>
    </r>
    <r>
      <rPr>
        <b/>
        <sz val="11"/>
        <color theme="1"/>
        <rFont val="SylfaenARM"/>
      </rPr>
      <t>ყოველწლიურად</t>
    </r>
    <r>
      <rPr>
        <sz val="11"/>
        <color theme="1"/>
        <rFont val="SylfaenARM"/>
      </rPr>
      <t xml:space="preserve"> მოწყობილი/რეაბილიტირებული იქნება  20 კმ-მდე სანიაღვრე არხი და სადრენაჟე სისტემა</t>
    </r>
  </si>
  <si>
    <r>
      <t xml:space="preserve">* </t>
    </r>
    <r>
      <rPr>
        <b/>
        <sz val="11"/>
        <color theme="1"/>
        <rFont val="SylfaenARM"/>
      </rPr>
      <t>ყოველწლიურად</t>
    </r>
    <r>
      <rPr>
        <sz val="11"/>
        <color theme="1"/>
        <rFont val="SylfaenARM"/>
      </rPr>
      <t xml:space="preserve"> აშენდება/რეაბილიტირებული იქნება 650 კმ-მდე  წყალმომარაგების სისტემა და 25-მდე სათავე და გამწმენდი ნაგებობა </t>
    </r>
  </si>
  <si>
    <r>
      <t xml:space="preserve">* </t>
    </r>
    <r>
      <rPr>
        <b/>
        <sz val="11"/>
        <color theme="1"/>
        <rFont val="SylfaenARM"/>
      </rPr>
      <t>ყოველწლიურად</t>
    </r>
    <r>
      <rPr>
        <sz val="11"/>
        <color theme="1"/>
        <rFont val="SylfaenARM"/>
      </rPr>
      <t xml:space="preserve"> 20 კმ-მდე გზაზე გარე მოეწყობა განათება 
</t>
    </r>
  </si>
  <si>
    <r>
      <t xml:space="preserve">* </t>
    </r>
    <r>
      <rPr>
        <b/>
        <sz val="11"/>
        <color theme="1"/>
        <rFont val="SylfaenARM"/>
      </rPr>
      <t>ყოველწლიურად</t>
    </r>
    <r>
      <rPr>
        <sz val="11"/>
        <color theme="1"/>
        <rFont val="SylfaenARM"/>
      </rPr>
      <t xml:space="preserve"> აშენდება/რეაბილიტირებული იქნება 50 მდე მრავალბინიანი კორპუსი </t>
    </r>
  </si>
  <si>
    <r>
      <rPr>
        <b/>
        <sz val="11"/>
        <rFont val="SylfaenARM"/>
      </rPr>
      <t>* 2018 წელს</t>
    </r>
    <r>
      <rPr>
        <sz val="11"/>
        <rFont val="SylfaenARM"/>
      </rPr>
      <t xml:space="preserve"> 345 დევნილ ოჯახს საკუთრებაში გადაეცემა საცხოვრებელი სახლი;                                                                                 
</t>
    </r>
    <r>
      <rPr>
        <b/>
        <sz val="11"/>
        <rFont val="SylfaenARM"/>
      </rPr>
      <t>* 2019 წელს</t>
    </r>
    <r>
      <rPr>
        <sz val="11"/>
        <rFont val="SylfaenARM"/>
      </rPr>
      <t xml:space="preserve"> 345 დევნილ ოჯახს საკუთრებაში გადაეცემა საცხოვრებელი სახლი;                                                                               
</t>
    </r>
    <r>
      <rPr>
        <b/>
        <sz val="11"/>
        <rFont val="SylfaenARM"/>
      </rPr>
      <t>* 2020 წელს</t>
    </r>
    <r>
      <rPr>
        <sz val="11"/>
        <rFont val="SylfaenARM"/>
      </rPr>
      <t xml:space="preserve"> 345  დევნილ ოჯახს საკუთრებაში გადაეცემა საცხოვრებელი სახლი.</t>
    </r>
  </si>
  <si>
    <r>
      <rPr>
        <b/>
        <sz val="11"/>
        <rFont val="SylfaenARM"/>
      </rPr>
      <t>* 2018 წელს</t>
    </r>
    <r>
      <rPr>
        <sz val="11"/>
        <rFont val="SylfaenARM"/>
      </rPr>
      <t xml:space="preserve"> საცხოვრებლით დაკმაყოფილდება ეკომიგრანტთა მინიმუმ 45-50 ოჯახი;                                           
</t>
    </r>
    <r>
      <rPr>
        <b/>
        <sz val="11"/>
        <rFont val="SylfaenARM"/>
      </rPr>
      <t>* 2019 წელს</t>
    </r>
    <r>
      <rPr>
        <sz val="11"/>
        <rFont val="SylfaenARM"/>
      </rPr>
      <t xml:space="preserve"> საცხოვრებლით დაკმაყოფილდება ეკომიგრანტთა მინიმუმ 45-50 ოჯახი;                                             
</t>
    </r>
    <r>
      <rPr>
        <b/>
        <sz val="11"/>
        <rFont val="SylfaenARM"/>
      </rPr>
      <t>* 2020 წელს</t>
    </r>
    <r>
      <rPr>
        <sz val="11"/>
        <rFont val="SylfaenARM"/>
      </rPr>
      <t xml:space="preserve"> საცხოვრებლით დაკმაყოფილდება ეკომიგრანტთა მინიმუმ 45-50 ოჯახი.</t>
    </r>
  </si>
  <si>
    <r>
      <rPr>
        <b/>
        <sz val="11"/>
        <rFont val="SylfaenARM"/>
      </rPr>
      <t>* 2018 წელს</t>
    </r>
    <r>
      <rPr>
        <sz val="11"/>
        <rFont val="SylfaenARM"/>
      </rPr>
      <t xml:space="preserve">  სოფლის ექიმთან ამბულატორიული მიმართვების რაოდენობა  ერთ სულ მოსახლეზე გაიზრდება 1.1-მდე
</t>
    </r>
    <r>
      <rPr>
        <b/>
        <sz val="11"/>
        <rFont val="SylfaenARM"/>
      </rPr>
      <t>* 2019 წელი</t>
    </r>
    <r>
      <rPr>
        <sz val="11"/>
        <rFont val="SylfaenARM"/>
      </rPr>
      <t xml:space="preserve">  სოფლის ექიმთან ამბულატორიული მიმართვების რაოდენობა  ერთ სულ მოსახლეზე გაიზრდება 1.2-მდე
</t>
    </r>
    <r>
      <rPr>
        <b/>
        <sz val="11"/>
        <rFont val="SylfaenARM"/>
      </rPr>
      <t xml:space="preserve">* 2020 წელი </t>
    </r>
    <r>
      <rPr>
        <sz val="11"/>
        <rFont val="SylfaenARM"/>
      </rPr>
      <t xml:space="preserve">სოფლის ექიმთან ამბულატორიული მიმართვების რაოდენობა  ერთ სულ მოსახლეზე გაიზრდება 1.3-მდე </t>
    </r>
  </si>
  <si>
    <r>
      <rPr>
        <b/>
        <sz val="11"/>
        <rFont val="SylfaenARM"/>
      </rPr>
      <t>* 2018 წელს</t>
    </r>
    <r>
      <rPr>
        <sz val="11"/>
        <rFont val="SylfaenARM"/>
      </rPr>
      <t xml:space="preserve"> მუნიციპალიტეტების მართვის სისტემა (მომსახურების სრული პაკეტით) გაეშვება 8 მუნიციპალიტეტში 
</t>
    </r>
    <r>
      <rPr>
        <b/>
        <sz val="11"/>
        <rFont val="SylfaenARM"/>
      </rPr>
      <t>* 2019 წელს</t>
    </r>
    <r>
      <rPr>
        <sz val="11"/>
        <rFont val="SylfaenARM"/>
      </rPr>
      <t xml:space="preserve"> მუნიციპალიტეტების მართვის სისტემა (მომსახურების სრული პაკეტით) გაეშვება 8 მუნიციპალიტეტში
 </t>
    </r>
  </si>
  <si>
    <r>
      <rPr>
        <b/>
        <sz val="11"/>
        <rFont val="SylfaenARM"/>
      </rPr>
      <t>* 2018 წელს</t>
    </r>
    <r>
      <rPr>
        <sz val="11"/>
        <rFont val="SylfaenARM"/>
      </rPr>
      <t xml:space="preserve"> სრული დატვირთვით იფუნქციონირებს დამატებით 10 საზოგადოებრივი ცენტრი 
</t>
    </r>
    <r>
      <rPr>
        <b/>
        <sz val="11"/>
        <rFont val="SylfaenARM"/>
      </rPr>
      <t>* 2019 წელს</t>
    </r>
    <r>
      <rPr>
        <sz val="11"/>
        <rFont val="SylfaenARM"/>
      </rPr>
      <t xml:space="preserve"> სრული დატვირთვით იფუნქციონირებს დამატებით 5 საზოგადოებრივი ცენტრი</t>
    </r>
    <r>
      <rPr>
        <sz val="11"/>
        <color theme="1"/>
        <rFont val="SylfaenARM"/>
      </rPr>
      <t xml:space="preserve">
</t>
    </r>
  </si>
  <si>
    <r>
      <rPr>
        <b/>
        <sz val="11"/>
        <rFont val="SylfaenARM"/>
      </rPr>
      <t>* 2018 წელს</t>
    </r>
    <r>
      <rPr>
        <sz val="11"/>
        <rFont val="SylfaenARM"/>
      </rPr>
      <t xml:space="preserve">  აშენდება და აღიჭურვება 2 იუსტიციის სახლი  (ხონი და მარტვილი);                                               
</t>
    </r>
    <r>
      <rPr>
        <b/>
        <sz val="11"/>
        <rFont val="SylfaenARM"/>
      </rPr>
      <t>* 2019 წელს</t>
    </r>
    <r>
      <rPr>
        <sz val="11"/>
        <rFont val="SylfaenARM"/>
      </rPr>
      <t xml:space="preserve"> აშენდება და აღიჭურვება 2 იუსტიციის სახლი  (ახმეტა და ხაშური);                                                  
</t>
    </r>
    <r>
      <rPr>
        <b/>
        <sz val="11"/>
        <rFont val="SylfaenARM"/>
      </rPr>
      <t>* 2020  წელს</t>
    </r>
    <r>
      <rPr>
        <sz val="11"/>
        <rFont val="SylfaenARM"/>
      </rPr>
      <t xml:space="preserve"> აშენდება და აღიჭურვება  1 იუსტიციის სახლი (ლანჩხუთი).</t>
    </r>
  </si>
  <si>
    <r>
      <t xml:space="preserve">* </t>
    </r>
    <r>
      <rPr>
        <b/>
        <sz val="11"/>
        <rFont val="SylfaenARM"/>
      </rPr>
      <t>ყოველწლიურად</t>
    </r>
    <r>
      <rPr>
        <sz val="11"/>
        <rFont val="SylfaenARM"/>
      </rPr>
      <t xml:space="preserve"> უარყობითი ბუნებრივი მატების რეგიონებში და ასევე მაღალმთიან დასახლებაში მუდმივად მცხოვრები ბავშვები უზრუნველყოფილნი არიან სოციალური  დახმარებით და გაცემა ხდება დროულად </t>
    </r>
  </si>
  <si>
    <t xml:space="preserve">შესაბამისი მუნიციპალიტეტები </t>
  </si>
  <si>
    <r>
      <rPr>
        <b/>
        <sz val="11"/>
        <rFont val="SylfaenARM"/>
      </rPr>
      <t>* 2018 წელს</t>
    </r>
    <r>
      <rPr>
        <sz val="11"/>
        <rFont val="SylfaenARM"/>
      </rPr>
      <t xml:space="preserve"> დამატებით 10 000-მდე აბონენტს   მიეცემა ბუნებრივი აირის ქსელში ჩართვის შესაძლებლობა (სულ - 1 073 000 აბონენტი); 
</t>
    </r>
    <r>
      <rPr>
        <b/>
        <sz val="11"/>
        <rFont val="SylfaenARM"/>
      </rPr>
      <t>* 2019 წელს</t>
    </r>
    <r>
      <rPr>
        <sz val="11"/>
        <rFont val="SylfaenARM"/>
      </rPr>
      <t xml:space="preserve">  დამატებით 9 000-მდე აბონენტს   მიეცემა ბუნებრივი აირის ქსელში ჩართვის შესაძლებლობა - (სულ 1 082 000 აბონენტი); 
</t>
    </r>
    <r>
      <rPr>
        <b/>
        <sz val="11"/>
        <rFont val="SylfaenARM"/>
      </rPr>
      <t>* 2020 წელს</t>
    </r>
    <r>
      <rPr>
        <sz val="11"/>
        <rFont val="SylfaenARM"/>
      </rPr>
      <t xml:space="preserve"> დამატებით 8 000-მდე აბონენტს   მიეცემა ბუნებრივი აირის ქსელში ჩართვის შესაძლებლობა- (სულ 1 090 000 აბონენტი).</t>
    </r>
  </si>
  <si>
    <r>
      <rPr>
        <sz val="11"/>
        <rFont val="Calibri"/>
        <family val="2"/>
        <scheme val="minor"/>
      </rPr>
      <t xml:space="preserve">* </t>
    </r>
    <r>
      <rPr>
        <b/>
        <sz val="11"/>
        <rFont val="Calibri"/>
        <family val="2"/>
        <scheme val="minor"/>
      </rPr>
      <t>ყოველწლიურად</t>
    </r>
    <r>
      <rPr>
        <sz val="11"/>
        <rFont val="Calibri"/>
        <family val="2"/>
        <scheme val="minor"/>
      </rPr>
      <t xml:space="preserve"> კულტურის სამინისტროს დაქვემდებარებაში არსებული, რეგიონებში მდებარე 11 სახელოვნებო  სსიპ  ფინანსდება 11   სხვადასხვა ღონისძიების ორგანიზებისათვის საჭირო თანხით. </t>
    </r>
  </si>
  <si>
    <r>
      <rPr>
        <sz val="11"/>
        <rFont val="SylfaenARM"/>
      </rPr>
      <t xml:space="preserve">* </t>
    </r>
    <r>
      <rPr>
        <b/>
        <sz val="11"/>
        <rFont val="SylfaenARM"/>
      </rPr>
      <t>ყოველწლიურად</t>
    </r>
    <r>
      <rPr>
        <sz val="11"/>
        <rFont val="SylfaenARM"/>
      </rPr>
      <t xml:space="preserve"> რეგიონებში სახელოვნებო განათლების ხელშეწყობა  სამინისტროს დაქვემდებარებაში არსებული 2 სსიპ-ის ფუნქციონირების ყოველწლიური დაფინანსებით </t>
    </r>
  </si>
  <si>
    <r>
      <rPr>
        <sz val="11"/>
        <rFont val="SylfaenARM"/>
      </rPr>
      <t xml:space="preserve">* </t>
    </r>
    <r>
      <rPr>
        <b/>
        <sz val="11"/>
        <rFont val="SylfaenARM"/>
      </rPr>
      <t>ყოველწლიურად</t>
    </r>
    <r>
      <rPr>
        <sz val="11"/>
        <rFont val="SylfaenARM"/>
      </rPr>
      <t xml:space="preserve"> კულტურის სამინისტროს დაქვემდებარებაში არსებული რეგიონებში მდებარე სახელოვნებო 11 სსიპ-ის ფუნქციონირების ყოველწლიური დაფინანსება : პერსონალის (მათ შორის მსახიობებისა და ტექნიკური პერსონალის) ხელფასები და თითოეულ თეატრში 4 პრემიერის სადადგმო ხარჯი. </t>
    </r>
  </si>
  <si>
    <r>
      <t xml:space="preserve">ამოცანა2. </t>
    </r>
    <r>
      <rPr>
        <sz val="11"/>
        <color theme="1"/>
        <rFont val="SylfaenARM"/>
      </rPr>
      <t>სოფლის ეკონომიკის დივერსიფიკაცია სოფლის მეურნეობასთნ დაკავშირებული ღირებულებათა ჯაჭვის გაძლიერებით და მდგრადი არასასოფლო-სამეურნეო მიმართულებების განვითარების საშუალებით</t>
    </r>
  </si>
  <si>
    <r>
      <rPr>
        <b/>
        <sz val="11"/>
        <color theme="1"/>
        <rFont val="SylfaenARM"/>
      </rPr>
      <t>* 2018 წელს</t>
    </r>
    <r>
      <rPr>
        <sz val="11"/>
        <color theme="1"/>
        <rFont val="SylfaenARM"/>
      </rPr>
      <t xml:space="preserve"> რეგულარულ სარწყავში გადასაყვანი მიწის ფართობი  გაიზრდება 11.5  ათასი  ჰექტარით. არსებულ რეგულარულ სარწყავ  ფართობზე წყლის მიწოდება გაუმჯობესდება 2.6  ათას  ჰა-ზე. წყლით უზრუნველყოფა გაუმჯობესდება 5.0 ათას ჰა-ზე  
  </t>
    </r>
    <r>
      <rPr>
        <b/>
        <sz val="11"/>
        <color theme="1"/>
        <rFont val="SylfaenARM"/>
      </rPr>
      <t xml:space="preserve">                    
* 2019 წელს </t>
    </r>
    <r>
      <rPr>
        <sz val="11"/>
        <color theme="1"/>
        <rFont val="SylfaenARM"/>
      </rPr>
      <t xml:space="preserve">რეგულარულ სარწყავში გადასაყვანი მიწის ფართობი  გაიზრდება 3.3  ათასი  ჰექტარით. არსებულ რეგულარულ სარწყავ ფართობზე წყლის მიწოდება გაუმჯობესდება 3.0  ათას  ჰა-ზე. სარწყავი მიწების მელიორაციული წყლით უზრუნველყოფა გაუმჯობესდება 17.3 ათას ჰა-ზე.    განხორციელდება 3,0 ათასი ჰა მიწის ფართობების დაშრობა                          </t>
    </r>
    <r>
      <rPr>
        <b/>
        <sz val="11"/>
        <color theme="1"/>
        <rFont val="SylfaenARM"/>
      </rPr>
      <t xml:space="preserve">                     
* 2020 წელს </t>
    </r>
    <r>
      <rPr>
        <sz val="11"/>
        <color theme="1"/>
        <rFont val="SylfaenARM"/>
      </rPr>
      <t>რეგულარულ სარწყავში გადასაყვანი მიწის ფართობი გაიზრდება 9.6  ათასი  ჰექტარით. არსებულ რეგულარულ სარწყავ ფართობზე წყლის მიწოდება გაუმჯობესდება 0.2   ათას  ჰა-ზე. წყლით უზრუნველყოფა გაუმჯობესდება 5.8 ათასი ჰა-ზე. მიწის ფართობების დაშრობა განხორციელდება 2.3 ათას ჰა-ზე. მიწის  ფართობებიდან ჭარბი წყლის მოცილება განხორციელდება 6,9 ათასი ჰა-ზე</t>
    </r>
  </si>
  <si>
    <r>
      <rPr>
        <b/>
        <sz val="11"/>
        <rFont val="SylfaenARM"/>
      </rPr>
      <t>* 2018 წელს</t>
    </r>
    <r>
      <rPr>
        <sz val="11"/>
        <rFont val="SylfaenARM"/>
      </rPr>
      <t xml:space="preserve"> სხვადასხვა ტიპის ახალგაზრდულ აქტივობებში ჩაერთვება 10 000 ახალგაზრდა                  
</t>
    </r>
    <r>
      <rPr>
        <b/>
        <sz val="11"/>
        <rFont val="SylfaenARM"/>
      </rPr>
      <t>* 2019 წელს</t>
    </r>
    <r>
      <rPr>
        <sz val="11"/>
        <rFont val="SylfaenARM"/>
      </rPr>
      <t xml:space="preserve"> სხვადასხვა ტიპის ახალგაზრდულ აქტივობებში ჩაერთვება 12 000 ახალგაზრდა          
</t>
    </r>
    <r>
      <rPr>
        <b/>
        <sz val="11"/>
        <rFont val="SylfaenARM"/>
      </rPr>
      <t>* 2020 წელს</t>
    </r>
    <r>
      <rPr>
        <sz val="11"/>
        <rFont val="SylfaenARM"/>
      </rPr>
      <t xml:space="preserve"> სხვადასხვა ტიპის ახალგაზრდულ აქტივობებში ჩაერთვება 14 000 ახალგაზრდა            </t>
    </r>
  </si>
  <si>
    <r>
      <rPr>
        <b/>
        <sz val="11"/>
        <rFont val="SylfaenARM"/>
      </rPr>
      <t>* 2018 წელს</t>
    </r>
    <r>
      <rPr>
        <sz val="11"/>
        <rFont val="SylfaenARM"/>
      </rPr>
      <t xml:space="preserve"> შემეცნებით-რეკრეაციულ ბანაკებში საქართველოს რეგიონებიდან მონაწილეობას მიიღებს 2500 ბენეფიციარი                                                                
</t>
    </r>
    <r>
      <rPr>
        <b/>
        <sz val="11"/>
        <rFont val="SylfaenARM"/>
      </rPr>
      <t xml:space="preserve">* 2019 წელს </t>
    </r>
    <r>
      <rPr>
        <sz val="11"/>
        <rFont val="SylfaenARM"/>
      </rPr>
      <t xml:space="preserve">შემეცნებით-რეკრეაციულ ბანაკებში საქართველოს რეგიონებიდან მონაწილეობას მიიღებს  3000 ბენეფიციარი                                                            
</t>
    </r>
    <r>
      <rPr>
        <b/>
        <sz val="11"/>
        <rFont val="SylfaenARM"/>
      </rPr>
      <t>* 2020 წელს</t>
    </r>
    <r>
      <rPr>
        <sz val="11"/>
        <rFont val="SylfaenARM"/>
      </rPr>
      <t xml:space="preserve"> შემეცნებით-რეკრეაციულ ბანაკებში საქართველოს რეგიონებიდან მონაწილეობას მიიღებს  3000 ბენეფიციარი</t>
    </r>
    <r>
      <rPr>
        <sz val="11"/>
        <color rgb="FFFF0000"/>
        <rFont val="SylfaenARM"/>
      </rPr>
      <t xml:space="preserve">
</t>
    </r>
  </si>
  <si>
    <r>
      <rPr>
        <b/>
        <sz val="11"/>
        <rFont val="SylfaenARM"/>
      </rPr>
      <t>* ყოველწლიურად</t>
    </r>
    <r>
      <rPr>
        <sz val="11"/>
        <rFont val="SylfaenARM"/>
      </rPr>
      <t xml:space="preserve">  ნოტარიუსთა პალატა უზრუნველყოფს იმ დასახლებებში (მათ შორის მაღალმთიან დასახლებებში) განთავსებული ყველა სანოტარო ბიუროების ფუნქციონირების ხელშეწყობას,  სადაც მანამდე არ იყო სანოტარო მომსახურება ხელმისაწვდომი</t>
    </r>
    <r>
      <rPr>
        <sz val="11"/>
        <color rgb="FFC00000"/>
        <rFont val="SylfaenARM"/>
      </rPr>
      <t xml:space="preserve">
</t>
    </r>
  </si>
  <si>
    <r>
      <rPr>
        <b/>
        <sz val="11"/>
        <rFont val="SylfaenARM"/>
      </rPr>
      <t xml:space="preserve">* 2018 წელს </t>
    </r>
    <r>
      <rPr>
        <sz val="11"/>
        <rFont val="SylfaenARM"/>
      </rPr>
      <t>სამცხე-ჯავახეთის რეგიონში აშენდება და აღიჭურვება 1 არქივი (ახალციხე); ცენტრალიზაციას დაექვემდებარება 1 არქივი (ახალქალაქი).</t>
    </r>
    <r>
      <rPr>
        <b/>
        <sz val="11"/>
        <rFont val="SylfaenARM"/>
      </rPr>
      <t xml:space="preserve">
* 2019 წელს </t>
    </r>
    <r>
      <rPr>
        <sz val="11"/>
        <rFont val="SylfaenARM"/>
      </rPr>
      <t>შიდა ქართლის რეგიონში დასრულდება 1 არქივის მშენებლობა და აღჭურვა (გორი); ცენტრალიზაციას დაექვემდებარება 2 არქივი (კასპი, ხაშური).</t>
    </r>
  </si>
  <si>
    <r>
      <rPr>
        <b/>
        <sz val="11"/>
        <rFont val="SylfaenARM"/>
      </rPr>
      <t>* 2018 წელს</t>
    </r>
    <r>
      <rPr>
        <sz val="11"/>
        <rFont val="SylfaenARM"/>
      </rPr>
      <t xml:space="preserve"> განხორციელდება 6 კოოპერატივის საწარმოო დანადგარებით აღჭურვა</t>
    </r>
  </si>
  <si>
    <r>
      <rPr>
        <b/>
        <sz val="11"/>
        <color theme="1"/>
        <rFont val="SylfaenARM"/>
      </rPr>
      <t>* 2018 წელს</t>
    </r>
    <r>
      <rPr>
        <sz val="11"/>
        <color theme="1"/>
        <rFont val="SylfaenARM"/>
      </rPr>
      <t xml:space="preserve"> დასრულდება 8 გადამამუშავებელი საწარმოს და 8 შემნახველი საწარმოს შექმნა (ჯამური ტევადობით 6 000-7 000 ტონა). არანაკლებ 12 საწარმოში დაინერგება HACCP/ISO 22000 სტანდარტები. 2018 წლის ბოლოს პროექტის ფარგლებში ჯამურად მოქმედი იქნება 41 საწარმო. საწარმოებში დასაქმდება (სეზონურის ჩათვლით) 1 600-ზე მეტი ადამიანი.</t>
    </r>
  </si>
  <si>
    <r>
      <rPr>
        <b/>
        <sz val="11"/>
        <color theme="1"/>
        <rFont val="SylfaenARM"/>
      </rPr>
      <t>* 2018 წელს</t>
    </r>
    <r>
      <rPr>
        <sz val="11"/>
        <color theme="1"/>
        <rFont val="SylfaenARM"/>
      </rPr>
      <t xml:space="preserve"> გაიცემა: ა)  ინტერნეტში ჩართვის 10 000 ვაუჩერი ფიზიკური პირებისთვის ბ) კომპიუტერის თანადაფინანსებისთვის 8 000 ვაუჩერი ფიზიკური პირებისთვის გ)  ინტერნეტში ჩართვის 1 000 ვაუჩერი მეწარმეებისთვის დ) კომპიუტერის თანადაფინანსებისთვის 500 ვაუჩერი მეწარმეებისთვის.
* </t>
    </r>
    <r>
      <rPr>
        <b/>
        <sz val="11"/>
        <color theme="1"/>
        <rFont val="SylfaenARM"/>
      </rPr>
      <t>2019 წელს</t>
    </r>
    <r>
      <rPr>
        <sz val="11"/>
        <color theme="1"/>
        <rFont val="SylfaenARM"/>
      </rPr>
      <t xml:space="preserve"> გაიცემა: ა) ინტერნეტში ჩართვის 10 000 ვაუჩერი ფიზიკური პირებისთვის, ბ) კომპიუტერის თანადაფინანსების 8 000 ვაუჩერი ფიზიკური პირებისთვის, გ)  ინტერნეტში ჩართვის 800 ვაუჩერი მეწარმეებისთვის, დ) კომპიუტერის თანადაფინანსების  500 ვაუჩერი მეწარმეებისთვის.
</t>
    </r>
    <r>
      <rPr>
        <b/>
        <sz val="11"/>
        <color theme="1"/>
        <rFont val="SylfaenARM"/>
      </rPr>
      <t>* 2020 წელს</t>
    </r>
    <r>
      <rPr>
        <sz val="11"/>
        <color theme="1"/>
        <rFont val="SylfaenARM"/>
      </rPr>
      <t xml:space="preserve"> გაიცემა: ა) ინტერნეტში ჩართვის 10 000 ვაუჩერი ფიზიკური პირებისთვის, ბ) კომპიუტერის თანადაფინანსების 8 000 ვაუჩერი ფიზიკური პირებისთვის, გ)  ინტერნეტში ჩართვის 800 ვაუჩერი მეწარმეებისთვის, დ) კომპიუტერის თანადაფინანსების  500 ვაუჩერი მეწარმეებისთვის.
</t>
    </r>
  </si>
  <si>
    <r>
      <rPr>
        <b/>
        <sz val="11"/>
        <rFont val="SylfaenARM"/>
      </rPr>
      <t>* 2018 წელს</t>
    </r>
    <r>
      <rPr>
        <sz val="11"/>
        <rFont val="SylfaenARM"/>
      </rPr>
      <t xml:space="preserve"> სახელმწიფო ენის სწავლების პროგრამით ისარგებლებს 3300 ეროვნული უმცირესობის წარმომადგენელი; საჯარო მმართველობისა და ადმინისტრირების პროგრამის ფარგლებში გადამზადდება 300 პოტენციური მსმენელი.
</t>
    </r>
    <r>
      <rPr>
        <b/>
        <sz val="11"/>
        <rFont val="SylfaenARM"/>
      </rPr>
      <t>* 2019 წელს</t>
    </r>
    <r>
      <rPr>
        <sz val="11"/>
        <rFont val="SylfaenARM"/>
      </rPr>
      <t xml:space="preserve"> სახელმწიფო ენის სწავლების პროგრამით ისარგებლებს 3400 ეროვნული უმცირესობის წარმომადგენელი; საჯარო მმართველობისა და ადმინისტრირების პროგრამის ფარგლებში გადამზადდება  350 პოტენციური მსმენელი.
</t>
    </r>
    <r>
      <rPr>
        <b/>
        <sz val="11"/>
        <rFont val="SylfaenARM"/>
      </rPr>
      <t>* 2020 წელს</t>
    </r>
    <r>
      <rPr>
        <sz val="11"/>
        <rFont val="SylfaenARM"/>
      </rPr>
      <t xml:space="preserve"> სახელმწიფო ენის სწავლების პროგრამით ისარგებლებს 3500 ეროვნული უმცირესობის წარმომადგენელი;  საჯარო მმართველობისა და ადმინისტრირების პროგრამის ფარგლებში გადამზადდება 400 პოტენციური მსმენელი</t>
    </r>
  </si>
  <si>
    <r>
      <rPr>
        <b/>
        <sz val="11"/>
        <rFont val="SylfaenARM"/>
      </rPr>
      <t>*ყოველწლიურად</t>
    </r>
    <r>
      <rPr>
        <sz val="11"/>
        <rFont val="SylfaenARM"/>
      </rPr>
      <t xml:space="preserve"> არაქართულენოვან ზოგადსაგანმანათლებლო სკოლების 90%-ში  წარმოდგენილი იქნება ქართულის, როგორც მეორე ენის კონსულტანტ-მასწავლებელი და დამხმარე მასწავლებელი. 
* ყოველწლიურად ამავე სკოლების ადგილობრივი მასწავლებლების 20% გაიუმჯობესებს კომპეტენციებს სახელმწიფო ენის და პროფესიული უნარების მიმართულებით.
</t>
    </r>
    <r>
      <rPr>
        <sz val="11"/>
        <color rgb="FFFF0000"/>
        <rFont val="SylfaenARM"/>
      </rPr>
      <t xml:space="preserve">
</t>
    </r>
  </si>
  <si>
    <r>
      <t xml:space="preserve">* </t>
    </r>
    <r>
      <rPr>
        <b/>
        <sz val="11"/>
        <color theme="1"/>
        <rFont val="SylfaenARM"/>
      </rPr>
      <t>ყოველწლიურად</t>
    </r>
    <r>
      <rPr>
        <sz val="11"/>
        <color theme="1"/>
        <rFont val="SylfaenARM"/>
      </rPr>
      <t xml:space="preserve"> განხორციელდება გალის რაიონისა და 2008 წლის აგვისტოს მოვლენებამდე ახალგორის რაიონის ფუნქციონირებადი სკოლების პედაგოგებისა და ადმინისტრაციულ-ტექნიკური პერსონალის ფინანსური დახმარებით უზრუნველყოფა.
</t>
    </r>
  </si>
  <si>
    <r>
      <rPr>
        <b/>
        <sz val="11"/>
        <rFont val="SylfaenARM"/>
      </rPr>
      <t>* ყოველწლიურად</t>
    </r>
    <r>
      <rPr>
        <sz val="11"/>
        <rFont val="SylfaenARM"/>
      </rPr>
      <t xml:space="preserve"> კომპიუტერულ წიგნიერებაში გადამზადდება და ინოვაციურ კონკურსში მონაწილეობას მიიღებს  11 000 ბენეფიციარი
</t>
    </r>
  </si>
  <si>
    <r>
      <rPr>
        <b/>
        <sz val="11"/>
        <rFont val="SylfaenARM"/>
      </rPr>
      <t>* ყოველწლიურად</t>
    </r>
    <r>
      <rPr>
        <sz val="11"/>
        <rFont val="SylfaenARM"/>
      </rPr>
      <t xml:space="preserve"> ინოვაციების განვითარებისა და პოპულარიზაციის მიზნით  რეგიონებში ჩატარდება 100-მდე  კონკურსი, ოლიმპიადა, გამოფენა, კონფერენცია.</t>
    </r>
  </si>
  <si>
    <r>
      <rPr>
        <b/>
        <sz val="11"/>
        <rFont val="SylfaenARM"/>
      </rPr>
      <t>* ყოველწლიურად</t>
    </r>
    <r>
      <rPr>
        <sz val="11"/>
        <rFont val="SylfaenARM"/>
      </rPr>
      <t xml:space="preserve"> ელექტრონულ კომერციის ტრენინგების, ტექნიკური ხასიათის კონსულტაციების, ქოუჩინგის,  გამოფენების, ინოვაციების აქსელერაციის პროგრამის ფარგლებში გადამზადდება 1,000 ბენეფიციარი </t>
    </r>
  </si>
  <si>
    <r>
      <rPr>
        <sz val="11"/>
        <rFont val="SylfaenARM"/>
      </rPr>
      <t>2.1.1. ეროვნული ინოვაციების ეკოსისტემის ფორმირება და განვითარება (IBRD)</t>
    </r>
    <r>
      <rPr>
        <sz val="11"/>
        <color rgb="FFFF0000"/>
        <rFont val="SylfaenARM"/>
      </rPr>
      <t xml:space="preserve"> </t>
    </r>
  </si>
  <si>
    <t>2.1.2 პროფესიული განათლების მასწავლებელთა პროფესიული განვითარება</t>
  </si>
  <si>
    <t>2.1.3 პროფესიული განათლების მართვის სფეროში ეროვნული და რეგიონული პროგრამებისა და პროექტების კოორდინაცია</t>
  </si>
  <si>
    <t xml:space="preserve">2.1.4 ეროვნული უმცირესობების პროფესიული გადამზადება </t>
  </si>
  <si>
    <t>2.1.5 არაქართულენოვანი სკოლების მასწავლებლების პროფესიული განვითარების ხელშეწყობა და ქართული ენის ცოდნის გაუმჯობესება;</t>
  </si>
  <si>
    <t>2.1.6 ოკუპირებული რეგიონების პედაგოგებისა და ადმინისტრაციულ-ტექნიკური პერსონალის ფინანსური დახმარება</t>
  </si>
  <si>
    <t>2.1.7 სამუშაოს მაძიებელთა პროფესიული მომზადება-გადამზადებისა და კვალიფიკაციის ამაღლება</t>
  </si>
  <si>
    <t>2.1.8 ახალგაზრდული პოლიტიკის განვითარება</t>
  </si>
  <si>
    <t>2.1.9 ანაკლიის „მომავლის ბანაკი“ და „შაორის ბანაკი“</t>
  </si>
  <si>
    <t>2.1.10 ხელოვნების 
განვითარების
 ღონისძიებები</t>
  </si>
  <si>
    <t>2.1.11 სახელოვნებო განათლების ხელშეწყობა</t>
  </si>
  <si>
    <t>2.2.1 ზოგადსაგანმანათლებლო დაწესებულებების ინფრასტრუქტურის განვითარება</t>
  </si>
  <si>
    <t>2.2.2 პროფესიული საგანანმანათლებლო დაწესებულებების ინფრასტრუქტურის განვითარება</t>
  </si>
  <si>
    <t>2.2.3 საჯარო სკოლის მოსწავლეების ტრანსპორტით უზრუნველყოფა</t>
  </si>
  <si>
    <t>2.2.4 საგანმანათლებლო დაწესებულებების ინფორმაციულ - საკომუნიკაციო ტექნოლოგიებით უზრუნველყოფა</t>
  </si>
  <si>
    <t>2.2.5 მოსწავლეთათვის ფსიქო-სოციალური მომსახურების უზრუნველყოფა;</t>
  </si>
  <si>
    <t>2.2.6 დავისვენოთ და ვისწავლოთ ერთად</t>
  </si>
  <si>
    <t>2.2.7 ოკუპირებული აფხაზეთის ტერიტორიაზე მცხოვრები მოსწავლეებისათვის საქართველოს კანონმდებლობით გათვალისწინებული სრული ზოგადი განათლების მიღების შესაძლებლობის გაზრდა, ერთიან ეროვნულ გამოცდებზე მათი კონკურენტუნარიანობის ამაღლების ხელშეწყობა;</t>
  </si>
  <si>
    <t>2.2.8 მოსახლეობის ელექტროენერგიითა და ბუნებრივი აირით მომარაგების გაუმჯობესება</t>
  </si>
  <si>
    <t xml:space="preserve">2.2.9 მაღალმთიანი სოფლების მცხოვრებთა ხელმისაწვდომობის ზრდა  ბუნებრივი აირის მოხმარებაზე
</t>
  </si>
  <si>
    <t>2.2.10  საქართველოს რეგიონებში გარე სავარჯიშო მოწყობილობების  მონტაჟი</t>
  </si>
  <si>
    <t>2.2.11 სპორტის ინფრასტრუქტურის განვითარება</t>
  </si>
  <si>
    <t xml:space="preserve">2.2.12 მაღალმთიან დასახლებებში სპორტის სფეროში დასაქმებული მწვრთნელებისთვის ფინანსური დახმარება </t>
  </si>
  <si>
    <t xml:space="preserve">2.2.13 სოფლად საგზაო ინფრასტრუქტურის გაუმჯობესება </t>
  </si>
  <si>
    <t xml:space="preserve">2.2.14 სოფლად სკოლამდელი აღზრდის ხელშეწყობა </t>
  </si>
  <si>
    <t xml:space="preserve">2.2.15 სოფლად სპორტული და კულტურის ობიექტების მშენებლობა-რეაბილიტაცია </t>
  </si>
  <si>
    <t>2.2.16 სოფლად  წყალმოვარდნების, წყალდიდობებით გამოწვეული უარყოფითი შედეგების პრევენცია და ლიკვიდაცია</t>
  </si>
  <si>
    <t>2.2.17 სოფლად წყალმომარაგების სისტემის რეაბილიტაცია</t>
  </si>
  <si>
    <t>2.2.18 სოფლად გარე განათების მოწყობა</t>
  </si>
  <si>
    <t>ამოცანა 1. 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</si>
  <si>
    <r>
      <t xml:space="preserve">ამოცანა 2: </t>
    </r>
    <r>
      <rPr>
        <sz val="11"/>
        <color rgb="FF000000"/>
        <rFont val="SylfaenARM"/>
      </rPr>
      <t>ინფრასტრუქტურა და სერვისები. სოფლის ძირითადი ინფრასტრუქტურის
(მათ შორის კულტურული მემკვიდრეობების ძეგლებამდე მიმავალი გზებისა და
შესაბამისი ინფრასტრუქტურის) გაუმჯობესება და ხარისხიანი სახელმწიფო სერვისებით
სარგებლობის ხელმისაწვდომობა, საინფორმაციო და საკომუნიკაციო ტექნოლოგიების
ჩათვლით.</t>
    </r>
  </si>
  <si>
    <r>
      <rPr>
        <b/>
        <sz val="11"/>
        <color theme="1"/>
        <rFont val="SylfaenARM"/>
      </rPr>
      <t xml:space="preserve">ამოცანა 3. </t>
    </r>
    <r>
      <rPr>
        <sz val="11"/>
        <color theme="1"/>
        <rFont val="SylfaenARM"/>
      </rPr>
      <t>კლიმატის ცვლილება. კლიმატის ცვლილებით გამოწვეული შესაძლო ნეგატიური გავლენის შერბილების ღონისძიებების განხორციელება. რისკების შეფასება</t>
    </r>
  </si>
  <si>
    <r>
      <t xml:space="preserve">* რეგიონებში მდებარე კულტურული მემკვიდრეობის რეაბილიტირებული  და რეაბილიტაციის პროცესში მყოფი ძეგლების </t>
    </r>
    <r>
      <rPr>
        <b/>
        <sz val="11"/>
        <rFont val="SylfaenARM"/>
      </rPr>
      <t>ყოველწლიური</t>
    </r>
    <r>
      <rPr>
        <sz val="11"/>
        <rFont val="SylfaenARM"/>
      </rPr>
      <t xml:space="preserve"> მაჩვენებელი 40-მდე.
</t>
    </r>
  </si>
  <si>
    <r>
      <rPr>
        <b/>
        <sz val="11"/>
        <rFont val="SylfaenARM"/>
      </rPr>
      <t>* 2018 წელს</t>
    </r>
    <r>
      <rPr>
        <sz val="11"/>
        <rFont val="SylfaenARM"/>
      </rPr>
      <t xml:space="preserve"> ჩატარდება ტრენინგები "მეწარმეობის უნარების განვითარება" პილოტირება:  პილოტირებაში მონაწილეობას მიიღებს საჯარო პროფესიული სასწავლებლების მინიმუმ 50  მასწავლებელი და 5  დირექტორი;</t>
    </r>
    <r>
      <rPr>
        <b/>
        <sz val="11"/>
        <rFont val="SylfaenARM"/>
      </rPr>
      <t xml:space="preserve">
* 2019 წელს  </t>
    </r>
    <r>
      <rPr>
        <sz val="11"/>
        <rFont val="SylfaenARM"/>
      </rPr>
      <t>"მეწარმეობის უნარების განვითარება"- ში  დატრეინინგდება საჯარო პროფესიული სასწავლებლების მასწავლებლების მინიმუმ 10%-ი და დირექტორეების 30%-ი</t>
    </r>
    <r>
      <rPr>
        <b/>
        <sz val="11"/>
        <rFont val="SylfaenARM"/>
      </rPr>
      <t xml:space="preserve">
* 2020 წელს </t>
    </r>
    <r>
      <rPr>
        <sz val="11"/>
        <rFont val="SylfaenARM"/>
      </rPr>
      <t xml:space="preserve">"მეწარმეობის უნარების განვითარება" -ში  დატრეინინგდება პროფესიული სასწავლებლების მასწავლებლების 30% და დირექტორების 50%. </t>
    </r>
    <r>
      <rPr>
        <sz val="11"/>
        <color rgb="FFFF0000"/>
        <rFont val="SylfaenARM"/>
      </rPr>
      <t xml:space="preserve">
</t>
    </r>
  </si>
  <si>
    <r>
      <t xml:space="preserve">* </t>
    </r>
    <r>
      <rPr>
        <b/>
        <sz val="11"/>
        <color theme="1"/>
        <rFont val="SylfaenARM"/>
      </rPr>
      <t>ყოველწლიურად</t>
    </r>
    <r>
      <rPr>
        <sz val="11"/>
        <color theme="1"/>
        <rFont val="SylfaenARM"/>
      </rPr>
      <t xml:space="preserve"> გადამზადდება გალის რაიონის არანაკლებ 46 პედაგოგი, რომლებიც მოამზადებენ  აბიტურიენტებს ეროვნული გამოცდებისთვის. 
</t>
    </r>
  </si>
  <si>
    <r>
      <t xml:space="preserve">* </t>
    </r>
    <r>
      <rPr>
        <b/>
        <sz val="11"/>
        <color rgb="FF000000"/>
        <rFont val="SylfaenARM"/>
      </rPr>
      <t>ყოველწლიურად,</t>
    </r>
    <r>
      <rPr>
        <sz val="11"/>
        <color rgb="FF000000"/>
        <rFont val="SylfaenARM"/>
      </rPr>
      <t xml:space="preserve"> წინა წელთან შედარებით 10%-ით გაიზრდება დასახლებული პუნქტების გეოლოგიური მონიტორინგის არეალები</t>
    </r>
  </si>
  <si>
    <t>საქართველოს კულტურისა და ძეგლთა
 დაცვის სამინისტრო</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</si>
</sst>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_(* #,##0.0_);_(* \(#,##0.0\);_(* &quot;-&quot;??_);_(@_)"/>
    <numFmt numFmtId="167" formatCode="_(* #,##0_);_(* \(#,##0\);_(* &quot;-&quot;??_);_(@_)"/>
    <numFmt numFmtId="168" formatCode="#,##0.0_);\(#,##0.0\)"/>
  </numFmts>
  <fonts count="25">
    <font>
      <sz val="11"/>
      <color theme="1"/>
      <name val="Calibri"/>
      <family val="2"/>
      <scheme val="minor"/>
    </font>
    <font>
      <sz val="12"/>
      <color theme="1"/>
      <name val="Calibri"/>
      <family val="2"/>
      <scheme val="minor"/>
    </font>
    <font>
      <sz val="11"/>
      <color theme="1"/>
      <name val="SylfaenARM"/>
    </font>
    <font>
      <u/>
      <sz val="11"/>
      <color theme="10"/>
      <name val="Calibri"/>
      <family val="2"/>
      <scheme val="minor"/>
    </font>
    <font>
      <u/>
      <sz val="11"/>
      <color theme="11"/>
      <name val="Calibri"/>
      <family val="2"/>
      <scheme val="minor"/>
    </font>
    <font>
      <sz val="8"/>
      <name val="Calibri"/>
      <family val="2"/>
      <scheme val="minor"/>
    </font>
    <font>
      <b/>
      <sz val="11"/>
      <color theme="1"/>
      <name val="SylfaenARM"/>
    </font>
    <font>
      <sz val="11"/>
      <color rgb="FFFF0000"/>
      <name val="SylfaenARM"/>
    </font>
    <font>
      <b/>
      <sz val="11"/>
      <color rgb="FFFF0000"/>
      <name val="SylfaenARM"/>
    </font>
    <font>
      <sz val="11"/>
      <color theme="1"/>
      <name val="Calibri"/>
      <family val="2"/>
      <scheme val="minor"/>
    </font>
    <font>
      <b/>
      <sz val="11"/>
      <color rgb="FF000000"/>
      <name val="SylfaenARM"/>
    </font>
    <font>
      <sz val="11"/>
      <color rgb="FF000000"/>
      <name val="SylfaenARM"/>
    </font>
    <font>
      <b/>
      <sz val="11"/>
      <color rgb="FFEEECE1"/>
      <name val="SylfaenARM"/>
    </font>
    <font>
      <b/>
      <sz val="11"/>
      <color theme="1" tint="0.249977111117893"/>
      <name val="SylfaenARM"/>
    </font>
    <font>
      <sz val="11"/>
      <name val="SylfaenARM"/>
    </font>
    <font>
      <sz val="11"/>
      <color rgb="FF000000"/>
      <name val="Calibri"/>
      <family val="2"/>
    </font>
    <font>
      <b/>
      <sz val="11"/>
      <name val="SylfaenARM"/>
    </font>
    <font>
      <b/>
      <sz val="10"/>
      <color rgb="FFFF0000"/>
      <name val="SylfaenARM"/>
    </font>
    <font>
      <sz val="13"/>
      <color theme="0"/>
      <name val="SylfaenARM"/>
    </font>
    <font>
      <sz val="8"/>
      <color theme="1"/>
      <name val="Calibri"/>
      <family val="2"/>
      <scheme val="minor"/>
    </font>
    <font>
      <sz val="11"/>
      <color rgb="FFC00000"/>
      <name val="SylfaenARM"/>
    </font>
    <font>
      <sz val="12"/>
      <name val="Calibri"/>
      <family val="2"/>
      <scheme val="minor"/>
    </font>
    <font>
      <sz val="11"/>
      <color theme="4"/>
      <name val="SylfaenARM"/>
    </font>
    <font>
      <sz val="11"/>
      <name val="Calibri"/>
      <family val="2"/>
      <scheme val="minor"/>
    </font>
    <font>
      <b/>
      <sz val="11"/>
      <name val="Calibri"/>
      <family val="2"/>
      <scheme val="minor"/>
    </font>
  </fonts>
  <fills count="9">
    <fill>
      <patternFill patternType="none"/>
    </fill>
    <fill>
      <patternFill patternType="gray125"/>
    </fill>
    <fill>
      <patternFill patternType="solid">
        <fgColor rgb="FF1F497D"/>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rgb="FFFFFFFF"/>
      </patternFill>
    </fill>
    <fill>
      <patternFill patternType="solid">
        <fgColor rgb="FFFF0000"/>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hair">
        <color auto="1"/>
      </left>
      <right style="hair">
        <color auto="1"/>
      </right>
      <top style="hair">
        <color auto="1"/>
      </top>
      <bottom style="hair">
        <color auto="1"/>
      </bottom>
      <diagonal/>
    </border>
    <border>
      <left/>
      <right style="thin">
        <color rgb="FF000000"/>
      </right>
      <top/>
      <bottom style="thin">
        <color rgb="FF000000"/>
      </bottom>
      <diagonal/>
    </border>
  </borders>
  <cellStyleXfs count="2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3" fontId="9"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92">
    <xf numFmtId="0" fontId="0" fillId="0" borderId="0" xfId="0"/>
    <xf numFmtId="0" fontId="2" fillId="0" borderId="0" xfId="0" applyFont="1"/>
    <xf numFmtId="164" fontId="14" fillId="0" borderId="1" xfId="0" applyNumberFormat="1" applyFont="1" applyFill="1" applyBorder="1" applyAlignment="1">
      <alignment horizontal="center" vertical="top"/>
    </xf>
    <xf numFmtId="3" fontId="14" fillId="0" borderId="1" xfId="0" applyNumberFormat="1" applyFont="1" applyFill="1" applyBorder="1" applyAlignment="1">
      <alignment horizontal="center" vertical="center"/>
    </xf>
    <xf numFmtId="0" fontId="2" fillId="0" borderId="0" xfId="0" applyFont="1" applyAlignment="1">
      <alignment wrapText="1"/>
    </xf>
    <xf numFmtId="0" fontId="2" fillId="0" borderId="1" xfId="0" applyFont="1" applyBorder="1" applyAlignment="1">
      <alignment vertical="top" wrapText="1"/>
    </xf>
    <xf numFmtId="0" fontId="2" fillId="5" borderId="10" xfId="0" applyFont="1" applyFill="1" applyBorder="1" applyAlignment="1">
      <alignment horizontal="left" vertical="top" wrapText="1"/>
    </xf>
    <xf numFmtId="0" fontId="2" fillId="5" borderId="0" xfId="0" applyFont="1" applyFill="1"/>
    <xf numFmtId="0" fontId="2" fillId="5" borderId="10" xfId="0" applyFont="1" applyFill="1" applyBorder="1" applyAlignment="1">
      <alignment horizontal="center" vertical="top"/>
    </xf>
    <xf numFmtId="0" fontId="6" fillId="5" borderId="0" xfId="0" applyFont="1" applyFill="1" applyAlignment="1">
      <alignment horizontal="center" vertical="top"/>
    </xf>
    <xf numFmtId="164" fontId="2" fillId="0" borderId="0" xfId="0" applyNumberFormat="1" applyFont="1"/>
    <xf numFmtId="0" fontId="2" fillId="0" borderId="0" xfId="0" applyFont="1" applyFill="1"/>
    <xf numFmtId="164" fontId="14" fillId="0" borderId="5" xfId="0" applyNumberFormat="1" applyFont="1" applyFill="1" applyBorder="1" applyAlignment="1">
      <alignment horizontal="center" vertical="top"/>
    </xf>
    <xf numFmtId="0" fontId="8" fillId="5" borderId="1" xfId="0" applyFont="1" applyFill="1" applyBorder="1" applyAlignment="1">
      <alignment vertical="top" wrapText="1"/>
    </xf>
    <xf numFmtId="0" fontId="2" fillId="0" borderId="5" xfId="0" applyFont="1" applyBorder="1" applyAlignment="1">
      <alignment vertical="top" wrapText="1"/>
    </xf>
    <xf numFmtId="0" fontId="11" fillId="0" borderId="1" xfId="56" applyFont="1" applyBorder="1" applyAlignment="1">
      <alignment vertical="top" wrapText="1"/>
    </xf>
    <xf numFmtId="0" fontId="6" fillId="0" borderId="1" xfId="0" applyFont="1" applyBorder="1" applyAlignment="1">
      <alignment horizontal="center" vertical="top"/>
    </xf>
    <xf numFmtId="0" fontId="2" fillId="0" borderId="0" xfId="0" applyFont="1" applyFill="1" applyBorder="1"/>
    <xf numFmtId="165" fontId="2" fillId="0" borderId="0" xfId="0" applyNumberFormat="1" applyFont="1" applyFill="1"/>
    <xf numFmtId="0" fontId="2" fillId="0" borderId="1" xfId="0" applyFont="1" applyFill="1" applyBorder="1" applyAlignment="1">
      <alignment horizontal="left" vertical="top" wrapText="1"/>
    </xf>
    <xf numFmtId="0" fontId="2" fillId="0" borderId="1" xfId="0" applyFont="1" applyBorder="1" applyAlignment="1">
      <alignment horizontal="center" vertical="top"/>
    </xf>
    <xf numFmtId="0" fontId="6" fillId="0" borderId="0" xfId="0" applyFont="1" applyBorder="1" applyAlignment="1">
      <alignment horizontal="center" vertical="top"/>
    </xf>
    <xf numFmtId="164" fontId="14" fillId="0" borderId="0" xfId="0" applyNumberFormat="1" applyFont="1" applyFill="1" applyBorder="1" applyAlignment="1">
      <alignment horizontal="center" vertical="top"/>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3" fontId="14"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xf>
    <xf numFmtId="3" fontId="14" fillId="0" borderId="1" xfId="0" applyNumberFormat="1" applyFont="1" applyFill="1" applyBorder="1" applyAlignment="1">
      <alignment horizontal="left" vertical="top" wrapText="1"/>
    </xf>
    <xf numFmtId="0" fontId="2" fillId="8" borderId="1" xfId="0" applyFont="1" applyFill="1" applyBorder="1" applyAlignment="1">
      <alignment vertical="top" wrapText="1"/>
    </xf>
    <xf numFmtId="0" fontId="2" fillId="0" borderId="2" xfId="0" applyFont="1" applyFill="1" applyBorder="1" applyAlignment="1">
      <alignment horizontal="left" vertical="top" wrapText="1"/>
    </xf>
    <xf numFmtId="164" fontId="2" fillId="0" borderId="0" xfId="0" applyNumberFormat="1" applyFont="1" applyFill="1" applyAlignment="1">
      <alignment vertical="top"/>
    </xf>
    <xf numFmtId="167" fontId="2" fillId="0" borderId="0" xfId="53" applyNumberFormat="1" applyFont="1" applyFill="1"/>
    <xf numFmtId="166" fontId="2" fillId="0" borderId="0" xfId="53" applyNumberFormat="1" applyFont="1" applyFill="1"/>
    <xf numFmtId="164" fontId="2" fillId="0" borderId="0" xfId="0" applyNumberFormat="1" applyFont="1" applyFill="1"/>
    <xf numFmtId="164" fontId="2" fillId="0" borderId="0" xfId="0" applyNumberFormat="1" applyFont="1" applyFill="1" applyAlignment="1">
      <alignment wrapText="1"/>
    </xf>
    <xf numFmtId="0" fontId="2" fillId="0" borderId="0" xfId="0" applyFont="1" applyFill="1" applyAlignment="1">
      <alignment wrapText="1"/>
    </xf>
    <xf numFmtId="0" fontId="2" fillId="0" borderId="2" xfId="0" applyFont="1" applyFill="1" applyBorder="1" applyAlignment="1">
      <alignment horizontal="center" vertical="center" wrapText="1"/>
    </xf>
    <xf numFmtId="0" fontId="19" fillId="8"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0" fontId="14" fillId="0" borderId="1" xfId="0" applyFont="1" applyFill="1" applyBorder="1" applyAlignment="1">
      <alignment vertical="top" wrapText="1"/>
    </xf>
    <xf numFmtId="0" fontId="20" fillId="0" borderId="1" xfId="0" applyFont="1" applyFill="1" applyBorder="1" applyAlignment="1">
      <alignment horizontal="left" vertical="top" wrapText="1"/>
    </xf>
    <xf numFmtId="0" fontId="2" fillId="0" borderId="1" xfId="0" applyFont="1" applyBorder="1" applyAlignment="1">
      <alignment vertical="center" wrapText="1"/>
    </xf>
    <xf numFmtId="0" fontId="7" fillId="0" borderId="1" xfId="0" applyFont="1" applyBorder="1" applyAlignment="1">
      <alignment vertical="top" wrapText="1"/>
    </xf>
    <xf numFmtId="0" fontId="2" fillId="8" borderId="1" xfId="0" applyFont="1" applyFill="1" applyBorder="1" applyAlignment="1">
      <alignment horizontal="left" vertical="top" wrapText="1"/>
    </xf>
    <xf numFmtId="0" fontId="18" fillId="5" borderId="0" xfId="0" applyFont="1" applyFill="1" applyAlignment="1">
      <alignment horizontal="center" vertical="top"/>
    </xf>
    <xf numFmtId="0" fontId="18" fillId="7" borderId="0" xfId="0" applyFont="1" applyFill="1" applyAlignment="1">
      <alignment vertical="top"/>
    </xf>
    <xf numFmtId="0" fontId="2" fillId="0" borderId="0" xfId="0" applyFont="1" applyAlignment="1">
      <alignment vertical="top"/>
    </xf>
    <xf numFmtId="0" fontId="7" fillId="0" borderId="2" xfId="0" applyFont="1" applyFill="1" applyBorder="1" applyAlignment="1">
      <alignment horizontal="left" vertical="top" wrapText="1"/>
    </xf>
    <xf numFmtId="3" fontId="7" fillId="0" borderId="1" xfId="0" applyNumberFormat="1" applyFont="1" applyFill="1" applyBorder="1" applyAlignment="1">
      <alignment horizontal="left" vertical="top" wrapText="1"/>
    </xf>
    <xf numFmtId="0" fontId="2" fillId="0" borderId="0" xfId="0" applyFont="1" applyAlignment="1">
      <alignment vertical="top" wrapText="1"/>
    </xf>
    <xf numFmtId="0" fontId="14" fillId="0" borderId="15" xfId="56" applyFont="1" applyBorder="1" applyAlignment="1">
      <alignment horizontal="left" vertical="top" wrapText="1"/>
    </xf>
    <xf numFmtId="0" fontId="14" fillId="0" borderId="15" xfId="56" applyFont="1" applyBorder="1" applyAlignment="1">
      <alignment vertical="top" wrapText="1"/>
    </xf>
    <xf numFmtId="0" fontId="11" fillId="0" borderId="16" xfId="56" applyFont="1" applyBorder="1" applyAlignment="1">
      <alignment vertical="top" wrapText="1"/>
    </xf>
    <xf numFmtId="0" fontId="8" fillId="5"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11" xfId="56" applyFont="1" applyBorder="1" applyAlignment="1">
      <alignment horizontal="center" vertical="center" wrapText="1"/>
    </xf>
    <xf numFmtId="0" fontId="2" fillId="0" borderId="15" xfId="56" applyFont="1" applyBorder="1" applyAlignment="1">
      <alignment horizontal="center" vertical="center" wrapText="1"/>
    </xf>
    <xf numFmtId="0" fontId="2" fillId="0" borderId="1" xfId="56" applyFont="1" applyBorder="1" applyAlignment="1">
      <alignment horizontal="center" vertical="center" wrapText="1"/>
    </xf>
    <xf numFmtId="0" fontId="18" fillId="5" borderId="0" xfId="0" applyFont="1" applyFill="1" applyAlignment="1">
      <alignment horizontal="center" vertical="center"/>
    </xf>
    <xf numFmtId="0" fontId="18" fillId="7" borderId="0" xfId="0" applyFont="1" applyFill="1" applyAlignment="1">
      <alignment vertical="center"/>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11" xfId="56" applyFont="1" applyBorder="1" applyAlignment="1">
      <alignment horizontal="center" vertical="center" wrapText="1"/>
    </xf>
    <xf numFmtId="164" fontId="2" fillId="0" borderId="1"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64" fontId="8" fillId="5" borderId="1" xfId="0" applyNumberFormat="1" applyFont="1" applyFill="1" applyBorder="1" applyAlignment="1">
      <alignment horizontal="center" vertical="center"/>
    </xf>
    <xf numFmtId="3" fontId="8" fillId="5"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left" vertical="center"/>
    </xf>
    <xf numFmtId="16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xf>
    <xf numFmtId="164" fontId="14" fillId="0" borderId="1" xfId="53" applyNumberFormat="1" applyFont="1" applyFill="1" applyBorder="1" applyAlignment="1">
      <alignment horizontal="center" vertical="center" wrapText="1"/>
    </xf>
    <xf numFmtId="0" fontId="2" fillId="0" borderId="0" xfId="0" applyFont="1" applyFill="1" applyAlignment="1">
      <alignment vertical="center"/>
    </xf>
    <xf numFmtId="164" fontId="8" fillId="5" borderId="4" xfId="0" applyNumberFormat="1" applyFont="1" applyFill="1" applyBorder="1" applyAlignment="1">
      <alignment horizontal="center" vertical="center"/>
    </xf>
    <xf numFmtId="0" fontId="8" fillId="5" borderId="10" xfId="0" applyFont="1" applyFill="1" applyBorder="1" applyAlignment="1">
      <alignment horizontal="center" vertical="center" wrapText="1"/>
    </xf>
    <xf numFmtId="164" fontId="8" fillId="5" borderId="10" xfId="0" applyNumberFormat="1" applyFont="1" applyFill="1" applyBorder="1" applyAlignment="1">
      <alignment horizontal="center" vertical="center"/>
    </xf>
    <xf numFmtId="0" fontId="2" fillId="0" borderId="1" xfId="0" applyFont="1" applyBorder="1" applyAlignment="1">
      <alignment vertical="center"/>
    </xf>
    <xf numFmtId="164" fontId="14" fillId="0" borderId="6"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vertical="center"/>
    </xf>
    <xf numFmtId="164" fontId="14" fillId="6" borderId="11" xfId="56" applyNumberFormat="1" applyFont="1" applyFill="1" applyBorder="1" applyAlignment="1">
      <alignment horizontal="center" vertical="center"/>
    </xf>
    <xf numFmtId="3" fontId="14" fillId="0" borderId="12" xfId="56" applyNumberFormat="1" applyFont="1" applyBorder="1" applyAlignment="1">
      <alignment horizontal="center" vertical="center" wrapText="1"/>
    </xf>
    <xf numFmtId="164" fontId="14" fillId="0" borderId="11" xfId="56" applyNumberFormat="1" applyFont="1" applyBorder="1" applyAlignment="1">
      <alignment horizontal="center" vertical="center"/>
    </xf>
    <xf numFmtId="164" fontId="2" fillId="0" borderId="11" xfId="56" applyNumberFormat="1" applyFont="1" applyBorder="1" applyAlignment="1">
      <alignment horizontal="center" vertical="center"/>
    </xf>
    <xf numFmtId="3" fontId="2" fillId="0" borderId="12" xfId="56" applyNumberFormat="1" applyFont="1" applyBorder="1" applyAlignment="1">
      <alignment horizontal="center" vertical="center" wrapText="1"/>
    </xf>
    <xf numFmtId="3" fontId="14" fillId="0" borderId="13" xfId="0" applyNumberFormat="1" applyFont="1" applyFill="1" applyBorder="1" applyAlignment="1">
      <alignment horizontal="center" vertical="center" wrapText="1"/>
    </xf>
    <xf numFmtId="164" fontId="2" fillId="0" borderId="1" xfId="56" applyNumberFormat="1" applyFont="1" applyBorder="1" applyAlignment="1">
      <alignment horizontal="center" vertical="center"/>
    </xf>
    <xf numFmtId="3" fontId="2" fillId="0" borderId="3" xfId="56" applyNumberFormat="1" applyFont="1" applyBorder="1" applyAlignment="1">
      <alignment vertical="center" wrapText="1"/>
    </xf>
    <xf numFmtId="164" fontId="6" fillId="5" borderId="0" xfId="0" applyNumberFormat="1" applyFont="1" applyFill="1" applyAlignment="1">
      <alignment horizontal="center" vertical="center"/>
    </xf>
    <xf numFmtId="0" fontId="6" fillId="5" borderId="0" xfId="0" applyFont="1" applyFill="1" applyAlignment="1">
      <alignment vertical="center"/>
    </xf>
    <xf numFmtId="164" fontId="2" fillId="5" borderId="0" xfId="0" applyNumberFormat="1" applyFont="1" applyFill="1" applyAlignment="1">
      <alignment horizontal="center" vertical="center"/>
    </xf>
    <xf numFmtId="164" fontId="18" fillId="7" borderId="0" xfId="0" applyNumberFormat="1" applyFont="1" applyFill="1" applyAlignment="1">
      <alignment horizontal="center" vertical="center"/>
    </xf>
    <xf numFmtId="164" fontId="2" fillId="0" borderId="0" xfId="0" applyNumberFormat="1" applyFont="1" applyAlignment="1">
      <alignment vertical="center"/>
    </xf>
    <xf numFmtId="0" fontId="17" fillId="5" borderId="1"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7" borderId="0" xfId="0" applyFont="1" applyFill="1" applyAlignment="1">
      <alignment horizontal="center" vertical="center"/>
    </xf>
    <xf numFmtId="0" fontId="2" fillId="0" borderId="0" xfId="0" applyFont="1" applyAlignment="1">
      <alignment horizontal="center" vertical="center"/>
    </xf>
    <xf numFmtId="0" fontId="14" fillId="0" borderId="1" xfId="0" applyFont="1" applyFill="1" applyBorder="1" applyAlignment="1">
      <alignment horizontal="left" vertical="top" wrapText="1"/>
    </xf>
    <xf numFmtId="0" fontId="14" fillId="0" borderId="9" xfId="0" applyFont="1" applyFill="1" applyBorder="1" applyAlignment="1">
      <alignment horizontal="left" vertical="top" wrapText="1"/>
    </xf>
    <xf numFmtId="0" fontId="1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vertical="center"/>
    </xf>
    <xf numFmtId="166" fontId="2" fillId="8" borderId="0" xfId="53" applyNumberFormat="1" applyFont="1" applyFill="1"/>
    <xf numFmtId="0" fontId="2" fillId="8" borderId="0" xfId="0" applyFont="1" applyFill="1"/>
    <xf numFmtId="0" fontId="19" fillId="8" borderId="17" xfId="0" applyFont="1" applyFill="1" applyBorder="1" applyAlignment="1">
      <alignment horizontal="center" vertical="center" wrapText="1"/>
    </xf>
    <xf numFmtId="0" fontId="2" fillId="8" borderId="1" xfId="0" applyFont="1" applyFill="1" applyBorder="1" applyAlignment="1">
      <alignment horizontal="center" vertical="center" wrapText="1"/>
    </xf>
    <xf numFmtId="168" fontId="0" fillId="0" borderId="1" xfId="53" applyNumberFormat="1" applyFont="1" applyBorder="1" applyAlignment="1">
      <alignment horizontal="center" vertical="center"/>
    </xf>
    <xf numFmtId="0" fontId="6" fillId="8" borderId="8" xfId="0" applyFont="1" applyFill="1" applyBorder="1" applyAlignment="1">
      <alignment horizontal="center" vertical="top"/>
    </xf>
    <xf numFmtId="0" fontId="23" fillId="8" borderId="1" xfId="0" applyFont="1" applyFill="1" applyBorder="1" applyAlignment="1">
      <alignment vertical="top" wrapText="1"/>
    </xf>
    <xf numFmtId="0" fontId="2" fillId="8" borderId="1" xfId="0" applyFont="1" applyFill="1" applyBorder="1" applyAlignment="1">
      <alignment vertical="center" wrapText="1"/>
    </xf>
    <xf numFmtId="164" fontId="2" fillId="8" borderId="0" xfId="0" applyNumberFormat="1" applyFont="1" applyFill="1"/>
    <xf numFmtId="0" fontId="14" fillId="8" borderId="1" xfId="0" applyFont="1" applyFill="1" applyBorder="1" applyAlignment="1">
      <alignment vertical="top" wrapText="1"/>
    </xf>
    <xf numFmtId="164" fontId="1" fillId="8" borderId="1" xfId="0" applyNumberFormat="1" applyFont="1" applyFill="1" applyBorder="1" applyAlignment="1">
      <alignment horizontal="center" vertical="center"/>
    </xf>
    <xf numFmtId="0" fontId="7" fillId="8" borderId="1" xfId="0" applyFont="1" applyFill="1" applyBorder="1" applyAlignment="1">
      <alignment vertical="top" wrapText="1"/>
    </xf>
    <xf numFmtId="0" fontId="19" fillId="8" borderId="0" xfId="0" applyFont="1" applyFill="1" applyAlignment="1">
      <alignment horizontal="center" vertical="center" wrapText="1"/>
    </xf>
    <xf numFmtId="164" fontId="14" fillId="8" borderId="1" xfId="0" applyNumberFormat="1" applyFont="1" applyFill="1" applyBorder="1" applyAlignment="1">
      <alignment horizontal="center" vertical="center"/>
    </xf>
    <xf numFmtId="3" fontId="14" fillId="8" borderId="1" xfId="0" applyNumberFormat="1" applyFont="1" applyFill="1" applyBorder="1" applyAlignment="1">
      <alignment horizontal="center" vertical="center"/>
    </xf>
    <xf numFmtId="0" fontId="14" fillId="8" borderId="6" xfId="0" applyFont="1" applyFill="1" applyBorder="1" applyAlignment="1">
      <alignment horizontal="center" vertical="top"/>
    </xf>
    <xf numFmtId="0" fontId="14" fillId="8" borderId="1" xfId="0" applyFont="1" applyFill="1" applyBorder="1" applyAlignment="1">
      <alignment horizontal="left" vertical="top" wrapText="1"/>
    </xf>
    <xf numFmtId="0" fontId="14" fillId="8" borderId="1" xfId="0" applyFont="1" applyFill="1" applyBorder="1" applyAlignment="1">
      <alignment horizontal="center" vertical="center" wrapText="1"/>
    </xf>
    <xf numFmtId="164" fontId="14" fillId="8" borderId="1" xfId="53" applyNumberFormat="1" applyFont="1" applyFill="1" applyBorder="1" applyAlignment="1">
      <alignment horizontal="center" vertical="center" wrapText="1"/>
    </xf>
    <xf numFmtId="0" fontId="14" fillId="8" borderId="1" xfId="0" applyFont="1" applyFill="1" applyBorder="1" applyAlignment="1">
      <alignment horizontal="left" vertical="center" wrapText="1"/>
    </xf>
    <xf numFmtId="166" fontId="14" fillId="8" borderId="0" xfId="53" applyNumberFormat="1" applyFont="1" applyFill="1"/>
    <xf numFmtId="164" fontId="14" fillId="8" borderId="0" xfId="0" applyNumberFormat="1" applyFont="1" applyFill="1"/>
    <xf numFmtId="0" fontId="14" fillId="8" borderId="0" xfId="0" applyFont="1" applyFill="1"/>
    <xf numFmtId="0" fontId="2" fillId="8" borderId="6" xfId="0" applyFont="1" applyFill="1" applyBorder="1" applyAlignment="1">
      <alignment horizontal="center" vertical="top"/>
    </xf>
    <xf numFmtId="164" fontId="21" fillId="8" borderId="1" xfId="0" applyNumberFormat="1" applyFont="1" applyFill="1" applyBorder="1" applyAlignment="1">
      <alignment horizontal="center" vertical="center"/>
    </xf>
    <xf numFmtId="3" fontId="14" fillId="0" borderId="1" xfId="0" quotePrefix="1" applyNumberFormat="1" applyFont="1" applyFill="1" applyBorder="1" applyAlignment="1">
      <alignment horizontal="left" vertical="top" wrapText="1"/>
    </xf>
    <xf numFmtId="0" fontId="7" fillId="8" borderId="1" xfId="0" applyFont="1" applyFill="1" applyBorder="1" applyAlignment="1">
      <alignment horizontal="left" vertical="top" wrapText="1"/>
    </xf>
    <xf numFmtId="164" fontId="14" fillId="8" borderId="1"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164" fontId="2" fillId="0" borderId="0" xfId="0" applyNumberFormat="1" applyFont="1" applyAlignment="1">
      <alignment horizontal="center" vertical="center"/>
    </xf>
    <xf numFmtId="0" fontId="14" fillId="0" borderId="1" xfId="0" applyFont="1" applyBorder="1" applyAlignment="1">
      <alignment horizontal="center" vertical="top"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8" borderId="1" xfId="0" applyFont="1" applyFill="1" applyBorder="1" applyAlignment="1">
      <alignment horizontal="center" vertical="center" wrapText="1"/>
    </xf>
    <xf numFmtId="0" fontId="11" fillId="0" borderId="18" xfId="56" applyFont="1" applyBorder="1" applyAlignment="1">
      <alignment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6" fillId="0" borderId="2"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12" fillId="2"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0" borderId="14" xfId="0" applyFont="1" applyFill="1" applyBorder="1" applyAlignment="1">
      <alignment horizontal="center" vertical="top"/>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top" wrapText="1"/>
    </xf>
    <xf numFmtId="3" fontId="12" fillId="2" borderId="3"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4"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8" xfId="0" applyFont="1" applyBorder="1" applyAlignment="1">
      <alignment horizontal="center" vertical="top" wrapText="1"/>
    </xf>
    <xf numFmtId="0" fontId="6" fillId="0" borderId="6" xfId="0" applyFont="1" applyBorder="1" applyAlignment="1">
      <alignment horizontal="center" vertical="top" wrapText="1"/>
    </xf>
    <xf numFmtId="0" fontId="2" fillId="8" borderId="2" xfId="0" applyFont="1" applyFill="1" applyBorder="1" applyAlignment="1">
      <alignment horizontal="left" vertical="top" wrapText="1"/>
    </xf>
    <xf numFmtId="0" fontId="2" fillId="8" borderId="6"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10" fillId="0" borderId="2" xfId="0" applyFont="1" applyBorder="1" applyAlignment="1">
      <alignment horizontal="center" vertical="top" wrapText="1"/>
    </xf>
    <xf numFmtId="0" fontId="10" fillId="0" borderId="8" xfId="0" applyFont="1" applyBorder="1" applyAlignment="1">
      <alignment horizontal="center" vertical="top" wrapText="1"/>
    </xf>
    <xf numFmtId="0" fontId="10" fillId="0" borderId="6" xfId="0" applyFont="1" applyBorder="1" applyAlignment="1">
      <alignment horizontal="center" vertical="top" wrapText="1"/>
    </xf>
  </cellXfs>
  <cellStyles count="237">
    <cellStyle name="Comma" xfId="53"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5"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4"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Normal" xfId="0" builtinId="0"/>
    <cellStyle name="Normal 2" xfId="56"/>
  </cellStyles>
  <dxfs count="0"/>
  <tableStyles count="0" defaultTableStyle="TableStyleMedium9" defaultPivotStyle="PivotStyleMedium7"/>
  <colors>
    <mruColors>
      <color rgb="FFF4A8E5"/>
      <color rgb="FFBC2CBA"/>
      <color rgb="FFCDF71A"/>
      <color rgb="FF73FEFF"/>
      <color rgb="FFA7F713"/>
      <color rgb="FF00E96C"/>
      <color rgb="FF8D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105"/>
  <sheetViews>
    <sheetView tabSelected="1" topLeftCell="B1" zoomScale="116" zoomScaleNormal="116" workbookViewId="0">
      <pane ySplit="3" topLeftCell="A34" activePane="bottomLeft" state="frozen"/>
      <selection activeCell="B1" sqref="B1"/>
      <selection pane="bottomLeft" activeCell="E5" sqref="E5"/>
    </sheetView>
  </sheetViews>
  <sheetFormatPr defaultColWidth="11.42578125" defaultRowHeight="14.25"/>
  <cols>
    <col min="1" max="1" width="7.42578125" style="1" bestFit="1" customWidth="1"/>
    <col min="2" max="2" width="7.42578125" style="1" customWidth="1"/>
    <col min="3" max="3" width="21.85546875" style="108" customWidth="1"/>
    <col min="4" max="4" width="26.85546875" style="51" customWidth="1"/>
    <col min="5" max="5" width="74.7109375" style="51" customWidth="1"/>
    <col min="6" max="6" width="17.42578125" style="69" customWidth="1"/>
    <col min="7" max="7" width="21.42578125" style="108" bestFit="1" customWidth="1"/>
    <col min="8" max="8" width="14.28515625" style="108" customWidth="1"/>
    <col min="9" max="9" width="15.42578125" style="108" bestFit="1" customWidth="1"/>
    <col min="10" max="10" width="15.28515625" style="108" customWidth="1"/>
    <col min="11" max="11" width="25.85546875" style="69" bestFit="1" customWidth="1"/>
    <col min="12" max="12" width="65.28515625" style="69" customWidth="1"/>
    <col min="13" max="13" width="13.140625" style="1" customWidth="1"/>
    <col min="14" max="14" width="11.42578125" style="1" customWidth="1"/>
    <col min="15" max="15" width="13.140625" style="1" customWidth="1"/>
    <col min="16" max="16" width="11.85546875" style="1" customWidth="1"/>
    <col min="17" max="17" width="11.42578125" style="1" customWidth="1"/>
    <col min="18" max="16384" width="11.42578125" style="1"/>
  </cols>
  <sheetData>
    <row r="2" spans="1:14" ht="27.75" customHeight="1">
      <c r="C2" s="161" t="s">
        <v>13</v>
      </c>
      <c r="D2" s="167" t="s">
        <v>0</v>
      </c>
      <c r="E2" s="167" t="s">
        <v>1</v>
      </c>
      <c r="F2" s="161" t="s">
        <v>2</v>
      </c>
      <c r="G2" s="161" t="s">
        <v>3</v>
      </c>
      <c r="H2" s="168" t="s">
        <v>50</v>
      </c>
      <c r="I2" s="169"/>
      <c r="J2" s="170"/>
      <c r="K2" s="161" t="s">
        <v>4</v>
      </c>
      <c r="L2" s="165" t="s">
        <v>14</v>
      </c>
    </row>
    <row r="3" spans="1:14" ht="24.75" customHeight="1">
      <c r="C3" s="161"/>
      <c r="D3" s="167"/>
      <c r="E3" s="167"/>
      <c r="F3" s="161"/>
      <c r="G3" s="161"/>
      <c r="H3" s="111">
        <v>2018</v>
      </c>
      <c r="I3" s="111">
        <v>2019</v>
      </c>
      <c r="J3" s="111">
        <v>2020</v>
      </c>
      <c r="K3" s="161"/>
      <c r="L3" s="166"/>
    </row>
    <row r="4" spans="1:14" ht="18" customHeight="1">
      <c r="C4" s="162" t="s">
        <v>121</v>
      </c>
      <c r="D4" s="163"/>
      <c r="E4" s="163"/>
      <c r="F4" s="163"/>
      <c r="G4" s="163"/>
      <c r="H4" s="163"/>
      <c r="I4" s="163"/>
      <c r="J4" s="163"/>
      <c r="K4" s="163"/>
      <c r="L4" s="163"/>
      <c r="M4" s="1" t="s">
        <v>11</v>
      </c>
    </row>
    <row r="5" spans="1:14" ht="128.25">
      <c r="A5" s="175"/>
      <c r="B5" s="164">
        <v>1.1000000000000001</v>
      </c>
      <c r="C5" s="177" t="s">
        <v>122</v>
      </c>
      <c r="D5" s="24" t="s">
        <v>52</v>
      </c>
      <c r="E5" s="24" t="s">
        <v>129</v>
      </c>
      <c r="F5" s="27" t="s">
        <v>66</v>
      </c>
      <c r="G5" s="27"/>
      <c r="H5" s="43">
        <v>41742.668152173901</v>
      </c>
      <c r="I5" s="43">
        <v>40815.053304347828</v>
      </c>
      <c r="J5" s="43">
        <v>38959.823608695646</v>
      </c>
      <c r="K5" s="3" t="s">
        <v>5</v>
      </c>
      <c r="L5" s="23"/>
      <c r="M5" s="12"/>
      <c r="N5" s="18"/>
    </row>
    <row r="6" spans="1:14" ht="130.5">
      <c r="A6" s="175"/>
      <c r="B6" s="164"/>
      <c r="C6" s="177"/>
      <c r="D6" s="33" t="s">
        <v>53</v>
      </c>
      <c r="E6" s="24" t="s">
        <v>130</v>
      </c>
      <c r="F6" s="27" t="s">
        <v>107</v>
      </c>
      <c r="G6" s="27" t="s">
        <v>87</v>
      </c>
      <c r="H6" s="43">
        <v>85000</v>
      </c>
      <c r="I6" s="43">
        <v>85000</v>
      </c>
      <c r="J6" s="43">
        <v>85000</v>
      </c>
      <c r="K6" s="60" t="s">
        <v>86</v>
      </c>
      <c r="L6" s="23"/>
      <c r="M6" s="12"/>
      <c r="N6" s="18"/>
    </row>
    <row r="7" spans="1:14" ht="128.25">
      <c r="A7" s="175"/>
      <c r="B7" s="164"/>
      <c r="C7" s="177"/>
      <c r="D7" s="24" t="s">
        <v>54</v>
      </c>
      <c r="E7" s="44" t="s">
        <v>142</v>
      </c>
      <c r="F7" s="27" t="s">
        <v>66</v>
      </c>
      <c r="G7" s="27"/>
      <c r="H7" s="43">
        <v>8000</v>
      </c>
      <c r="I7" s="43">
        <v>7000</v>
      </c>
      <c r="J7" s="43">
        <v>7000</v>
      </c>
      <c r="K7" s="3" t="s">
        <v>5</v>
      </c>
      <c r="L7" s="23"/>
      <c r="M7" s="12"/>
      <c r="N7" s="18"/>
    </row>
    <row r="8" spans="1:14" ht="104.1" customHeight="1">
      <c r="A8" s="175"/>
      <c r="B8" s="164"/>
      <c r="C8" s="177"/>
      <c r="D8" s="24" t="s">
        <v>92</v>
      </c>
      <c r="E8" s="24" t="s">
        <v>183</v>
      </c>
      <c r="F8" s="27" t="s">
        <v>66</v>
      </c>
      <c r="G8" s="27"/>
      <c r="H8" s="43">
        <v>5000</v>
      </c>
      <c r="I8" s="43">
        <v>0</v>
      </c>
      <c r="J8" s="43">
        <v>0</v>
      </c>
      <c r="K8" s="3" t="s">
        <v>5</v>
      </c>
      <c r="L8" s="23"/>
      <c r="M8" s="12"/>
      <c r="N8" s="3"/>
    </row>
    <row r="9" spans="1:14" ht="128.25">
      <c r="A9" s="175"/>
      <c r="B9" s="164"/>
      <c r="C9" s="177"/>
      <c r="D9" s="24" t="s">
        <v>55</v>
      </c>
      <c r="E9" s="24" t="s">
        <v>131</v>
      </c>
      <c r="F9" s="27" t="s">
        <v>67</v>
      </c>
      <c r="G9" s="27"/>
      <c r="H9" s="43">
        <v>200</v>
      </c>
      <c r="I9" s="43">
        <v>200</v>
      </c>
      <c r="J9" s="43">
        <v>100</v>
      </c>
      <c r="K9" s="3" t="s">
        <v>5</v>
      </c>
      <c r="L9" s="23"/>
      <c r="M9" s="12"/>
      <c r="N9" s="18"/>
    </row>
    <row r="10" spans="1:14" ht="130.5">
      <c r="A10" s="175"/>
      <c r="B10" s="164"/>
      <c r="C10" s="177"/>
      <c r="D10" s="24" t="s">
        <v>56</v>
      </c>
      <c r="E10" s="24" t="s">
        <v>132</v>
      </c>
      <c r="F10" s="27" t="s">
        <v>67</v>
      </c>
      <c r="G10" s="27"/>
      <c r="H10" s="43">
        <v>500</v>
      </c>
      <c r="I10" s="43">
        <v>1050</v>
      </c>
      <c r="J10" s="43">
        <v>1150</v>
      </c>
      <c r="K10" s="3" t="s">
        <v>5</v>
      </c>
      <c r="L10" s="23"/>
      <c r="M10" s="12"/>
      <c r="N10" s="18"/>
    </row>
    <row r="11" spans="1:14" ht="130.5">
      <c r="A11" s="175"/>
      <c r="B11" s="164"/>
      <c r="C11" s="177"/>
      <c r="D11" s="24" t="s">
        <v>57</v>
      </c>
      <c r="E11" s="24" t="s">
        <v>133</v>
      </c>
      <c r="F11" s="27" t="s">
        <v>67</v>
      </c>
      <c r="G11" s="27"/>
      <c r="H11" s="43">
        <v>6500</v>
      </c>
      <c r="I11" s="43">
        <v>6000</v>
      </c>
      <c r="J11" s="43">
        <v>4500</v>
      </c>
      <c r="K11" s="3" t="s">
        <v>5</v>
      </c>
      <c r="L11" s="23"/>
      <c r="M11" s="12"/>
      <c r="N11" s="18"/>
    </row>
    <row r="12" spans="1:14" ht="128.25">
      <c r="A12" s="175"/>
      <c r="B12" s="164"/>
      <c r="C12" s="177"/>
      <c r="D12" s="24" t="s">
        <v>93</v>
      </c>
      <c r="E12" s="24" t="s">
        <v>134</v>
      </c>
      <c r="F12" s="27" t="s">
        <v>67</v>
      </c>
      <c r="G12" s="27"/>
      <c r="H12" s="43">
        <v>300</v>
      </c>
      <c r="I12" s="43">
        <v>500</v>
      </c>
      <c r="J12" s="43">
        <v>700</v>
      </c>
      <c r="K12" s="3" t="s">
        <v>5</v>
      </c>
      <c r="L12" s="23"/>
      <c r="M12" s="12"/>
      <c r="N12" s="18"/>
    </row>
    <row r="13" spans="1:14" ht="128.25">
      <c r="A13" s="175"/>
      <c r="B13" s="164"/>
      <c r="C13" s="177"/>
      <c r="D13" s="24" t="s">
        <v>88</v>
      </c>
      <c r="E13" s="24" t="s">
        <v>135</v>
      </c>
      <c r="F13" s="27" t="s">
        <v>67</v>
      </c>
      <c r="G13" s="27"/>
      <c r="H13" s="43">
        <v>1000</v>
      </c>
      <c r="I13" s="43">
        <v>0</v>
      </c>
      <c r="J13" s="43">
        <v>0</v>
      </c>
      <c r="K13" s="3" t="s">
        <v>5</v>
      </c>
      <c r="L13" s="23"/>
      <c r="M13" s="12"/>
      <c r="N13" s="18"/>
    </row>
    <row r="14" spans="1:14" ht="141.94999999999999" customHeight="1">
      <c r="A14" s="175"/>
      <c r="B14" s="164"/>
      <c r="C14" s="177"/>
      <c r="D14" s="24" t="s">
        <v>94</v>
      </c>
      <c r="E14" s="24" t="s">
        <v>136</v>
      </c>
      <c r="F14" s="27" t="s">
        <v>8</v>
      </c>
      <c r="G14" s="27" t="s">
        <v>10</v>
      </c>
      <c r="H14" s="43">
        <v>18675</v>
      </c>
      <c r="I14" s="43">
        <v>2825</v>
      </c>
      <c r="J14" s="43">
        <v>0</v>
      </c>
      <c r="K14" s="60" t="s">
        <v>12</v>
      </c>
      <c r="L14" s="23"/>
      <c r="M14" s="12"/>
      <c r="N14" s="18"/>
    </row>
    <row r="15" spans="1:14" ht="261">
      <c r="A15" s="175"/>
      <c r="B15" s="164"/>
      <c r="C15" s="177"/>
      <c r="D15" s="24" t="s">
        <v>58</v>
      </c>
      <c r="E15" s="19" t="s">
        <v>177</v>
      </c>
      <c r="F15" s="27" t="s">
        <v>68</v>
      </c>
      <c r="G15" s="27"/>
      <c r="H15" s="120">
        <f>39000000/1000</f>
        <v>39000</v>
      </c>
      <c r="I15" s="120">
        <f>41950000/1000</f>
        <v>41950</v>
      </c>
      <c r="J15" s="120">
        <f>42930000/1000</f>
        <v>42930</v>
      </c>
      <c r="K15" s="60" t="s">
        <v>9</v>
      </c>
      <c r="L15" s="23"/>
      <c r="M15" s="12"/>
      <c r="N15" s="18"/>
    </row>
    <row r="16" spans="1:14" ht="58.5">
      <c r="A16" s="175"/>
      <c r="B16" s="164"/>
      <c r="C16" s="177"/>
      <c r="D16" s="24" t="s">
        <v>59</v>
      </c>
      <c r="E16" s="24" t="s">
        <v>137</v>
      </c>
      <c r="F16" s="27" t="s">
        <v>8</v>
      </c>
      <c r="G16" s="27" t="s">
        <v>10</v>
      </c>
      <c r="H16" s="43">
        <v>20566</v>
      </c>
      <c r="I16" s="43">
        <v>5060</v>
      </c>
      <c r="J16" s="43">
        <v>0</v>
      </c>
      <c r="K16" s="3" t="s">
        <v>10</v>
      </c>
      <c r="L16" s="23"/>
      <c r="M16" s="12"/>
      <c r="N16" s="18"/>
    </row>
    <row r="17" spans="1:21" ht="128.25">
      <c r="A17" s="175"/>
      <c r="B17" s="164"/>
      <c r="C17" s="177"/>
      <c r="D17" s="33" t="s">
        <v>95</v>
      </c>
      <c r="E17" s="44" t="s">
        <v>182</v>
      </c>
      <c r="F17" s="27" t="s">
        <v>66</v>
      </c>
      <c r="G17" s="27"/>
      <c r="H17" s="43">
        <v>900</v>
      </c>
      <c r="I17" s="43">
        <v>0</v>
      </c>
      <c r="J17" s="43">
        <v>0</v>
      </c>
      <c r="K17" s="3" t="s">
        <v>5</v>
      </c>
      <c r="L17" s="23"/>
      <c r="M17" s="12"/>
      <c r="N17" s="2"/>
    </row>
    <row r="18" spans="1:21" ht="216" customHeight="1">
      <c r="B18" s="16">
        <v>1.2</v>
      </c>
      <c r="C18" s="148" t="s">
        <v>176</v>
      </c>
      <c r="D18" s="24" t="s">
        <v>89</v>
      </c>
      <c r="E18" s="44" t="s">
        <v>138</v>
      </c>
      <c r="F18" s="27" t="s">
        <v>69</v>
      </c>
      <c r="G18" s="27"/>
      <c r="H18" s="72">
        <v>3400</v>
      </c>
      <c r="I18" s="72">
        <v>3400</v>
      </c>
      <c r="J18" s="72">
        <v>3400</v>
      </c>
      <c r="K18" s="3" t="s">
        <v>5</v>
      </c>
      <c r="L18" s="23" t="s">
        <v>98</v>
      </c>
      <c r="M18" s="12"/>
      <c r="N18" s="35"/>
    </row>
    <row r="19" spans="1:21" ht="199.5">
      <c r="B19" s="156">
        <v>1.3</v>
      </c>
      <c r="C19" s="178" t="s">
        <v>123</v>
      </c>
      <c r="D19" s="33" t="s">
        <v>90</v>
      </c>
      <c r="E19" s="44" t="s">
        <v>109</v>
      </c>
      <c r="F19" s="27" t="s">
        <v>69</v>
      </c>
      <c r="G19" s="27"/>
      <c r="H19" s="72">
        <v>2400</v>
      </c>
      <c r="I19" s="72">
        <v>2400</v>
      </c>
      <c r="J19" s="72">
        <v>2400</v>
      </c>
      <c r="K19" s="3" t="s">
        <v>5</v>
      </c>
      <c r="L19" s="23" t="s">
        <v>15</v>
      </c>
      <c r="M19" s="12"/>
      <c r="N19" s="11"/>
    </row>
    <row r="20" spans="1:21" ht="171">
      <c r="B20" s="158"/>
      <c r="C20" s="179"/>
      <c r="D20" s="24" t="s">
        <v>91</v>
      </c>
      <c r="E20" s="44" t="s">
        <v>139</v>
      </c>
      <c r="F20" s="27" t="s">
        <v>70</v>
      </c>
      <c r="G20" s="27"/>
      <c r="H20" s="72">
        <v>1250</v>
      </c>
      <c r="I20" s="72">
        <v>1250</v>
      </c>
      <c r="J20" s="72">
        <v>1250</v>
      </c>
      <c r="K20" s="3" t="s">
        <v>5</v>
      </c>
      <c r="L20" s="26" t="s">
        <v>16</v>
      </c>
      <c r="M20" s="12"/>
      <c r="N20" s="36"/>
    </row>
    <row r="21" spans="1:21" ht="57.75">
      <c r="B21" s="21"/>
      <c r="C21" s="179"/>
      <c r="D21" s="24" t="s">
        <v>96</v>
      </c>
      <c r="E21" s="19" t="s">
        <v>141</v>
      </c>
      <c r="F21" s="27" t="s">
        <v>28</v>
      </c>
      <c r="G21" s="31"/>
      <c r="H21" s="43">
        <f>1517000/1000</f>
        <v>1517</v>
      </c>
      <c r="I21" s="43">
        <f t="shared" ref="I21:J21" si="0">1517000/1000</f>
        <v>1517</v>
      </c>
      <c r="J21" s="43">
        <f t="shared" si="0"/>
        <v>1517</v>
      </c>
      <c r="K21" s="3" t="s">
        <v>5</v>
      </c>
      <c r="L21" s="25"/>
      <c r="M21" s="22"/>
      <c r="N21" s="36"/>
    </row>
    <row r="22" spans="1:21" ht="114">
      <c r="B22" s="21"/>
      <c r="C22" s="179"/>
      <c r="D22" s="34" t="s">
        <v>97</v>
      </c>
      <c r="E22" s="109" t="s">
        <v>223</v>
      </c>
      <c r="F22" s="41" t="s">
        <v>71</v>
      </c>
      <c r="G22" s="113"/>
      <c r="H22" s="73">
        <f>3101000/1000</f>
        <v>3101</v>
      </c>
      <c r="I22" s="73">
        <f t="shared" ref="I22:J22" si="1">3101000/1000</f>
        <v>3101</v>
      </c>
      <c r="J22" s="73">
        <f t="shared" si="1"/>
        <v>3101</v>
      </c>
      <c r="K22" s="74" t="s">
        <v>5</v>
      </c>
      <c r="L22" s="25"/>
      <c r="M22" s="22"/>
      <c r="N22" s="36"/>
    </row>
    <row r="23" spans="1:21" ht="57.75">
      <c r="B23" s="21"/>
      <c r="C23" s="180"/>
      <c r="D23" s="34" t="s">
        <v>64</v>
      </c>
      <c r="E23" s="52" t="s">
        <v>140</v>
      </c>
      <c r="F23" s="41" t="s">
        <v>28</v>
      </c>
      <c r="G23" s="31"/>
      <c r="H23" s="73">
        <f>983000/1000</f>
        <v>983</v>
      </c>
      <c r="I23" s="73">
        <f t="shared" ref="I23:J23" si="2">983000/1000</f>
        <v>983</v>
      </c>
      <c r="J23" s="73">
        <f t="shared" si="2"/>
        <v>983</v>
      </c>
      <c r="K23" s="74" t="s">
        <v>5</v>
      </c>
      <c r="L23" s="25"/>
      <c r="M23" s="22"/>
      <c r="N23" s="36"/>
    </row>
    <row r="24" spans="1:21" s="7" customFormat="1" ht="25.5">
      <c r="B24" s="9"/>
      <c r="C24" s="105" t="s">
        <v>47</v>
      </c>
      <c r="D24" s="13"/>
      <c r="E24" s="13"/>
      <c r="F24" s="58"/>
      <c r="G24" s="58"/>
      <c r="H24" s="75">
        <f>SUM(H5:H23)</f>
        <v>240034.66815217389</v>
      </c>
      <c r="I24" s="75">
        <f>SUM(I5:I23)</f>
        <v>203051.05330434782</v>
      </c>
      <c r="J24" s="75">
        <f>SUM(J5:J23)</f>
        <v>192990.82360869565</v>
      </c>
      <c r="K24" s="76" t="s">
        <v>46</v>
      </c>
      <c r="L24" s="77">
        <f>H24+I24+J24</f>
        <v>636076.54506521742</v>
      </c>
      <c r="M24" s="18"/>
      <c r="N24" s="11"/>
      <c r="O24" s="1"/>
      <c r="P24" s="1"/>
      <c r="Q24" s="1"/>
      <c r="R24" s="1"/>
      <c r="S24" s="1"/>
      <c r="T24" s="1"/>
      <c r="U24" s="1"/>
    </row>
    <row r="25" spans="1:21" ht="29.1" customHeight="1">
      <c r="C25" s="176" t="s">
        <v>65</v>
      </c>
      <c r="D25" s="176"/>
      <c r="E25" s="176"/>
      <c r="F25" s="176"/>
      <c r="G25" s="176"/>
      <c r="H25" s="176"/>
      <c r="I25" s="176"/>
      <c r="J25" s="176"/>
      <c r="K25" s="176"/>
      <c r="L25" s="176"/>
      <c r="M25" s="18"/>
      <c r="N25" s="11"/>
    </row>
    <row r="26" spans="1:21" ht="244.5">
      <c r="B26" s="156">
        <v>2.1</v>
      </c>
      <c r="C26" s="188" t="s">
        <v>220</v>
      </c>
      <c r="D26" s="185" t="s">
        <v>191</v>
      </c>
      <c r="E26" s="24" t="s">
        <v>184</v>
      </c>
      <c r="F26" s="27" t="s">
        <v>72</v>
      </c>
      <c r="G26" s="27"/>
      <c r="H26" s="72">
        <v>3380</v>
      </c>
      <c r="I26" s="72">
        <v>3340</v>
      </c>
      <c r="J26" s="72">
        <v>3340</v>
      </c>
      <c r="K26" s="60" t="s">
        <v>17</v>
      </c>
      <c r="L26" s="23" t="s">
        <v>18</v>
      </c>
      <c r="M26" s="37"/>
      <c r="N26" s="11"/>
    </row>
    <row r="27" spans="1:21" ht="156.75">
      <c r="B27" s="157"/>
      <c r="C27" s="188"/>
      <c r="D27" s="186"/>
      <c r="E27" s="44" t="s">
        <v>188</v>
      </c>
      <c r="F27" s="27" t="s">
        <v>72</v>
      </c>
      <c r="G27" s="27"/>
      <c r="H27" s="72">
        <v>550</v>
      </c>
      <c r="I27" s="72">
        <v>550</v>
      </c>
      <c r="J27" s="72">
        <v>550</v>
      </c>
      <c r="K27" s="60" t="s">
        <v>17</v>
      </c>
      <c r="L27" s="23" t="s">
        <v>19</v>
      </c>
      <c r="M27" s="37"/>
      <c r="N27" s="11"/>
    </row>
    <row r="28" spans="1:21" ht="156.75">
      <c r="B28" s="157"/>
      <c r="C28" s="188"/>
      <c r="D28" s="186"/>
      <c r="E28" s="24" t="s">
        <v>143</v>
      </c>
      <c r="F28" s="27" t="s">
        <v>72</v>
      </c>
      <c r="G28" s="27"/>
      <c r="H28" s="72">
        <v>3000</v>
      </c>
      <c r="I28" s="72">
        <v>3000</v>
      </c>
      <c r="J28" s="72">
        <v>3000</v>
      </c>
      <c r="K28" s="60" t="s">
        <v>17</v>
      </c>
      <c r="L28" s="23" t="s">
        <v>20</v>
      </c>
      <c r="M28" s="37"/>
      <c r="N28" s="11"/>
    </row>
    <row r="29" spans="1:21" ht="156.75">
      <c r="B29" s="157"/>
      <c r="C29" s="188"/>
      <c r="D29" s="186"/>
      <c r="E29" s="44" t="s">
        <v>189</v>
      </c>
      <c r="F29" s="27" t="s">
        <v>72</v>
      </c>
      <c r="G29" s="27"/>
      <c r="H29" s="72">
        <v>1200</v>
      </c>
      <c r="I29" s="72">
        <v>1200</v>
      </c>
      <c r="J29" s="72">
        <v>1200</v>
      </c>
      <c r="K29" s="60" t="s">
        <v>17</v>
      </c>
      <c r="L29" s="23" t="s">
        <v>21</v>
      </c>
      <c r="M29" s="37"/>
      <c r="N29" s="11"/>
    </row>
    <row r="30" spans="1:21" ht="156.75">
      <c r="B30" s="157"/>
      <c r="C30" s="188"/>
      <c r="D30" s="186"/>
      <c r="E30" s="109" t="s">
        <v>190</v>
      </c>
      <c r="F30" s="27" t="s">
        <v>72</v>
      </c>
      <c r="G30" s="27"/>
      <c r="H30" s="72">
        <v>2000</v>
      </c>
      <c r="I30" s="72">
        <v>2000</v>
      </c>
      <c r="J30" s="72">
        <v>2000</v>
      </c>
      <c r="K30" s="60" t="s">
        <v>17</v>
      </c>
      <c r="L30" s="23" t="s">
        <v>22</v>
      </c>
      <c r="M30" s="37"/>
      <c r="N30" s="11"/>
    </row>
    <row r="31" spans="1:21" ht="113.1" customHeight="1">
      <c r="B31" s="157"/>
      <c r="C31" s="188"/>
      <c r="D31" s="187"/>
      <c r="E31" s="24" t="s">
        <v>146</v>
      </c>
      <c r="F31" s="27" t="s">
        <v>72</v>
      </c>
      <c r="G31" s="27"/>
      <c r="H31" s="72">
        <f>(1000000+2*500000*2.4)/1000</f>
        <v>3400</v>
      </c>
      <c r="I31" s="72">
        <f>(1000000+500000*2.4)/1000</f>
        <v>2200</v>
      </c>
      <c r="J31" s="72">
        <f>(1000000+500000*2.4)/1000</f>
        <v>2200</v>
      </c>
      <c r="K31" s="60" t="s">
        <v>17</v>
      </c>
      <c r="L31" s="60"/>
      <c r="M31" s="37"/>
      <c r="N31" s="11"/>
    </row>
    <row r="32" spans="1:21" ht="141" customHeight="1">
      <c r="B32" s="157"/>
      <c r="C32" s="188"/>
      <c r="D32" s="109" t="s">
        <v>192</v>
      </c>
      <c r="E32" s="53" t="s">
        <v>224</v>
      </c>
      <c r="F32" s="27" t="s">
        <v>6</v>
      </c>
      <c r="G32" s="27"/>
      <c r="H32" s="78">
        <f>11650000/1000</f>
        <v>11650</v>
      </c>
      <c r="I32" s="78">
        <f>9450000/1000</f>
        <v>9450</v>
      </c>
      <c r="J32" s="78">
        <f>7450000/1000</f>
        <v>7450</v>
      </c>
      <c r="K32" s="28" t="s">
        <v>5</v>
      </c>
      <c r="L32" s="25"/>
      <c r="M32" s="37"/>
      <c r="N32" s="11"/>
    </row>
    <row r="33" spans="2:14" ht="201.75">
      <c r="B33" s="157"/>
      <c r="C33" s="188"/>
      <c r="D33" s="19" t="s">
        <v>193</v>
      </c>
      <c r="E33" s="32" t="s">
        <v>144</v>
      </c>
      <c r="F33" s="27" t="s">
        <v>6</v>
      </c>
      <c r="G33" s="27"/>
      <c r="H33" s="43">
        <f>3152000/1000</f>
        <v>3152</v>
      </c>
      <c r="I33" s="43">
        <f>3215000/1000</f>
        <v>3215</v>
      </c>
      <c r="J33" s="43">
        <f>3279000/1000</f>
        <v>3279</v>
      </c>
      <c r="K33" s="60" t="s">
        <v>5</v>
      </c>
      <c r="L33" s="27" t="s">
        <v>99</v>
      </c>
      <c r="M33" s="37"/>
      <c r="N33" s="11"/>
    </row>
    <row r="34" spans="2:14" ht="173.25">
      <c r="B34" s="157"/>
      <c r="C34" s="188"/>
      <c r="D34" s="19" t="s">
        <v>194</v>
      </c>
      <c r="E34" s="141" t="s">
        <v>185</v>
      </c>
      <c r="F34" s="27" t="s">
        <v>6</v>
      </c>
      <c r="G34" s="27"/>
      <c r="H34" s="43">
        <f>2700000/1000</f>
        <v>2700</v>
      </c>
      <c r="I34" s="78">
        <f>3250000/1000</f>
        <v>3250</v>
      </c>
      <c r="J34" s="78">
        <f>3300000/1000</f>
        <v>3300</v>
      </c>
      <c r="K34" s="60" t="s">
        <v>5</v>
      </c>
      <c r="L34" s="25"/>
      <c r="M34" s="37"/>
      <c r="N34" s="11"/>
    </row>
    <row r="35" spans="2:14" s="117" customFormat="1" ht="114.75">
      <c r="B35" s="157"/>
      <c r="C35" s="188"/>
      <c r="D35" s="132" t="s">
        <v>195</v>
      </c>
      <c r="E35" s="142" t="s">
        <v>186</v>
      </c>
      <c r="F35" s="114" t="s">
        <v>6</v>
      </c>
      <c r="G35" s="118"/>
      <c r="H35" s="129">
        <v>2925</v>
      </c>
      <c r="I35" s="129">
        <v>2925</v>
      </c>
      <c r="J35" s="129">
        <v>2925</v>
      </c>
      <c r="K35" s="114" t="s">
        <v>5</v>
      </c>
      <c r="L35" s="115"/>
      <c r="M35" s="116"/>
    </row>
    <row r="36" spans="2:14" s="117" customFormat="1" ht="86.25">
      <c r="B36" s="157"/>
      <c r="C36" s="188"/>
      <c r="D36" s="132" t="s">
        <v>196</v>
      </c>
      <c r="E36" s="48" t="s">
        <v>187</v>
      </c>
      <c r="F36" s="114" t="s">
        <v>6</v>
      </c>
      <c r="G36" s="119"/>
      <c r="H36" s="129">
        <v>3140</v>
      </c>
      <c r="I36" s="129">
        <v>3140</v>
      </c>
      <c r="J36" s="129">
        <v>3140</v>
      </c>
      <c r="K36" s="114" t="s">
        <v>5</v>
      </c>
      <c r="L36" s="115"/>
      <c r="M36" s="116"/>
    </row>
    <row r="37" spans="2:14" ht="142.5">
      <c r="B37" s="157"/>
      <c r="C37" s="188"/>
      <c r="D37" s="19" t="s">
        <v>197</v>
      </c>
      <c r="E37" s="109" t="s">
        <v>145</v>
      </c>
      <c r="F37" s="59" t="s">
        <v>73</v>
      </c>
      <c r="G37" s="59"/>
      <c r="H37" s="78">
        <f>2090000/1000</f>
        <v>2090</v>
      </c>
      <c r="I37" s="78">
        <f>2090000/1000</f>
        <v>2090</v>
      </c>
      <c r="J37" s="78">
        <f>2090000/1000</f>
        <v>2090</v>
      </c>
      <c r="K37" s="79" t="s">
        <v>5</v>
      </c>
      <c r="L37" s="25"/>
      <c r="M37" s="37"/>
      <c r="N37" s="11"/>
    </row>
    <row r="38" spans="2:14" ht="108" customHeight="1">
      <c r="B38" s="158"/>
      <c r="C38" s="188"/>
      <c r="D38" s="33" t="s">
        <v>198</v>
      </c>
      <c r="E38" s="44" t="s">
        <v>178</v>
      </c>
      <c r="F38" s="27" t="s">
        <v>24</v>
      </c>
      <c r="G38" s="31"/>
      <c r="H38" s="43">
        <f>500000/1000</f>
        <v>500</v>
      </c>
      <c r="I38" s="43">
        <f>600000/1000</f>
        <v>600</v>
      </c>
      <c r="J38" s="43">
        <f>700000/1000</f>
        <v>700</v>
      </c>
      <c r="K38" s="3" t="s">
        <v>5</v>
      </c>
      <c r="L38" s="25"/>
      <c r="M38" s="37"/>
      <c r="N38" s="38"/>
    </row>
    <row r="39" spans="2:14" s="117" customFormat="1" ht="132.75" customHeight="1">
      <c r="B39" s="121"/>
      <c r="C39" s="188"/>
      <c r="D39" s="33" t="s">
        <v>199</v>
      </c>
      <c r="E39" s="127" t="s">
        <v>179</v>
      </c>
      <c r="F39" s="119" t="s">
        <v>24</v>
      </c>
      <c r="G39" s="128"/>
      <c r="H39" s="129">
        <f>1000000/1000</f>
        <v>1000</v>
      </c>
      <c r="I39" s="129">
        <f>1200000/1000</f>
        <v>1200</v>
      </c>
      <c r="J39" s="129">
        <f>1400000/1000</f>
        <v>1400</v>
      </c>
      <c r="K39" s="130" t="s">
        <v>5</v>
      </c>
      <c r="L39" s="115"/>
      <c r="M39" s="116"/>
      <c r="N39" s="124"/>
    </row>
    <row r="40" spans="2:14" s="117" customFormat="1" ht="108" customHeight="1">
      <c r="B40" s="121"/>
      <c r="C40" s="188"/>
      <c r="D40" s="181" t="s">
        <v>200</v>
      </c>
      <c r="E40" s="122" t="s">
        <v>173</v>
      </c>
      <c r="F40" s="119" t="s">
        <v>227</v>
      </c>
      <c r="G40" s="119"/>
      <c r="H40" s="143">
        <f>110000/1000</f>
        <v>110</v>
      </c>
      <c r="I40" s="143">
        <f>110000/1000</f>
        <v>110</v>
      </c>
      <c r="J40" s="143">
        <f>110000/1000</f>
        <v>110</v>
      </c>
      <c r="K40" s="123" t="s">
        <v>5</v>
      </c>
      <c r="L40" s="42"/>
      <c r="M40" s="116"/>
      <c r="N40" s="124"/>
    </row>
    <row r="41" spans="2:14" s="117" customFormat="1" ht="108" customHeight="1">
      <c r="B41" s="121"/>
      <c r="C41" s="188"/>
      <c r="D41" s="182"/>
      <c r="E41" s="125" t="s">
        <v>175</v>
      </c>
      <c r="F41" s="119" t="s">
        <v>227</v>
      </c>
      <c r="G41" s="119"/>
      <c r="H41" s="126">
        <f>4138000/1000</f>
        <v>4138</v>
      </c>
      <c r="I41" s="126">
        <f>4138000/1000</f>
        <v>4138</v>
      </c>
      <c r="J41" s="126">
        <f>4138000/1000</f>
        <v>4138</v>
      </c>
      <c r="K41" s="123" t="s">
        <v>5</v>
      </c>
      <c r="L41" s="42"/>
      <c r="M41" s="116"/>
      <c r="N41" s="124"/>
    </row>
    <row r="42" spans="2:14" s="117" customFormat="1" ht="108" customHeight="1">
      <c r="B42" s="121"/>
      <c r="C42" s="188"/>
      <c r="D42" s="48" t="s">
        <v>201</v>
      </c>
      <c r="E42" s="125" t="s">
        <v>174</v>
      </c>
      <c r="F42" s="119" t="s">
        <v>28</v>
      </c>
      <c r="G42" s="119"/>
      <c r="H42" s="144">
        <f>480000/1000</f>
        <v>480</v>
      </c>
      <c r="I42" s="144">
        <f>480000/1000</f>
        <v>480</v>
      </c>
      <c r="J42" s="144">
        <f>480000/1000</f>
        <v>480</v>
      </c>
      <c r="K42" s="123" t="s">
        <v>5</v>
      </c>
      <c r="L42" s="42"/>
      <c r="M42" s="116"/>
      <c r="N42" s="124"/>
    </row>
    <row r="43" spans="2:14" ht="72" customHeight="1">
      <c r="B43" s="159"/>
      <c r="C43" s="189" t="s">
        <v>221</v>
      </c>
      <c r="D43" s="19" t="s">
        <v>202</v>
      </c>
      <c r="E43" s="30" t="s">
        <v>147</v>
      </c>
      <c r="F43" s="27" t="s">
        <v>6</v>
      </c>
      <c r="G43" s="27"/>
      <c r="H43" s="72">
        <f>42000000/1000</f>
        <v>42000</v>
      </c>
      <c r="I43" s="72">
        <f t="shared" ref="I43:J43" si="3">42000000/1000</f>
        <v>42000</v>
      </c>
      <c r="J43" s="72">
        <f t="shared" si="3"/>
        <v>42000</v>
      </c>
      <c r="K43" s="29" t="s">
        <v>5</v>
      </c>
      <c r="L43" s="29"/>
      <c r="M43" s="37"/>
      <c r="N43" s="11"/>
    </row>
    <row r="44" spans="2:14" ht="140.25" customHeight="1">
      <c r="B44" s="159"/>
      <c r="C44" s="190"/>
      <c r="D44" s="48" t="s">
        <v>203</v>
      </c>
      <c r="E44" s="30" t="s">
        <v>148</v>
      </c>
      <c r="F44" s="27" t="s">
        <v>6</v>
      </c>
      <c r="G44" s="27"/>
      <c r="H44" s="72">
        <f>500000/1000</f>
        <v>500</v>
      </c>
      <c r="I44" s="72">
        <f>500000/1000</f>
        <v>500</v>
      </c>
      <c r="J44" s="72">
        <f>500000/1000</f>
        <v>500</v>
      </c>
      <c r="K44" s="29" t="s">
        <v>5</v>
      </c>
      <c r="L44" s="29"/>
      <c r="M44" s="37"/>
      <c r="N44" s="11"/>
    </row>
    <row r="45" spans="2:14" ht="57">
      <c r="B45" s="159"/>
      <c r="C45" s="190"/>
      <c r="D45" s="24" t="s">
        <v>204</v>
      </c>
      <c r="E45" s="30" t="s">
        <v>149</v>
      </c>
      <c r="F45" s="27" t="s">
        <v>6</v>
      </c>
      <c r="G45" s="27"/>
      <c r="H45" s="80">
        <f>19500000/1000</f>
        <v>19500</v>
      </c>
      <c r="I45" s="80">
        <f>19500000/1000</f>
        <v>19500</v>
      </c>
      <c r="J45" s="80">
        <f>19500000/1000</f>
        <v>19500</v>
      </c>
      <c r="K45" s="81" t="s">
        <v>5</v>
      </c>
      <c r="L45" s="29"/>
      <c r="M45" s="37"/>
      <c r="N45" s="11"/>
    </row>
    <row r="46" spans="2:14" ht="85.5">
      <c r="B46" s="159"/>
      <c r="C46" s="190"/>
      <c r="D46" s="19" t="s">
        <v>205</v>
      </c>
      <c r="E46" s="32" t="s">
        <v>150</v>
      </c>
      <c r="F46" s="27" t="s">
        <v>6</v>
      </c>
      <c r="G46" s="27"/>
      <c r="H46" s="43">
        <f>2000000/1000</f>
        <v>2000</v>
      </c>
      <c r="I46" s="43">
        <f t="shared" ref="I46:J46" si="4">2000000/1000</f>
        <v>2000</v>
      </c>
      <c r="J46" s="43">
        <f t="shared" si="4"/>
        <v>2000</v>
      </c>
      <c r="K46" s="60" t="s">
        <v>5</v>
      </c>
      <c r="L46" s="25"/>
      <c r="M46" s="37"/>
      <c r="N46" s="11"/>
    </row>
    <row r="47" spans="2:14" s="117" customFormat="1" ht="86.25">
      <c r="B47" s="159"/>
      <c r="C47" s="190"/>
      <c r="D47" s="48" t="s">
        <v>206</v>
      </c>
      <c r="E47" s="48" t="s">
        <v>151</v>
      </c>
      <c r="F47" s="114" t="s">
        <v>6</v>
      </c>
      <c r="G47" s="119"/>
      <c r="H47" s="144">
        <f>534000/1000</f>
        <v>534</v>
      </c>
      <c r="I47" s="144">
        <f>534000/1000</f>
        <v>534</v>
      </c>
      <c r="J47" s="144">
        <f>534000/1000</f>
        <v>534</v>
      </c>
      <c r="K47" s="114" t="s">
        <v>5</v>
      </c>
      <c r="L47" s="115"/>
      <c r="M47" s="116"/>
    </row>
    <row r="48" spans="2:14" s="117" customFormat="1" ht="72">
      <c r="B48" s="159"/>
      <c r="C48" s="190"/>
      <c r="D48" s="48" t="s">
        <v>207</v>
      </c>
      <c r="E48" s="48" t="s">
        <v>152</v>
      </c>
      <c r="F48" s="114" t="s">
        <v>6</v>
      </c>
      <c r="G48" s="119"/>
      <c r="H48" s="144">
        <f>3000000/1000</f>
        <v>3000</v>
      </c>
      <c r="I48" s="144">
        <f>3000000/1000</f>
        <v>3000</v>
      </c>
      <c r="J48" s="144">
        <f>3000000/1000</f>
        <v>3000</v>
      </c>
      <c r="K48" s="114" t="s">
        <v>5</v>
      </c>
      <c r="L48" s="115"/>
      <c r="M48" s="116"/>
    </row>
    <row r="49" spans="2:14" s="117" customFormat="1" ht="207" customHeight="1">
      <c r="B49" s="159"/>
      <c r="C49" s="190"/>
      <c r="D49" s="48" t="s">
        <v>208</v>
      </c>
      <c r="E49" s="48" t="s">
        <v>225</v>
      </c>
      <c r="F49" s="114" t="s">
        <v>6</v>
      </c>
      <c r="G49" s="119"/>
      <c r="H49" s="144">
        <f>88000/1000</f>
        <v>88</v>
      </c>
      <c r="I49" s="144">
        <f>90000/1000</f>
        <v>90</v>
      </c>
      <c r="J49" s="144">
        <f>90000/1000</f>
        <v>90</v>
      </c>
      <c r="K49" s="114" t="s">
        <v>5</v>
      </c>
      <c r="L49" s="149"/>
      <c r="M49" s="116"/>
    </row>
    <row r="50" spans="2:14" ht="87.75">
      <c r="B50" s="159"/>
      <c r="C50" s="190"/>
      <c r="D50" s="19" t="s">
        <v>209</v>
      </c>
      <c r="E50" s="109" t="s">
        <v>172</v>
      </c>
      <c r="F50" s="60" t="s">
        <v>23</v>
      </c>
      <c r="G50" s="31"/>
      <c r="H50" s="43">
        <f>20500000/1000</f>
        <v>20500</v>
      </c>
      <c r="I50" s="43">
        <f t="shared" ref="I50:J50" si="5">20500000/1000</f>
        <v>20500</v>
      </c>
      <c r="J50" s="43">
        <f t="shared" si="5"/>
        <v>20500</v>
      </c>
      <c r="K50" s="28" t="s">
        <v>5</v>
      </c>
      <c r="L50" s="28"/>
      <c r="M50" s="37"/>
      <c r="N50" s="11"/>
    </row>
    <row r="51" spans="2:14" ht="85.5">
      <c r="B51" s="159"/>
      <c r="C51" s="190"/>
      <c r="D51" s="19" t="s">
        <v>210</v>
      </c>
      <c r="E51" s="19" t="s">
        <v>153</v>
      </c>
      <c r="F51" s="60" t="s">
        <v>23</v>
      </c>
      <c r="G51" s="31"/>
      <c r="H51" s="43">
        <f>6650000/1000</f>
        <v>6650</v>
      </c>
      <c r="I51" s="43">
        <f t="shared" ref="I51:J51" si="6">6650000/1000</f>
        <v>6650</v>
      </c>
      <c r="J51" s="43">
        <f t="shared" si="6"/>
        <v>6650</v>
      </c>
      <c r="K51" s="28" t="s">
        <v>5</v>
      </c>
      <c r="L51" s="28"/>
      <c r="M51" s="37"/>
      <c r="N51" s="11"/>
    </row>
    <row r="52" spans="2:14" ht="102">
      <c r="B52" s="159"/>
      <c r="C52" s="190"/>
      <c r="D52" s="24" t="s">
        <v>211</v>
      </c>
      <c r="E52" s="24" t="s">
        <v>154</v>
      </c>
      <c r="F52" s="27" t="s">
        <v>24</v>
      </c>
      <c r="G52" s="31"/>
      <c r="H52" s="43">
        <f>150000/1000</f>
        <v>150</v>
      </c>
      <c r="I52" s="43">
        <f>220000/1000</f>
        <v>220</v>
      </c>
      <c r="J52" s="43">
        <f>220000/1000</f>
        <v>220</v>
      </c>
      <c r="K52" s="3" t="s">
        <v>5</v>
      </c>
      <c r="L52" s="25"/>
      <c r="M52" s="37"/>
      <c r="N52" s="11"/>
    </row>
    <row r="53" spans="2:14" ht="70.5" customHeight="1">
      <c r="B53" s="159"/>
      <c r="C53" s="190"/>
      <c r="D53" s="24" t="s">
        <v>212</v>
      </c>
      <c r="E53" s="24" t="s">
        <v>155</v>
      </c>
      <c r="F53" s="27" t="s">
        <v>24</v>
      </c>
      <c r="G53" s="31"/>
      <c r="H53" s="43">
        <f>20000000/1000</f>
        <v>20000</v>
      </c>
      <c r="I53" s="43">
        <f>10000000/1000</f>
        <v>10000</v>
      </c>
      <c r="J53" s="43">
        <f>15000000/1000</f>
        <v>15000</v>
      </c>
      <c r="K53" s="3" t="s">
        <v>5</v>
      </c>
      <c r="L53" s="25"/>
      <c r="M53" s="37"/>
      <c r="N53" s="11"/>
    </row>
    <row r="54" spans="2:14" ht="71.25">
      <c r="B54" s="159"/>
      <c r="C54" s="190"/>
      <c r="D54" s="24" t="s">
        <v>213</v>
      </c>
      <c r="E54" s="24" t="s">
        <v>156</v>
      </c>
      <c r="F54" s="27" t="s">
        <v>24</v>
      </c>
      <c r="G54" s="31"/>
      <c r="H54" s="43">
        <f>300000/1000</f>
        <v>300</v>
      </c>
      <c r="I54" s="43">
        <f>350000/1000</f>
        <v>350</v>
      </c>
      <c r="J54" s="43">
        <f>400000/1000</f>
        <v>400</v>
      </c>
      <c r="K54" s="3" t="s">
        <v>5</v>
      </c>
      <c r="L54" s="25"/>
      <c r="M54" s="37"/>
      <c r="N54" s="11"/>
    </row>
    <row r="55" spans="2:14" ht="156.75">
      <c r="B55" s="159"/>
      <c r="C55" s="190"/>
      <c r="D55" s="19" t="s">
        <v>214</v>
      </c>
      <c r="E55" s="19" t="s">
        <v>157</v>
      </c>
      <c r="F55" s="27" t="s">
        <v>75</v>
      </c>
      <c r="G55" s="27" t="s">
        <v>171</v>
      </c>
      <c r="H55" s="43">
        <f>60000000/1000</f>
        <v>60000</v>
      </c>
      <c r="I55" s="43">
        <f t="shared" ref="I55:J55" si="7">60000000/1000</f>
        <v>60000</v>
      </c>
      <c r="J55" s="43">
        <f t="shared" si="7"/>
        <v>60000</v>
      </c>
      <c r="K55" s="79" t="s">
        <v>5</v>
      </c>
      <c r="L55" s="172" t="s">
        <v>26</v>
      </c>
      <c r="M55" s="37"/>
      <c r="N55" s="11"/>
    </row>
    <row r="56" spans="2:14" ht="99.75">
      <c r="B56" s="159"/>
      <c r="C56" s="190"/>
      <c r="D56" s="19" t="s">
        <v>215</v>
      </c>
      <c r="E56" s="19" t="s">
        <v>158</v>
      </c>
      <c r="F56" s="26" t="s">
        <v>25</v>
      </c>
      <c r="G56" s="27" t="s">
        <v>29</v>
      </c>
      <c r="H56" s="43">
        <f>10000000/1000</f>
        <v>10000</v>
      </c>
      <c r="I56" s="43">
        <f t="shared" ref="I56:J56" si="8">10000000/1000</f>
        <v>10000</v>
      </c>
      <c r="J56" s="43">
        <f t="shared" si="8"/>
        <v>10000</v>
      </c>
      <c r="K56" s="79" t="s">
        <v>5</v>
      </c>
      <c r="L56" s="173"/>
      <c r="M56" s="37"/>
      <c r="N56" s="11"/>
    </row>
    <row r="57" spans="2:14" ht="156.75">
      <c r="B57" s="159"/>
      <c r="C57" s="190"/>
      <c r="D57" s="19" t="s">
        <v>216</v>
      </c>
      <c r="E57" s="19" t="s">
        <v>159</v>
      </c>
      <c r="F57" s="26" t="s">
        <v>75</v>
      </c>
      <c r="G57" s="27" t="s">
        <v>171</v>
      </c>
      <c r="H57" s="43">
        <f>15000000/1000</f>
        <v>15000</v>
      </c>
      <c r="I57" s="43">
        <f t="shared" ref="I57:J57" si="9">15000000/1000</f>
        <v>15000</v>
      </c>
      <c r="J57" s="43">
        <f t="shared" si="9"/>
        <v>15000</v>
      </c>
      <c r="K57" s="79" t="s">
        <v>5</v>
      </c>
      <c r="L57" s="173"/>
      <c r="M57" s="37"/>
      <c r="N57" s="11"/>
    </row>
    <row r="58" spans="2:14" ht="99.75">
      <c r="B58" s="159"/>
      <c r="C58" s="190"/>
      <c r="D58" s="19" t="s">
        <v>217</v>
      </c>
      <c r="E58" s="19" t="s">
        <v>160</v>
      </c>
      <c r="F58" s="26" t="s">
        <v>25</v>
      </c>
      <c r="G58" s="27" t="s">
        <v>29</v>
      </c>
      <c r="H58" s="43">
        <f>2000000/1000</f>
        <v>2000</v>
      </c>
      <c r="I58" s="43">
        <f t="shared" ref="I58:J58" si="10">2000000/1000</f>
        <v>2000</v>
      </c>
      <c r="J58" s="43">
        <f t="shared" si="10"/>
        <v>2000</v>
      </c>
      <c r="K58" s="79" t="s">
        <v>5</v>
      </c>
      <c r="L58" s="173"/>
      <c r="M58" s="37"/>
      <c r="N58" s="11"/>
    </row>
    <row r="59" spans="2:14" ht="228">
      <c r="B59" s="159"/>
      <c r="C59" s="190"/>
      <c r="D59" s="19" t="s">
        <v>218</v>
      </c>
      <c r="E59" s="19" t="s">
        <v>161</v>
      </c>
      <c r="F59" s="26" t="s">
        <v>76</v>
      </c>
      <c r="G59" s="27" t="s">
        <v>74</v>
      </c>
      <c r="H59" s="43">
        <f>100000000/1000</f>
        <v>100000</v>
      </c>
      <c r="I59" s="43">
        <f t="shared" ref="I59:J59" si="11">100000000/1000</f>
        <v>100000</v>
      </c>
      <c r="J59" s="43">
        <f t="shared" si="11"/>
        <v>100000</v>
      </c>
      <c r="K59" s="79" t="s">
        <v>5</v>
      </c>
      <c r="L59" s="173"/>
      <c r="M59" s="37"/>
      <c r="N59" s="11"/>
    </row>
    <row r="60" spans="2:14" ht="99.75">
      <c r="B60" s="159"/>
      <c r="C60" s="190"/>
      <c r="D60" s="19" t="s">
        <v>219</v>
      </c>
      <c r="E60" s="19" t="s">
        <v>162</v>
      </c>
      <c r="F60" s="26" t="s">
        <v>25</v>
      </c>
      <c r="G60" s="27" t="s">
        <v>29</v>
      </c>
      <c r="H60" s="43">
        <f>500000/1000</f>
        <v>500</v>
      </c>
      <c r="I60" s="43">
        <f t="shared" ref="I60:J60" si="12">500000/1000</f>
        <v>500</v>
      </c>
      <c r="J60" s="43">
        <f t="shared" si="12"/>
        <v>500</v>
      </c>
      <c r="K60" s="79" t="s">
        <v>5</v>
      </c>
      <c r="L60" s="173"/>
      <c r="M60" s="37"/>
      <c r="N60" s="11"/>
    </row>
    <row r="61" spans="2:14" ht="99.75">
      <c r="B61" s="159"/>
      <c r="C61" s="190"/>
      <c r="D61" s="19" t="s">
        <v>30</v>
      </c>
      <c r="E61" s="19" t="s">
        <v>163</v>
      </c>
      <c r="F61" s="26" t="s">
        <v>25</v>
      </c>
      <c r="G61" s="27" t="s">
        <v>29</v>
      </c>
      <c r="H61" s="82">
        <f>2500000/1000</f>
        <v>2500</v>
      </c>
      <c r="I61" s="82">
        <f t="shared" ref="I61:J61" si="13">2500000/1000</f>
        <v>2500</v>
      </c>
      <c r="J61" s="82">
        <f t="shared" si="13"/>
        <v>2500</v>
      </c>
      <c r="K61" s="79" t="s">
        <v>5</v>
      </c>
      <c r="L61" s="174"/>
      <c r="M61" s="37"/>
      <c r="N61" s="11"/>
    </row>
    <row r="62" spans="2:14" ht="142.5">
      <c r="B62" s="159"/>
      <c r="C62" s="190"/>
      <c r="D62" s="19" t="s">
        <v>62</v>
      </c>
      <c r="E62" s="44" t="s">
        <v>164</v>
      </c>
      <c r="F62" s="27" t="s">
        <v>27</v>
      </c>
      <c r="G62" s="31"/>
      <c r="H62" s="43">
        <f>6900000/1000</f>
        <v>6900</v>
      </c>
      <c r="I62" s="43">
        <f t="shared" ref="I62:J62" si="14">6900000/1000</f>
        <v>6900</v>
      </c>
      <c r="J62" s="43">
        <f t="shared" si="14"/>
        <v>6900</v>
      </c>
      <c r="K62" s="3" t="s">
        <v>5</v>
      </c>
      <c r="L62" s="25"/>
      <c r="M62" s="37"/>
      <c r="N62" s="11"/>
    </row>
    <row r="63" spans="2:14" ht="142.5">
      <c r="B63" s="159"/>
      <c r="C63" s="190"/>
      <c r="D63" s="24" t="s">
        <v>61</v>
      </c>
      <c r="E63" s="44" t="s">
        <v>165</v>
      </c>
      <c r="F63" s="27" t="s">
        <v>27</v>
      </c>
      <c r="G63" s="31"/>
      <c r="H63" s="80">
        <f>1170000/1000</f>
        <v>1170</v>
      </c>
      <c r="I63" s="80">
        <f t="shared" ref="I63:J63" si="15">1170000/1000</f>
        <v>1170</v>
      </c>
      <c r="J63" s="80">
        <f t="shared" si="15"/>
        <v>1170</v>
      </c>
      <c r="K63" s="3" t="s">
        <v>5</v>
      </c>
      <c r="L63" s="25"/>
      <c r="M63" s="37"/>
      <c r="N63" s="11"/>
    </row>
    <row r="64" spans="2:14" ht="142.5">
      <c r="B64" s="159"/>
      <c r="C64" s="190"/>
      <c r="D64" s="19" t="s">
        <v>63</v>
      </c>
      <c r="E64" s="109" t="s">
        <v>166</v>
      </c>
      <c r="F64" s="27" t="s">
        <v>73</v>
      </c>
      <c r="G64" s="27"/>
      <c r="H64" s="43">
        <f>26000000/1000</f>
        <v>26000</v>
      </c>
      <c r="I64" s="43">
        <f>26000000/1000</f>
        <v>26000</v>
      </c>
      <c r="J64" s="43">
        <f>26000000/1000</f>
        <v>26000</v>
      </c>
      <c r="K64" s="79" t="s">
        <v>5</v>
      </c>
      <c r="L64" s="25" t="s">
        <v>128</v>
      </c>
      <c r="M64" s="37"/>
      <c r="N64" s="11"/>
    </row>
    <row r="65" spans="2:59" ht="114">
      <c r="B65" s="159"/>
      <c r="C65" s="190"/>
      <c r="D65" s="183" t="s">
        <v>100</v>
      </c>
      <c r="E65" s="109" t="s">
        <v>167</v>
      </c>
      <c r="F65" s="27" t="s">
        <v>77</v>
      </c>
      <c r="G65" s="27" t="s">
        <v>101</v>
      </c>
      <c r="H65" s="83">
        <f>793000/1000</f>
        <v>793</v>
      </c>
      <c r="I65" s="83">
        <f>791000/1000</f>
        <v>791</v>
      </c>
      <c r="J65" s="83">
        <v>0</v>
      </c>
      <c r="K65" s="83" t="s">
        <v>102</v>
      </c>
      <c r="L65" s="84"/>
      <c r="M65" s="37"/>
      <c r="N65" s="11"/>
    </row>
    <row r="66" spans="2:59" ht="114">
      <c r="B66" s="159"/>
      <c r="C66" s="190"/>
      <c r="D66" s="184"/>
      <c r="E66" s="19" t="s">
        <v>168</v>
      </c>
      <c r="F66" s="27" t="s">
        <v>77</v>
      </c>
      <c r="G66" s="27" t="s">
        <v>101</v>
      </c>
      <c r="H66" s="83">
        <f>(9100000+646000)/1000</f>
        <v>9746</v>
      </c>
      <c r="I66" s="83">
        <f>(4555000+405000)/1000</f>
        <v>4960</v>
      </c>
      <c r="J66" s="83">
        <v>0</v>
      </c>
      <c r="K66" s="83" t="s">
        <v>103</v>
      </c>
      <c r="L66" s="83"/>
      <c r="M66" s="37"/>
      <c r="N66" s="11"/>
    </row>
    <row r="67" spans="2:59" ht="87.75">
      <c r="B67" s="159"/>
      <c r="C67" s="190"/>
      <c r="D67" s="19" t="s">
        <v>104</v>
      </c>
      <c r="E67" s="109" t="s">
        <v>169</v>
      </c>
      <c r="F67" s="27" t="s">
        <v>78</v>
      </c>
      <c r="G67" s="27"/>
      <c r="H67" s="83">
        <f>2000000/1000</f>
        <v>2000</v>
      </c>
      <c r="I67" s="83">
        <f>4800000/1000</f>
        <v>4800</v>
      </c>
      <c r="J67" s="83">
        <f>2400000/1000</f>
        <v>2400</v>
      </c>
      <c r="K67" s="27" t="s">
        <v>31</v>
      </c>
      <c r="L67" s="27"/>
      <c r="M67" s="37"/>
      <c r="N67" s="11"/>
    </row>
    <row r="68" spans="2:59" ht="128.25">
      <c r="B68" s="160"/>
      <c r="C68" s="190"/>
      <c r="D68" s="19" t="s">
        <v>105</v>
      </c>
      <c r="E68" s="45" t="s">
        <v>180</v>
      </c>
      <c r="F68" s="27" t="s">
        <v>79</v>
      </c>
      <c r="G68" s="27"/>
      <c r="H68" s="83">
        <f>100000/1000</f>
        <v>100</v>
      </c>
      <c r="I68" s="83">
        <f>100000/1000</f>
        <v>100</v>
      </c>
      <c r="J68" s="83">
        <f>100000/1000</f>
        <v>100</v>
      </c>
      <c r="K68" s="27" t="s">
        <v>32</v>
      </c>
      <c r="L68" s="26"/>
      <c r="M68" s="37"/>
      <c r="N68" s="38"/>
      <c r="O68" s="10"/>
      <c r="P68" s="10"/>
    </row>
    <row r="69" spans="2:59" s="138" customFormat="1" ht="168" customHeight="1">
      <c r="B69" s="131"/>
      <c r="C69" s="190"/>
      <c r="D69" s="132" t="s">
        <v>106</v>
      </c>
      <c r="E69" s="132" t="s">
        <v>181</v>
      </c>
      <c r="F69" s="133" t="s">
        <v>84</v>
      </c>
      <c r="G69" s="133"/>
      <c r="H69" s="134">
        <f>2000000/1000</f>
        <v>2000</v>
      </c>
      <c r="I69" s="134">
        <f>1000000/1000</f>
        <v>1000</v>
      </c>
      <c r="J69" s="134"/>
      <c r="K69" s="133" t="s">
        <v>85</v>
      </c>
      <c r="L69" s="135"/>
      <c r="M69" s="136"/>
      <c r="N69" s="137"/>
      <c r="O69" s="137"/>
      <c r="P69" s="137"/>
    </row>
    <row r="70" spans="2:59" s="117" customFormat="1" ht="99.75">
      <c r="B70" s="139"/>
      <c r="C70" s="191"/>
      <c r="D70" s="48" t="s">
        <v>108</v>
      </c>
      <c r="E70" s="132" t="s">
        <v>170</v>
      </c>
      <c r="F70" s="119" t="s">
        <v>7</v>
      </c>
      <c r="G70" s="119"/>
      <c r="H70" s="140">
        <f>24000000/1000</f>
        <v>24000</v>
      </c>
      <c r="I70" s="140">
        <f>28000000/1000</f>
        <v>28000</v>
      </c>
      <c r="J70" s="140">
        <f>31000000/1000</f>
        <v>31000</v>
      </c>
      <c r="K70" s="119"/>
      <c r="L70" s="114"/>
      <c r="M70" s="116"/>
      <c r="N70" s="124"/>
      <c r="O70" s="124"/>
      <c r="P70" s="124"/>
    </row>
    <row r="71" spans="2:59" ht="234" customHeight="1">
      <c r="B71" s="20">
        <v>2.2999999999999998</v>
      </c>
      <c r="C71" s="147" t="s">
        <v>124</v>
      </c>
      <c r="D71" s="24"/>
      <c r="E71" s="24"/>
      <c r="F71" s="27"/>
      <c r="G71" s="31"/>
      <c r="H71" s="43"/>
      <c r="I71" s="43"/>
      <c r="J71" s="43"/>
      <c r="K71" s="3"/>
      <c r="L71" s="25"/>
      <c r="M71" s="37"/>
      <c r="N71" s="11"/>
      <c r="O71" s="11" t="s">
        <v>51</v>
      </c>
    </row>
    <row r="72" spans="2:59" s="7" customFormat="1" ht="25.5">
      <c r="B72" s="8"/>
      <c r="C72" s="106" t="s">
        <v>48</v>
      </c>
      <c r="D72" s="6"/>
      <c r="E72" s="6"/>
      <c r="F72" s="61"/>
      <c r="G72" s="61"/>
      <c r="H72" s="85">
        <f>SUM(H26:H71)</f>
        <v>423346</v>
      </c>
      <c r="I72" s="85">
        <f>SUM(I26:I71)</f>
        <v>411953</v>
      </c>
      <c r="J72" s="85">
        <f>SUM(J26:J71)</f>
        <v>409266</v>
      </c>
      <c r="K72" s="86" t="s">
        <v>46</v>
      </c>
      <c r="L72" s="87">
        <f>H72+I72+J72</f>
        <v>1244565</v>
      </c>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row>
    <row r="73" spans="2:59" ht="32.1" customHeight="1">
      <c r="B73" s="171" t="s">
        <v>125</v>
      </c>
      <c r="C73" s="171"/>
      <c r="D73" s="171"/>
      <c r="E73" s="171"/>
      <c r="F73" s="171"/>
      <c r="G73" s="171"/>
      <c r="H73" s="171"/>
      <c r="I73" s="171"/>
      <c r="J73" s="171"/>
      <c r="K73" s="171"/>
      <c r="L73" s="171"/>
      <c r="M73" s="11"/>
      <c r="N73" s="11"/>
    </row>
    <row r="74" spans="2:59" ht="315" customHeight="1">
      <c r="B74" s="156">
        <v>3.1</v>
      </c>
      <c r="C74" s="151" t="s">
        <v>126</v>
      </c>
      <c r="D74" s="5" t="s">
        <v>34</v>
      </c>
      <c r="E74" s="54" t="s">
        <v>110</v>
      </c>
      <c r="F74" s="62" t="s">
        <v>80</v>
      </c>
      <c r="G74" s="112"/>
      <c r="H74" s="43">
        <f>280000/1000</f>
        <v>280</v>
      </c>
      <c r="I74" s="43">
        <f>270000/1000</f>
        <v>270</v>
      </c>
      <c r="J74" s="43">
        <f>270000/1000</f>
        <v>270</v>
      </c>
      <c r="K74" s="62" t="s">
        <v>33</v>
      </c>
      <c r="L74" s="46"/>
      <c r="M74" s="39"/>
      <c r="N74" s="40"/>
      <c r="O74" s="4"/>
      <c r="P74" s="4"/>
      <c r="Q74" s="4"/>
      <c r="R74" s="4"/>
    </row>
    <row r="75" spans="2:59" ht="162.75" customHeight="1">
      <c r="B75" s="157"/>
      <c r="C75" s="152"/>
      <c r="D75" s="146" t="s">
        <v>35</v>
      </c>
      <c r="E75" s="14" t="s">
        <v>111</v>
      </c>
      <c r="F75" s="63" t="s">
        <v>80</v>
      </c>
      <c r="G75" s="112"/>
      <c r="H75" s="43">
        <f>300000/1000</f>
        <v>300</v>
      </c>
      <c r="I75" s="43">
        <f>300000/1000</f>
        <v>300</v>
      </c>
      <c r="J75" s="43">
        <f>350000/1000</f>
        <v>350</v>
      </c>
      <c r="K75" s="62" t="s">
        <v>33</v>
      </c>
      <c r="L75" s="88"/>
      <c r="M75" s="39"/>
      <c r="N75" s="11"/>
    </row>
    <row r="76" spans="2:59" ht="273">
      <c r="B76" s="157"/>
      <c r="C76" s="152"/>
      <c r="D76" s="15" t="s">
        <v>36</v>
      </c>
      <c r="E76" s="55" t="s">
        <v>112</v>
      </c>
      <c r="F76" s="62" t="s">
        <v>81</v>
      </c>
      <c r="G76" s="70"/>
      <c r="H76" s="89">
        <f>(5513800+4000000)/1000</f>
        <v>9513.7999999999993</v>
      </c>
      <c r="I76" s="89">
        <f>(3400000+4000000)/1000</f>
        <v>7400</v>
      </c>
      <c r="J76" s="89">
        <f>(3400000+4000000)/1000</f>
        <v>7400</v>
      </c>
      <c r="K76" s="90" t="s">
        <v>33</v>
      </c>
      <c r="L76" s="91"/>
      <c r="M76" s="39"/>
      <c r="N76" s="11"/>
    </row>
    <row r="77" spans="2:59" ht="189">
      <c r="B77" s="157"/>
      <c r="C77" s="152"/>
      <c r="D77" s="15" t="s">
        <v>37</v>
      </c>
      <c r="E77" s="54" t="s">
        <v>113</v>
      </c>
      <c r="F77" s="62" t="s">
        <v>81</v>
      </c>
      <c r="G77" s="112"/>
      <c r="H77" s="92">
        <f>1037400/1000</f>
        <v>1037.4000000000001</v>
      </c>
      <c r="I77" s="92">
        <f>1050000/1000</f>
        <v>1050</v>
      </c>
      <c r="J77" s="92">
        <f>1100000/1000</f>
        <v>1100</v>
      </c>
      <c r="K77" s="93" t="s">
        <v>33</v>
      </c>
      <c r="L77" s="88"/>
      <c r="M77" s="39"/>
      <c r="N77" s="11"/>
    </row>
    <row r="78" spans="2:59" ht="187.5">
      <c r="B78" s="157"/>
      <c r="C78" s="152"/>
      <c r="D78" s="15" t="s">
        <v>38</v>
      </c>
      <c r="E78" s="5" t="s">
        <v>114</v>
      </c>
      <c r="F78" s="62" t="s">
        <v>81</v>
      </c>
      <c r="G78" s="112"/>
      <c r="H78" s="92">
        <f>775000/1000</f>
        <v>775</v>
      </c>
      <c r="I78" s="92">
        <f>850000/1000</f>
        <v>850</v>
      </c>
      <c r="J78" s="92">
        <f>850000/1000</f>
        <v>850</v>
      </c>
      <c r="K78" s="93" t="s">
        <v>33</v>
      </c>
      <c r="L78" s="88"/>
      <c r="M78" s="39"/>
      <c r="N78" s="11"/>
    </row>
    <row r="79" spans="2:59" ht="128.25">
      <c r="B79" s="157"/>
      <c r="C79" s="152"/>
      <c r="D79" s="15" t="s">
        <v>39</v>
      </c>
      <c r="E79" s="150" t="s">
        <v>226</v>
      </c>
      <c r="F79" s="64" t="s">
        <v>82</v>
      </c>
      <c r="G79" s="64"/>
      <c r="H79" s="94">
        <f>284920/1000</f>
        <v>284.92</v>
      </c>
      <c r="I79" s="94">
        <f>537920/1000</f>
        <v>537.91999999999996</v>
      </c>
      <c r="J79" s="94">
        <f>507920/1000</f>
        <v>507.92</v>
      </c>
      <c r="K79" s="93" t="s">
        <v>33</v>
      </c>
      <c r="L79" s="88"/>
      <c r="M79" s="39"/>
      <c r="N79" s="11"/>
    </row>
    <row r="80" spans="2:59" ht="128.25">
      <c r="B80" s="157"/>
      <c r="C80" s="152"/>
      <c r="D80" s="15" t="s">
        <v>40</v>
      </c>
      <c r="E80" s="56" t="s">
        <v>115</v>
      </c>
      <c r="F80" s="64" t="s">
        <v>82</v>
      </c>
      <c r="G80" s="64"/>
      <c r="H80" s="94">
        <f>141500/1000</f>
        <v>141.5</v>
      </c>
      <c r="I80" s="94">
        <f>178000/1000</f>
        <v>178</v>
      </c>
      <c r="J80" s="94">
        <f>178000/1000</f>
        <v>178</v>
      </c>
      <c r="K80" s="93" t="s">
        <v>33</v>
      </c>
      <c r="L80" s="88"/>
      <c r="M80" s="39"/>
      <c r="N80" s="11"/>
    </row>
    <row r="81" spans="2:16" ht="128.25">
      <c r="B81" s="157"/>
      <c r="C81" s="152"/>
      <c r="D81" s="15" t="s">
        <v>41</v>
      </c>
      <c r="E81" s="57" t="s">
        <v>116</v>
      </c>
      <c r="F81" s="64" t="s">
        <v>82</v>
      </c>
      <c r="G81" s="64"/>
      <c r="H81" s="94">
        <f>96400/1000</f>
        <v>96.4</v>
      </c>
      <c r="I81" s="94">
        <f>85200/1000</f>
        <v>85.2</v>
      </c>
      <c r="J81" s="94">
        <f>85200/1000</f>
        <v>85.2</v>
      </c>
      <c r="K81" s="93" t="s">
        <v>33</v>
      </c>
      <c r="L81" s="88"/>
      <c r="M81" s="39"/>
      <c r="N81" s="11"/>
    </row>
    <row r="82" spans="2:16" ht="187.5">
      <c r="B82" s="158"/>
      <c r="C82" s="153"/>
      <c r="D82" s="15" t="s">
        <v>42</v>
      </c>
      <c r="E82" s="5" t="s">
        <v>117</v>
      </c>
      <c r="F82" s="65" t="s">
        <v>82</v>
      </c>
      <c r="G82" s="71"/>
      <c r="H82" s="95">
        <f>840400/1000</f>
        <v>840.4</v>
      </c>
      <c r="I82" s="95">
        <f>661000/1000</f>
        <v>661</v>
      </c>
      <c r="J82" s="95">
        <f>545200/1000</f>
        <v>545.20000000000005</v>
      </c>
      <c r="K82" s="96" t="s">
        <v>33</v>
      </c>
      <c r="L82" s="88"/>
      <c r="M82" s="39"/>
      <c r="N82" s="38"/>
      <c r="O82" s="10"/>
      <c r="P82" s="10"/>
    </row>
    <row r="83" spans="2:16" ht="171">
      <c r="B83" s="16">
        <v>3.2</v>
      </c>
      <c r="C83" s="27" t="s">
        <v>127</v>
      </c>
      <c r="D83" s="19" t="s">
        <v>43</v>
      </c>
      <c r="E83" s="110" t="s">
        <v>118</v>
      </c>
      <c r="F83" s="41" t="s">
        <v>83</v>
      </c>
      <c r="G83" s="113"/>
      <c r="H83" s="82">
        <f>20000000/1000</f>
        <v>20000</v>
      </c>
      <c r="I83" s="82">
        <f>24000000/1000</f>
        <v>24000</v>
      </c>
      <c r="J83" s="82">
        <f>22000000/1000</f>
        <v>22000</v>
      </c>
      <c r="K83" s="97" t="s">
        <v>5</v>
      </c>
      <c r="L83" s="23" t="s">
        <v>26</v>
      </c>
      <c r="M83" s="39"/>
      <c r="N83" s="38"/>
    </row>
    <row r="84" spans="2:16" ht="187.5">
      <c r="B84" s="16">
        <v>3.3</v>
      </c>
      <c r="C84" s="154" t="s">
        <v>222</v>
      </c>
      <c r="D84" s="5" t="s">
        <v>44</v>
      </c>
      <c r="E84" s="47" t="s">
        <v>119</v>
      </c>
      <c r="F84" s="66" t="s">
        <v>82</v>
      </c>
      <c r="G84" s="66"/>
      <c r="H84" s="98">
        <f>1142000/1000</f>
        <v>1142</v>
      </c>
      <c r="I84" s="98">
        <f>2079800/1000</f>
        <v>2079.8000000000002</v>
      </c>
      <c r="J84" s="98">
        <f>2479800/1000</f>
        <v>2479.8000000000002</v>
      </c>
      <c r="K84" s="99" t="s">
        <v>33</v>
      </c>
      <c r="L84" s="88"/>
      <c r="M84" s="39"/>
      <c r="N84" s="38"/>
    </row>
    <row r="85" spans="2:16" ht="128.25">
      <c r="B85" s="21"/>
      <c r="C85" s="155"/>
      <c r="D85" s="24" t="s">
        <v>60</v>
      </c>
      <c r="E85" s="24" t="s">
        <v>120</v>
      </c>
      <c r="F85" s="27" t="s">
        <v>66</v>
      </c>
      <c r="G85" s="27"/>
      <c r="H85" s="43">
        <v>8907.0244615384618</v>
      </c>
      <c r="I85" s="43">
        <v>12865.701999999999</v>
      </c>
      <c r="J85" s="43">
        <v>14350.206076923076</v>
      </c>
      <c r="K85" s="3" t="s">
        <v>5</v>
      </c>
      <c r="L85" s="25"/>
      <c r="M85" s="39"/>
      <c r="N85" s="38"/>
    </row>
    <row r="86" spans="2:16" s="11" customFormat="1" ht="25.5">
      <c r="B86" s="17"/>
      <c r="C86" s="106" t="s">
        <v>49</v>
      </c>
      <c r="D86" s="49"/>
      <c r="E86" s="49"/>
      <c r="F86" s="67"/>
      <c r="G86" s="67"/>
      <c r="H86" s="100">
        <f>SUM(H74:H85)</f>
        <v>43318.444461538456</v>
      </c>
      <c r="I86" s="100">
        <f t="shared" ref="I86:J86" si="16">SUM(I74:I85)</f>
        <v>50277.622000000003</v>
      </c>
      <c r="J86" s="100">
        <f t="shared" si="16"/>
        <v>50116.326076923076</v>
      </c>
      <c r="K86" s="101" t="s">
        <v>46</v>
      </c>
      <c r="L86" s="102">
        <f>H86+I86+J86</f>
        <v>143712.39253846154</v>
      </c>
      <c r="N86" s="18"/>
    </row>
    <row r="87" spans="2:16" s="11" customFormat="1" ht="29.1" customHeight="1">
      <c r="B87" s="17"/>
      <c r="C87" s="107" t="s">
        <v>45</v>
      </c>
      <c r="D87" s="50"/>
      <c r="E87" s="50"/>
      <c r="F87" s="68"/>
      <c r="G87" s="107"/>
      <c r="H87" s="103">
        <f>H86+H72+H24</f>
        <v>706699.11261371232</v>
      </c>
      <c r="I87" s="103">
        <f>I86+I72+I24</f>
        <v>665281.67530434777</v>
      </c>
      <c r="J87" s="103">
        <f>J86+J72+J24</f>
        <v>652373.1496856187</v>
      </c>
      <c r="K87" s="68" t="s">
        <v>46</v>
      </c>
      <c r="L87" s="103">
        <f>H87+I87+J87</f>
        <v>2024353.9376036788</v>
      </c>
    </row>
    <row r="88" spans="2:16">
      <c r="H88" s="145"/>
      <c r="L88" s="104"/>
      <c r="M88" s="11"/>
      <c r="N88" s="11"/>
    </row>
    <row r="89" spans="2:16">
      <c r="H89" s="145"/>
      <c r="M89" s="11"/>
      <c r="N89" s="11"/>
    </row>
    <row r="90" spans="2:16">
      <c r="M90" s="11"/>
      <c r="N90" s="11"/>
    </row>
    <row r="91" spans="2:16">
      <c r="M91" s="11"/>
      <c r="N91" s="11"/>
    </row>
    <row r="92" spans="2:16">
      <c r="M92" s="11"/>
      <c r="N92" s="11"/>
    </row>
    <row r="93" spans="2:16">
      <c r="M93" s="11"/>
      <c r="N93" s="11"/>
    </row>
    <row r="94" spans="2:16">
      <c r="M94" s="11"/>
      <c r="N94" s="11"/>
    </row>
    <row r="95" spans="2:16">
      <c r="M95" s="11"/>
      <c r="N95" s="11"/>
    </row>
    <row r="96" spans="2:16">
      <c r="M96" s="11"/>
      <c r="N96" s="11"/>
    </row>
    <row r="97" spans="13:14">
      <c r="M97" s="11"/>
      <c r="N97" s="11"/>
    </row>
    <row r="98" spans="13:14">
      <c r="M98" s="11"/>
      <c r="N98" s="11"/>
    </row>
    <row r="99" spans="13:14">
      <c r="M99" s="11"/>
      <c r="N99" s="11"/>
    </row>
    <row r="100" spans="13:14">
      <c r="M100" s="11"/>
      <c r="N100" s="11"/>
    </row>
    <row r="101" spans="13:14">
      <c r="M101" s="11"/>
      <c r="N101" s="11"/>
    </row>
    <row r="102" spans="13:14">
      <c r="M102" s="11"/>
      <c r="N102" s="11"/>
    </row>
    <row r="103" spans="13:14">
      <c r="M103" s="11"/>
      <c r="N103" s="11"/>
    </row>
    <row r="104" spans="13:14">
      <c r="M104" s="11"/>
      <c r="N104" s="11"/>
    </row>
    <row r="105" spans="13:14">
      <c r="M105" s="11"/>
      <c r="N105" s="11"/>
    </row>
  </sheetData>
  <mergeCells count="27">
    <mergeCell ref="D40:D41"/>
    <mergeCell ref="D65:D66"/>
    <mergeCell ref="D26:D31"/>
    <mergeCell ref="C26:C42"/>
    <mergeCell ref="C43:C70"/>
    <mergeCell ref="B26:B38"/>
    <mergeCell ref="A5:A17"/>
    <mergeCell ref="C25:L25"/>
    <mergeCell ref="B19:B20"/>
    <mergeCell ref="C5:C17"/>
    <mergeCell ref="C19:C23"/>
    <mergeCell ref="C74:C82"/>
    <mergeCell ref="C84:C85"/>
    <mergeCell ref="B74:B82"/>
    <mergeCell ref="B43:B68"/>
    <mergeCell ref="C2:C3"/>
    <mergeCell ref="C4:L4"/>
    <mergeCell ref="B5:B17"/>
    <mergeCell ref="K2:K3"/>
    <mergeCell ref="L2:L3"/>
    <mergeCell ref="D2:D3"/>
    <mergeCell ref="E2:E3"/>
    <mergeCell ref="F2:F3"/>
    <mergeCell ref="G2:G3"/>
    <mergeCell ref="H2:J2"/>
    <mergeCell ref="B73:L73"/>
    <mergeCell ref="L55:L61"/>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სამოქმედო გეგმა</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ეკატერინე ზვიადაძე</cp:lastModifiedBy>
  <dcterms:created xsi:type="dcterms:W3CDTF">2017-06-13T12:31:36Z</dcterms:created>
  <dcterms:modified xsi:type="dcterms:W3CDTF">2017-08-24T08:53:41Z</dcterms:modified>
</cp:coreProperties>
</file>