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7470" windowHeight="2760" tabRatio="714" activeTab="1"/>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D130" i="10" l="1"/>
  <c r="W129" i="10" l="1"/>
  <c r="AB129" i="10" s="1"/>
  <c r="V129" i="10"/>
  <c r="W130" i="10"/>
  <c r="J149" i="10" l="1"/>
  <c r="P149" i="10"/>
  <c r="V149" i="10"/>
  <c r="AB149" i="10"/>
  <c r="AD149" i="10" s="1"/>
  <c r="AC149" i="10"/>
  <c r="J148" i="10"/>
  <c r="P148" i="10"/>
  <c r="V148" i="10"/>
  <c r="AB148" i="10"/>
  <c r="AC148" i="10"/>
  <c r="AD148" i="10"/>
  <c r="J150" i="10"/>
  <c r="AD150" i="10" s="1"/>
  <c r="P150" i="10"/>
  <c r="V150" i="10"/>
  <c r="AB150" i="10"/>
  <c r="AC150" i="10"/>
  <c r="H58" i="10"/>
  <c r="J58" i="10"/>
  <c r="P58" i="10"/>
  <c r="V58" i="10"/>
  <c r="AB58" i="10"/>
  <c r="AD58" i="10"/>
  <c r="E56" i="10"/>
  <c r="E55" i="10" s="1"/>
  <c r="F57" i="10"/>
  <c r="F55" i="10"/>
  <c r="G55" i="10"/>
  <c r="H59" i="10"/>
  <c r="H55" i="10" s="1"/>
  <c r="I55" i="10"/>
  <c r="K55" i="10"/>
  <c r="L55" i="10"/>
  <c r="M55" i="10"/>
  <c r="N55" i="10"/>
  <c r="O55" i="10"/>
  <c r="Q55" i="10"/>
  <c r="R55" i="10"/>
  <c r="S55" i="10"/>
  <c r="T55" i="10"/>
  <c r="U55" i="10"/>
  <c r="W55" i="10"/>
  <c r="X55" i="10"/>
  <c r="Y55" i="10"/>
  <c r="Z55" i="10"/>
  <c r="AA55" i="10"/>
  <c r="AD19" i="10"/>
  <c r="F62" i="10"/>
  <c r="H62" i="10"/>
  <c r="I62" i="10"/>
  <c r="I61" i="10" s="1"/>
  <c r="I189" i="10" s="1"/>
  <c r="K62" i="10"/>
  <c r="L62" i="10"/>
  <c r="N62" i="10"/>
  <c r="O62" i="10"/>
  <c r="O61" i="10" s="1"/>
  <c r="Q62" i="10"/>
  <c r="R62" i="10"/>
  <c r="S62" i="10"/>
  <c r="T62" i="10"/>
  <c r="U62" i="10"/>
  <c r="W62" i="10"/>
  <c r="X62" i="10"/>
  <c r="Y62" i="10"/>
  <c r="Y61" i="10" s="1"/>
  <c r="Z62" i="10"/>
  <c r="AA62" i="10"/>
  <c r="E62" i="10"/>
  <c r="AA90" i="10"/>
  <c r="Z90" i="10"/>
  <c r="Y90" i="10"/>
  <c r="X90" i="10"/>
  <c r="W90" i="10"/>
  <c r="U90" i="10"/>
  <c r="T90" i="10"/>
  <c r="S90" i="10"/>
  <c r="R90" i="10"/>
  <c r="Q90" i="10"/>
  <c r="O90" i="10"/>
  <c r="N90" i="10"/>
  <c r="M90" i="10"/>
  <c r="L90" i="10"/>
  <c r="K90" i="10"/>
  <c r="I90" i="10"/>
  <c r="H90" i="10"/>
  <c r="G90" i="10"/>
  <c r="F90" i="10"/>
  <c r="T16" i="10"/>
  <c r="F16" i="10"/>
  <c r="G16" i="10"/>
  <c r="H16" i="10"/>
  <c r="I16" i="10"/>
  <c r="K16" i="10"/>
  <c r="AC16" i="10" s="1"/>
  <c r="L16" i="10"/>
  <c r="M16" i="10"/>
  <c r="N16" i="10"/>
  <c r="O16" i="10"/>
  <c r="Q16" i="10"/>
  <c r="R16" i="10"/>
  <c r="S16" i="10"/>
  <c r="U16" i="10"/>
  <c r="W16" i="10"/>
  <c r="X16" i="10"/>
  <c r="Y16" i="10"/>
  <c r="Z16" i="10"/>
  <c r="AA16" i="10"/>
  <c r="E16" i="10"/>
  <c r="AC23" i="10"/>
  <c r="AC22" i="10"/>
  <c r="AC21" i="10"/>
  <c r="AC20" i="10"/>
  <c r="AB23" i="10"/>
  <c r="AB22" i="10"/>
  <c r="AB21" i="10"/>
  <c r="AB20" i="10"/>
  <c r="V23" i="10"/>
  <c r="V22" i="10"/>
  <c r="V21" i="10"/>
  <c r="V20" i="10"/>
  <c r="P23" i="10"/>
  <c r="P22" i="10"/>
  <c r="P21" i="10"/>
  <c r="P20" i="10"/>
  <c r="J23" i="10"/>
  <c r="AD23" i="10"/>
  <c r="J22" i="10"/>
  <c r="J21" i="10"/>
  <c r="J20" i="10"/>
  <c r="AD20" i="10"/>
  <c r="AC24" i="10"/>
  <c r="AC19" i="10"/>
  <c r="AC17" i="10"/>
  <c r="AB24" i="10"/>
  <c r="AD24" i="10" s="1"/>
  <c r="AB19" i="10"/>
  <c r="AB17" i="10"/>
  <c r="V24" i="10"/>
  <c r="V19" i="10"/>
  <c r="V16" i="10" s="1"/>
  <c r="V17" i="10"/>
  <c r="P24" i="10"/>
  <c r="P19" i="10"/>
  <c r="P17" i="10"/>
  <c r="J24" i="10"/>
  <c r="J19" i="10"/>
  <c r="J17" i="10"/>
  <c r="AD21" i="10"/>
  <c r="AC77" i="10"/>
  <c r="AC74" i="10" s="1"/>
  <c r="AB77" i="10"/>
  <c r="V77" i="10"/>
  <c r="P77" i="10"/>
  <c r="J77" i="10"/>
  <c r="AC76" i="10"/>
  <c r="AB76" i="10"/>
  <c r="V76" i="10"/>
  <c r="V74" i="10" s="1"/>
  <c r="P76" i="10"/>
  <c r="J76" i="10"/>
  <c r="AC75" i="10"/>
  <c r="AB75" i="10"/>
  <c r="AB74" i="10" s="1"/>
  <c r="AB69" i="10" s="1"/>
  <c r="V75" i="10"/>
  <c r="P75" i="10"/>
  <c r="J75" i="10"/>
  <c r="AA74" i="10"/>
  <c r="Z74" i="10"/>
  <c r="Y74" i="10"/>
  <c r="X74" i="10"/>
  <c r="W74" i="10"/>
  <c r="U74" i="10"/>
  <c r="T74" i="10"/>
  <c r="S74" i="10"/>
  <c r="R74" i="10"/>
  <c r="Q74" i="10"/>
  <c r="O74" i="10"/>
  <c r="N74" i="10"/>
  <c r="M74" i="10"/>
  <c r="L74" i="10"/>
  <c r="K74" i="10"/>
  <c r="I74" i="10"/>
  <c r="H74" i="10"/>
  <c r="G74" i="10"/>
  <c r="F74" i="10"/>
  <c r="E74" i="10"/>
  <c r="AA70" i="10"/>
  <c r="AA69" i="10" s="1"/>
  <c r="Z70" i="10"/>
  <c r="Y70" i="10"/>
  <c r="X70" i="10"/>
  <c r="W70" i="10"/>
  <c r="U70" i="10"/>
  <c r="U69" i="10" s="1"/>
  <c r="U61" i="10" s="1"/>
  <c r="T70" i="10"/>
  <c r="S70" i="10"/>
  <c r="R70" i="10"/>
  <c r="R69" i="10" s="1"/>
  <c r="Q70" i="10"/>
  <c r="Q69" i="10" s="1"/>
  <c r="O70" i="10"/>
  <c r="N70" i="10"/>
  <c r="M70" i="10"/>
  <c r="M69" i="10" s="1"/>
  <c r="L70" i="10"/>
  <c r="K70" i="10"/>
  <c r="I70" i="10"/>
  <c r="H70" i="10"/>
  <c r="H69" i="10" s="1"/>
  <c r="G70" i="10"/>
  <c r="F70" i="10"/>
  <c r="E70" i="10"/>
  <c r="AC73" i="10"/>
  <c r="AB73" i="10"/>
  <c r="V73" i="10"/>
  <c r="P73" i="10"/>
  <c r="J73" i="10"/>
  <c r="AC72" i="10"/>
  <c r="AB72" i="10"/>
  <c r="V72" i="10"/>
  <c r="P72" i="10"/>
  <c r="J72" i="10"/>
  <c r="AC71" i="10"/>
  <c r="AB71" i="10"/>
  <c r="V71" i="10"/>
  <c r="V70" i="10" s="1"/>
  <c r="V69" i="10" s="1"/>
  <c r="P71" i="10"/>
  <c r="J71" i="10"/>
  <c r="E69" i="10"/>
  <c r="T69" i="10"/>
  <c r="K69" i="10"/>
  <c r="Y69" i="10"/>
  <c r="N69" i="10"/>
  <c r="D69" i="10"/>
  <c r="L69" i="10"/>
  <c r="Z69" i="10"/>
  <c r="I69" i="10"/>
  <c r="S69" i="10"/>
  <c r="X69" i="10"/>
  <c r="G69" i="10"/>
  <c r="W69" i="10"/>
  <c r="F69" i="10"/>
  <c r="O69" i="10"/>
  <c r="AB70" i="10"/>
  <c r="AD76" i="10"/>
  <c r="J74" i="10"/>
  <c r="AD73" i="10"/>
  <c r="AC188" i="10"/>
  <c r="AC187" i="10"/>
  <c r="AC186" i="10"/>
  <c r="AC185" i="10"/>
  <c r="AC184" i="10"/>
  <c r="AC183" i="10"/>
  <c r="AC182" i="10"/>
  <c r="AC181" i="10"/>
  <c r="AC180" i="10"/>
  <c r="AC179" i="10"/>
  <c r="AC178" i="10"/>
  <c r="AC177" i="10"/>
  <c r="AC176" i="10"/>
  <c r="AC175" i="10"/>
  <c r="AC174" i="10"/>
  <c r="AC173" i="10"/>
  <c r="AC172" i="10"/>
  <c r="AC171" i="10"/>
  <c r="AC170" i="10"/>
  <c r="AC169" i="10"/>
  <c r="AC168" i="10"/>
  <c r="AC167" i="10"/>
  <c r="AC166" i="10"/>
  <c r="AC165" i="10"/>
  <c r="AC160" i="10"/>
  <c r="AC158" i="10"/>
  <c r="AC156" i="10"/>
  <c r="AC154" i="10"/>
  <c r="AC153" i="10"/>
  <c r="AC152" i="10"/>
  <c r="AC151" i="10"/>
  <c r="AC147" i="10"/>
  <c r="AC146" i="10"/>
  <c r="AC142" i="10"/>
  <c r="AC141" i="10"/>
  <c r="AC140" i="10"/>
  <c r="AC139" i="10"/>
  <c r="AC135" i="10"/>
  <c r="AC134" i="10"/>
  <c r="AC133" i="10"/>
  <c r="AC132" i="10"/>
  <c r="AC130" i="10"/>
  <c r="AC129" i="10"/>
  <c r="AC128" i="10"/>
  <c r="AC125" i="10"/>
  <c r="AC124" i="10"/>
  <c r="AC123" i="10"/>
  <c r="AC117" i="10"/>
  <c r="AC116" i="10"/>
  <c r="AC115" i="10"/>
  <c r="AC114" i="10"/>
  <c r="AC113" i="10"/>
  <c r="AC110" i="10"/>
  <c r="AC108" i="10"/>
  <c r="AC107" i="10"/>
  <c r="AC104" i="10"/>
  <c r="AC103" i="10"/>
  <c r="AC102" i="10"/>
  <c r="AC101" i="10"/>
  <c r="AC98" i="10"/>
  <c r="AC96" i="10"/>
  <c r="AC94" i="10"/>
  <c r="AC93" i="10"/>
  <c r="AC92" i="10"/>
  <c r="AC91" i="10"/>
  <c r="AC89" i="10"/>
  <c r="AC84" i="10"/>
  <c r="AC83" i="10"/>
  <c r="AC82" i="10"/>
  <c r="AC81" i="10"/>
  <c r="AC80" i="10"/>
  <c r="AC79" i="10"/>
  <c r="AC68" i="10"/>
  <c r="AC67" i="10"/>
  <c r="AC66" i="10"/>
  <c r="AC65" i="10"/>
  <c r="AC64" i="10"/>
  <c r="AC63" i="10"/>
  <c r="AC60" i="10"/>
  <c r="AC59" i="10"/>
  <c r="AC58" i="10"/>
  <c r="AC57" i="10"/>
  <c r="AC54" i="10"/>
  <c r="AC53" i="10"/>
  <c r="AC52" i="10"/>
  <c r="AC50" i="10"/>
  <c r="AC48" i="10"/>
  <c r="AC47" i="10"/>
  <c r="AC46" i="10"/>
  <c r="AC42" i="10"/>
  <c r="AC40" i="10"/>
  <c r="AC38" i="10"/>
  <c r="AC37" i="10"/>
  <c r="AC34" i="10"/>
  <c r="AC33" i="10"/>
  <c r="AC32" i="10"/>
  <c r="AC31" i="10"/>
  <c r="AC30" i="10"/>
  <c r="AC29" i="10"/>
  <c r="AC28" i="10"/>
  <c r="AC27" i="10"/>
  <c r="AC26" i="10"/>
  <c r="AC18" i="10"/>
  <c r="AC15" i="10"/>
  <c r="AC14" i="10"/>
  <c r="AC13" i="10"/>
  <c r="AC12" i="10"/>
  <c r="AC11" i="10"/>
  <c r="AC10" i="10"/>
  <c r="AC8" i="10"/>
  <c r="AC6" i="10"/>
  <c r="AD181" i="10"/>
  <c r="AD180" i="10"/>
  <c r="AD179" i="10"/>
  <c r="AD178" i="10"/>
  <c r="AD177" i="10"/>
  <c r="AD176" i="10"/>
  <c r="AD175" i="10"/>
  <c r="AD174" i="10"/>
  <c r="AD173" i="10"/>
  <c r="AD172" i="10"/>
  <c r="AD171" i="10"/>
  <c r="AD170" i="10"/>
  <c r="AD169" i="10"/>
  <c r="AD168" i="10"/>
  <c r="AD167" i="10"/>
  <c r="AD154" i="10"/>
  <c r="AD91" i="10"/>
  <c r="AD68" i="10"/>
  <c r="Z189" i="10"/>
  <c r="T189" i="10"/>
  <c r="N189" i="10"/>
  <c r="H164" i="10"/>
  <c r="H161" i="10"/>
  <c r="H159" i="10"/>
  <c r="H155" i="10"/>
  <c r="H131" i="10"/>
  <c r="H127" i="10"/>
  <c r="H121" i="10"/>
  <c r="H105" i="10" s="1"/>
  <c r="H118" i="10"/>
  <c r="H112" i="10"/>
  <c r="H106" i="10"/>
  <c r="H100" i="10"/>
  <c r="H85" i="10"/>
  <c r="H78" i="10"/>
  <c r="H44" i="10"/>
  <c r="H41" i="10"/>
  <c r="H35" i="10"/>
  <c r="H25" i="10"/>
  <c r="H9" i="10"/>
  <c r="H5" i="10"/>
  <c r="H144" i="10"/>
  <c r="H138" i="10"/>
  <c r="M137" i="10"/>
  <c r="G137" i="10"/>
  <c r="G134" i="10"/>
  <c r="J134" i="10" s="1"/>
  <c r="AD134" i="10" s="1"/>
  <c r="M134" i="10"/>
  <c r="AB53" i="10"/>
  <c r="V53" i="10"/>
  <c r="P53" i="10"/>
  <c r="J53" i="10"/>
  <c r="J52" i="10"/>
  <c r="AB52" i="10"/>
  <c r="V52" i="10"/>
  <c r="P52" i="10"/>
  <c r="AA145" i="10"/>
  <c r="AA144" i="10" s="1"/>
  <c r="AA143" i="10" s="1"/>
  <c r="Y145" i="10"/>
  <c r="Y144" i="10" s="1"/>
  <c r="X145" i="10"/>
  <c r="W145" i="10"/>
  <c r="U145" i="10"/>
  <c r="U144" i="10" s="1"/>
  <c r="U143" i="10" s="1"/>
  <c r="S145" i="10"/>
  <c r="S144" i="10"/>
  <c r="R145" i="10"/>
  <c r="R144" i="10" s="1"/>
  <c r="Q145" i="10"/>
  <c r="Q144" i="10"/>
  <c r="O145" i="10"/>
  <c r="O144" i="10" s="1"/>
  <c r="M145" i="10"/>
  <c r="M144" i="10" s="1"/>
  <c r="M143" i="10" s="1"/>
  <c r="L145" i="10"/>
  <c r="K145" i="10"/>
  <c r="K144" i="10" s="1"/>
  <c r="I145" i="10"/>
  <c r="I144" i="10" s="1"/>
  <c r="G145" i="10"/>
  <c r="G144" i="10" s="1"/>
  <c r="F145" i="10"/>
  <c r="J145" i="10" s="1"/>
  <c r="E145" i="10"/>
  <c r="AC145" i="10" s="1"/>
  <c r="X144" i="10"/>
  <c r="X143" i="10" s="1"/>
  <c r="AA106" i="10"/>
  <c r="Y106" i="10"/>
  <c r="AB106" i="10" s="1"/>
  <c r="X106" i="10"/>
  <c r="U106" i="10"/>
  <c r="S106" i="10"/>
  <c r="R106" i="10"/>
  <c r="R105" i="10" s="1"/>
  <c r="O106" i="10"/>
  <c r="M106" i="10"/>
  <c r="L106" i="10"/>
  <c r="F106" i="10"/>
  <c r="J106" i="10" s="1"/>
  <c r="G106" i="10"/>
  <c r="I106" i="10"/>
  <c r="AA78" i="10"/>
  <c r="Y78" i="10"/>
  <c r="AB78" i="10" s="1"/>
  <c r="X78" i="10"/>
  <c r="W78" i="10"/>
  <c r="U78" i="10"/>
  <c r="S78" i="10"/>
  <c r="V78" i="10" s="1"/>
  <c r="R78" i="10"/>
  <c r="Q78" i="10"/>
  <c r="O78" i="10"/>
  <c r="M78" i="10"/>
  <c r="P78" i="10" s="1"/>
  <c r="L78" i="10"/>
  <c r="K78" i="10"/>
  <c r="F78" i="10"/>
  <c r="G78" i="10"/>
  <c r="J78" i="10" s="1"/>
  <c r="AD78" i="10" s="1"/>
  <c r="I78" i="10"/>
  <c r="E78" i="10"/>
  <c r="AC78" i="10" s="1"/>
  <c r="I41" i="10"/>
  <c r="G41" i="10"/>
  <c r="X9" i="10"/>
  <c r="Y9" i="10"/>
  <c r="AA9" i="10"/>
  <c r="AB9" i="10" s="1"/>
  <c r="W9" i="10"/>
  <c r="R9" i="10"/>
  <c r="S9" i="10"/>
  <c r="U9" i="10"/>
  <c r="Q9" i="10"/>
  <c r="L9" i="10"/>
  <c r="M9" i="10"/>
  <c r="O9" i="10"/>
  <c r="K9" i="10"/>
  <c r="G9" i="10"/>
  <c r="E9" i="10"/>
  <c r="AB11" i="10"/>
  <c r="V11" i="10"/>
  <c r="AD11" i="10" s="1"/>
  <c r="P11" i="10"/>
  <c r="J11" i="10"/>
  <c r="AC9" i="10"/>
  <c r="AC62" i="10"/>
  <c r="E144" i="10"/>
  <c r="AB146" i="10"/>
  <c r="AB147" i="10"/>
  <c r="AB151" i="10"/>
  <c r="AD151" i="10" s="1"/>
  <c r="AB152" i="10"/>
  <c r="AB153" i="10"/>
  <c r="V146" i="10"/>
  <c r="V147" i="10"/>
  <c r="V151" i="10"/>
  <c r="V152" i="10"/>
  <c r="V153" i="10"/>
  <c r="P146" i="10"/>
  <c r="P147" i="10"/>
  <c r="P151" i="10"/>
  <c r="P152" i="10"/>
  <c r="P153" i="10"/>
  <c r="AD153" i="10" s="1"/>
  <c r="J146" i="10"/>
  <c r="J147" i="10"/>
  <c r="AD147" i="10"/>
  <c r="J151" i="10"/>
  <c r="J152" i="10"/>
  <c r="J153" i="10"/>
  <c r="Z193" i="11"/>
  <c r="Z192" i="11"/>
  <c r="I192" i="11"/>
  <c r="I194" i="11"/>
  <c r="Z159" i="11"/>
  <c r="S159" i="11"/>
  <c r="N159" i="11"/>
  <c r="I159" i="11"/>
  <c r="AA137" i="10"/>
  <c r="AA131" i="10" s="1"/>
  <c r="W137" i="10"/>
  <c r="U137" i="10"/>
  <c r="Q137" i="10"/>
  <c r="O137" i="10"/>
  <c r="O131" i="10" s="1"/>
  <c r="K137" i="10"/>
  <c r="I137" i="10"/>
  <c r="E137" i="10"/>
  <c r="AB133" i="10"/>
  <c r="AB134" i="10"/>
  <c r="AB135" i="10"/>
  <c r="AB136" i="10"/>
  <c r="AB132" i="10"/>
  <c r="V136" i="10"/>
  <c r="P136" i="10"/>
  <c r="E136" i="10"/>
  <c r="AC136" i="10"/>
  <c r="V135" i="10"/>
  <c r="M135" i="10"/>
  <c r="P135" i="10" s="1"/>
  <c r="J135" i="10"/>
  <c r="V134" i="10"/>
  <c r="P134" i="10"/>
  <c r="V133" i="10"/>
  <c r="P133" i="10"/>
  <c r="J133" i="10"/>
  <c r="V132" i="10"/>
  <c r="P132" i="10"/>
  <c r="J132" i="10"/>
  <c r="W120" i="10"/>
  <c r="AB120" i="10"/>
  <c r="Q120" i="10"/>
  <c r="K120" i="10"/>
  <c r="P120" i="10"/>
  <c r="E120" i="10"/>
  <c r="AC120" i="10" s="1"/>
  <c r="W119" i="10"/>
  <c r="AB119" i="10" s="1"/>
  <c r="Q119" i="10"/>
  <c r="V119" i="10"/>
  <c r="K119" i="10"/>
  <c r="P119" i="10" s="1"/>
  <c r="AD119" i="10" s="1"/>
  <c r="E119" i="10"/>
  <c r="V115" i="10"/>
  <c r="P115" i="10"/>
  <c r="J115" i="10"/>
  <c r="X112" i="11"/>
  <c r="S112" i="11"/>
  <c r="N112" i="11"/>
  <c r="I112" i="11"/>
  <c r="X111" i="11"/>
  <c r="S111" i="11"/>
  <c r="N111" i="11"/>
  <c r="I111" i="11"/>
  <c r="X110" i="11"/>
  <c r="S110" i="11"/>
  <c r="N110" i="11"/>
  <c r="I110" i="11"/>
  <c r="X102" i="11"/>
  <c r="X103" i="11"/>
  <c r="X104" i="11"/>
  <c r="X105" i="11"/>
  <c r="X106" i="11"/>
  <c r="X101" i="11"/>
  <c r="AD152" i="10"/>
  <c r="AD135" i="10"/>
  <c r="AC137" i="10"/>
  <c r="V137" i="10"/>
  <c r="J137" i="10"/>
  <c r="J136" i="10"/>
  <c r="AD136" i="10" s="1"/>
  <c r="J119" i="10"/>
  <c r="S102" i="11"/>
  <c r="S103" i="11"/>
  <c r="S104" i="11"/>
  <c r="S105" i="11"/>
  <c r="S106" i="11"/>
  <c r="S101" i="11"/>
  <c r="V89" i="10"/>
  <c r="P89" i="10"/>
  <c r="J89" i="10"/>
  <c r="V88" i="10"/>
  <c r="P88" i="10"/>
  <c r="E88" i="10"/>
  <c r="AC88" i="10" s="1"/>
  <c r="V87" i="10"/>
  <c r="P87" i="10"/>
  <c r="G87" i="10"/>
  <c r="E87" i="10"/>
  <c r="AC87" i="10" s="1"/>
  <c r="V86" i="10"/>
  <c r="AD86" i="10" s="1"/>
  <c r="P86" i="10"/>
  <c r="G86" i="10"/>
  <c r="E86" i="10"/>
  <c r="AC86" i="10"/>
  <c r="Z91" i="11"/>
  <c r="I91" i="11"/>
  <c r="N91" i="11"/>
  <c r="X89" i="11"/>
  <c r="S89" i="11"/>
  <c r="N89" i="11"/>
  <c r="I89" i="11"/>
  <c r="X88" i="11"/>
  <c r="S88" i="11"/>
  <c r="N88" i="11"/>
  <c r="I88" i="11"/>
  <c r="X87" i="11"/>
  <c r="S87" i="11"/>
  <c r="N87" i="11"/>
  <c r="I87" i="11"/>
  <c r="X86" i="11"/>
  <c r="S86" i="11"/>
  <c r="N86" i="11"/>
  <c r="I86" i="11"/>
  <c r="X85" i="11"/>
  <c r="S85" i="11"/>
  <c r="N85" i="11"/>
  <c r="I85" i="11"/>
  <c r="AB79" i="10"/>
  <c r="AD79" i="10" s="1"/>
  <c r="V79" i="10"/>
  <c r="P79" i="10"/>
  <c r="J79" i="10"/>
  <c r="Y91" i="11"/>
  <c r="J86" i="10"/>
  <c r="J87" i="10"/>
  <c r="Z76" i="11"/>
  <c r="X76" i="11"/>
  <c r="S76" i="11"/>
  <c r="N76" i="11"/>
  <c r="I76" i="11"/>
  <c r="Z77" i="11"/>
  <c r="AB66" i="10"/>
  <c r="V66" i="10"/>
  <c r="P66" i="10"/>
  <c r="J66" i="10"/>
  <c r="Y76" i="11"/>
  <c r="V67" i="10"/>
  <c r="M68" i="10"/>
  <c r="M62" i="10"/>
  <c r="G68" i="10"/>
  <c r="G62" i="10" s="1"/>
  <c r="G61" i="10" s="1"/>
  <c r="F68" i="11"/>
  <c r="P67" i="10"/>
  <c r="J67" i="10"/>
  <c r="AD67" i="10" s="1"/>
  <c r="AC56" i="10"/>
  <c r="E62" i="11"/>
  <c r="V48" i="10"/>
  <c r="AD48" i="10" s="1"/>
  <c r="P48" i="10"/>
  <c r="J48" i="10"/>
  <c r="V47" i="10"/>
  <c r="P47" i="10"/>
  <c r="V34" i="10"/>
  <c r="P34" i="10"/>
  <c r="F34" i="10"/>
  <c r="I26" i="11"/>
  <c r="S23" i="11"/>
  <c r="X18" i="11"/>
  <c r="S18" i="11"/>
  <c r="N18" i="11"/>
  <c r="I18" i="11"/>
  <c r="S19" i="11"/>
  <c r="N19" i="11"/>
  <c r="I19" i="11"/>
  <c r="X20" i="11"/>
  <c r="S20" i="11"/>
  <c r="N20" i="11"/>
  <c r="I20" i="11"/>
  <c r="V10" i="10"/>
  <c r="P10" i="10"/>
  <c r="I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J34" i="10"/>
  <c r="AD34" i="10" s="1"/>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J10" i="10"/>
  <c r="I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B15" i="10"/>
  <c r="V15" i="10"/>
  <c r="P15" i="10"/>
  <c r="F15" i="10"/>
  <c r="J15" i="10"/>
  <c r="AD15" i="10" s="1"/>
  <c r="F9" i="10"/>
  <c r="J188" i="10"/>
  <c r="P188" i="10"/>
  <c r="AD188" i="10" s="1"/>
  <c r="V188" i="10"/>
  <c r="AB188" i="10"/>
  <c r="J187" i="10"/>
  <c r="P187" i="10"/>
  <c r="AD187" i="10" s="1"/>
  <c r="V187" i="10"/>
  <c r="AB187" i="10"/>
  <c r="J186" i="10"/>
  <c r="P186" i="10"/>
  <c r="AD186" i="10" s="1"/>
  <c r="V186" i="10"/>
  <c r="AB186" i="10"/>
  <c r="J185" i="10"/>
  <c r="P185" i="10"/>
  <c r="AD185" i="10" s="1"/>
  <c r="V185" i="10"/>
  <c r="AB185" i="10"/>
  <c r="J184" i="10"/>
  <c r="P184" i="10"/>
  <c r="V184" i="10"/>
  <c r="AB184" i="10"/>
  <c r="J183" i="10"/>
  <c r="P183" i="10"/>
  <c r="V183" i="10"/>
  <c r="AB183" i="10"/>
  <c r="J182" i="10"/>
  <c r="P182" i="10"/>
  <c r="AD182" i="10" s="1"/>
  <c r="V182" i="10"/>
  <c r="AB182" i="10"/>
  <c r="J166" i="10"/>
  <c r="P166" i="10"/>
  <c r="AD166" i="10" s="1"/>
  <c r="V166" i="10"/>
  <c r="AB166" i="10"/>
  <c r="J165" i="10"/>
  <c r="P165" i="10"/>
  <c r="AD165" i="10" s="1"/>
  <c r="V165" i="10"/>
  <c r="AB165" i="10"/>
  <c r="E164" i="10"/>
  <c r="K164" i="10"/>
  <c r="P164" i="10" s="1"/>
  <c r="Q164" i="10"/>
  <c r="W164" i="10"/>
  <c r="F164" i="10"/>
  <c r="G164" i="10"/>
  <c r="I164" i="10"/>
  <c r="L164" i="10"/>
  <c r="M164" i="10"/>
  <c r="R164" i="10"/>
  <c r="V164" i="10" s="1"/>
  <c r="S164" i="10"/>
  <c r="U164" i="10"/>
  <c r="X164" i="10"/>
  <c r="Y164" i="10"/>
  <c r="AB164" i="10" s="1"/>
  <c r="AA164" i="10"/>
  <c r="R161" i="10"/>
  <c r="L161" i="10"/>
  <c r="E161" i="10"/>
  <c r="AC161" i="10" s="1"/>
  <c r="K161" i="10"/>
  <c r="Q161" i="10"/>
  <c r="W161" i="10"/>
  <c r="G161" i="10"/>
  <c r="I161" i="10"/>
  <c r="M161" i="10"/>
  <c r="O161" i="10"/>
  <c r="S161" i="10"/>
  <c r="V161" i="10" s="1"/>
  <c r="U161" i="10"/>
  <c r="X161" i="10"/>
  <c r="Y161" i="10"/>
  <c r="AA161" i="10"/>
  <c r="J160" i="10"/>
  <c r="P160" i="10"/>
  <c r="V160" i="10"/>
  <c r="AB160" i="10"/>
  <c r="AD160" i="10" s="1"/>
  <c r="E159" i="10"/>
  <c r="K159" i="10"/>
  <c r="Q159" i="10"/>
  <c r="W159" i="10"/>
  <c r="AC159" i="10" s="1"/>
  <c r="F159" i="10"/>
  <c r="G159" i="10"/>
  <c r="I159" i="10"/>
  <c r="L159" i="10"/>
  <c r="P159" i="10" s="1"/>
  <c r="M159" i="10"/>
  <c r="O159" i="10"/>
  <c r="R159" i="10"/>
  <c r="S159" i="10"/>
  <c r="V159" i="10" s="1"/>
  <c r="U159" i="10"/>
  <c r="J158" i="10"/>
  <c r="P158" i="10"/>
  <c r="V158" i="10"/>
  <c r="AD158" i="10" s="1"/>
  <c r="AB158" i="10"/>
  <c r="E157" i="10"/>
  <c r="AC157" i="10"/>
  <c r="P157" i="10"/>
  <c r="V157" i="10"/>
  <c r="AB157" i="10"/>
  <c r="J156" i="10"/>
  <c r="P156" i="10"/>
  <c r="AD156" i="10" s="1"/>
  <c r="V156" i="10"/>
  <c r="AB156" i="10"/>
  <c r="K155" i="10"/>
  <c r="Q155" i="10"/>
  <c r="V155" i="10" s="1"/>
  <c r="W155" i="10"/>
  <c r="F155" i="10"/>
  <c r="G155" i="10"/>
  <c r="I155" i="10"/>
  <c r="L155" i="10"/>
  <c r="M155" i="10"/>
  <c r="O155" i="10"/>
  <c r="R155" i="10"/>
  <c r="S155" i="10"/>
  <c r="U155" i="10"/>
  <c r="X155" i="10"/>
  <c r="Y155" i="10"/>
  <c r="AB155" i="10" s="1"/>
  <c r="AA155" i="10"/>
  <c r="J142" i="10"/>
  <c r="P142" i="10"/>
  <c r="V142" i="10"/>
  <c r="AB142" i="10"/>
  <c r="J141" i="10"/>
  <c r="P141" i="10"/>
  <c r="V141" i="10"/>
  <c r="AB141" i="10"/>
  <c r="J140" i="10"/>
  <c r="AD140" i="10" s="1"/>
  <c r="P140" i="10"/>
  <c r="V140" i="10"/>
  <c r="AB140" i="10"/>
  <c r="J139" i="10"/>
  <c r="AD139" i="10" s="1"/>
  <c r="P139" i="10"/>
  <c r="V139" i="10"/>
  <c r="AB139" i="10"/>
  <c r="E138" i="10"/>
  <c r="K138" i="10"/>
  <c r="Q138" i="10"/>
  <c r="W138" i="10"/>
  <c r="F138" i="10"/>
  <c r="G138" i="10"/>
  <c r="I138" i="10"/>
  <c r="L138" i="10"/>
  <c r="M138" i="10"/>
  <c r="O138" i="10"/>
  <c r="R138" i="10"/>
  <c r="S138" i="10"/>
  <c r="U138" i="10"/>
  <c r="X138" i="10"/>
  <c r="Y138" i="10"/>
  <c r="AA138" i="10"/>
  <c r="K131" i="10"/>
  <c r="Q131" i="10"/>
  <c r="W131" i="10"/>
  <c r="F131" i="10"/>
  <c r="G131" i="10"/>
  <c r="I131" i="10"/>
  <c r="L131" i="10"/>
  <c r="M131" i="10"/>
  <c r="R131" i="10"/>
  <c r="S131" i="10"/>
  <c r="U131" i="10"/>
  <c r="X131" i="10"/>
  <c r="Y131" i="10"/>
  <c r="J130" i="10"/>
  <c r="P130" i="10"/>
  <c r="V130" i="10"/>
  <c r="AB130" i="10"/>
  <c r="J129" i="10"/>
  <c r="P129" i="10"/>
  <c r="AD129" i="10" s="1"/>
  <c r="J128" i="10"/>
  <c r="P128" i="10"/>
  <c r="AD128" i="10" s="1"/>
  <c r="V128" i="10"/>
  <c r="AB128" i="10"/>
  <c r="E127" i="10"/>
  <c r="K127" i="10"/>
  <c r="Q127" i="10"/>
  <c r="W127" i="10"/>
  <c r="F127" i="10"/>
  <c r="G127" i="10"/>
  <c r="J127" i="10" s="1"/>
  <c r="I127" i="10"/>
  <c r="L127" i="10"/>
  <c r="M127" i="10"/>
  <c r="O127" i="10"/>
  <c r="R127" i="10"/>
  <c r="S127" i="10"/>
  <c r="U127" i="10"/>
  <c r="X127" i="10"/>
  <c r="Y127" i="10"/>
  <c r="AA127" i="10"/>
  <c r="K126" i="10"/>
  <c r="Q126" i="10"/>
  <c r="W126" i="10"/>
  <c r="J126" i="10"/>
  <c r="V125" i="10"/>
  <c r="P125" i="10"/>
  <c r="J125" i="10"/>
  <c r="J124" i="10"/>
  <c r="P124" i="10"/>
  <c r="V124" i="10"/>
  <c r="AB124" i="10"/>
  <c r="J123" i="10"/>
  <c r="P123" i="10"/>
  <c r="V123" i="10"/>
  <c r="AB123" i="10"/>
  <c r="E122" i="10"/>
  <c r="AC122" i="10"/>
  <c r="P122" i="10"/>
  <c r="V122" i="10"/>
  <c r="AB122" i="10"/>
  <c r="F121" i="10"/>
  <c r="G121" i="10"/>
  <c r="I121" i="10"/>
  <c r="L121" i="10"/>
  <c r="M121" i="10"/>
  <c r="O121" i="10"/>
  <c r="R121" i="10"/>
  <c r="S121" i="10"/>
  <c r="U121" i="10"/>
  <c r="X121" i="10"/>
  <c r="Y121" i="10"/>
  <c r="AA121" i="10"/>
  <c r="K118" i="10"/>
  <c r="K105" i="10" s="1"/>
  <c r="W118" i="10"/>
  <c r="F118" i="10"/>
  <c r="G118" i="10"/>
  <c r="G105" i="10" s="1"/>
  <c r="I118" i="10"/>
  <c r="L118" i="10"/>
  <c r="M118" i="10"/>
  <c r="O118" i="10"/>
  <c r="R118" i="10"/>
  <c r="S118" i="10"/>
  <c r="U118" i="10"/>
  <c r="X118" i="10"/>
  <c r="X105" i="10" s="1"/>
  <c r="Y118" i="10"/>
  <c r="AA118" i="10"/>
  <c r="J117" i="10"/>
  <c r="P117" i="10"/>
  <c r="AD117" i="10" s="1"/>
  <c r="V117" i="10"/>
  <c r="AB117" i="10"/>
  <c r="J116" i="10"/>
  <c r="P116" i="10"/>
  <c r="AD116" i="10" s="1"/>
  <c r="V116" i="10"/>
  <c r="AB116" i="10"/>
  <c r="AB115" i="10"/>
  <c r="AD115" i="10"/>
  <c r="J114" i="10"/>
  <c r="P114" i="10"/>
  <c r="V114" i="10"/>
  <c r="AB114" i="10"/>
  <c r="J113" i="10"/>
  <c r="P113" i="10"/>
  <c r="V113" i="10"/>
  <c r="AB113" i="10"/>
  <c r="AD113" i="10" s="1"/>
  <c r="E112" i="10"/>
  <c r="K112" i="10"/>
  <c r="Q112" i="10"/>
  <c r="W112" i="10"/>
  <c r="W105" i="10" s="1"/>
  <c r="AB105" i="10" s="1"/>
  <c r="F112" i="10"/>
  <c r="G112" i="10"/>
  <c r="I112" i="10"/>
  <c r="L112" i="10"/>
  <c r="L105" i="10" s="1"/>
  <c r="M112" i="10"/>
  <c r="O112" i="10"/>
  <c r="R112" i="10"/>
  <c r="S112" i="10"/>
  <c r="V112" i="10" s="1"/>
  <c r="U112" i="10"/>
  <c r="X112" i="10"/>
  <c r="Y112" i="10"/>
  <c r="AA112" i="10"/>
  <c r="E111" i="10"/>
  <c r="K111" i="10"/>
  <c r="V111" i="10"/>
  <c r="AB111" i="10"/>
  <c r="J110" i="10"/>
  <c r="P110" i="10"/>
  <c r="V110" i="10"/>
  <c r="AB110" i="10"/>
  <c r="AD110" i="10" s="1"/>
  <c r="E109" i="10"/>
  <c r="K109" i="10"/>
  <c r="K106" i="10" s="1"/>
  <c r="Q109" i="10"/>
  <c r="W109" i="10"/>
  <c r="J108" i="10"/>
  <c r="P108" i="10"/>
  <c r="V108" i="10"/>
  <c r="AD108" i="10" s="1"/>
  <c r="AB108" i="10"/>
  <c r="P107" i="10"/>
  <c r="V107" i="10"/>
  <c r="AB107" i="10"/>
  <c r="AD107" i="10" s="1"/>
  <c r="J104" i="10"/>
  <c r="P104" i="10"/>
  <c r="V104" i="10"/>
  <c r="AB104" i="10"/>
  <c r="AD104" i="10" s="1"/>
  <c r="J103" i="10"/>
  <c r="P103" i="10"/>
  <c r="V103" i="10"/>
  <c r="AB103" i="10"/>
  <c r="J102" i="10"/>
  <c r="P102" i="10"/>
  <c r="V102" i="10"/>
  <c r="AB102" i="10"/>
  <c r="AD102" i="10" s="1"/>
  <c r="J101" i="10"/>
  <c r="P101" i="10"/>
  <c r="V101" i="10"/>
  <c r="AB101" i="10"/>
  <c r="AD101" i="10" s="1"/>
  <c r="E100" i="10"/>
  <c r="K100" i="10"/>
  <c r="Q100" i="10"/>
  <c r="W100" i="10"/>
  <c r="AC100" i="10" s="1"/>
  <c r="F100" i="10"/>
  <c r="G100" i="10"/>
  <c r="I100" i="10"/>
  <c r="L100" i="10"/>
  <c r="L61" i="10" s="1"/>
  <c r="M100" i="10"/>
  <c r="O100" i="10"/>
  <c r="R100" i="10"/>
  <c r="S100" i="10"/>
  <c r="U100" i="10"/>
  <c r="X100" i="10"/>
  <c r="Y100" i="10"/>
  <c r="AA100" i="10"/>
  <c r="J98" i="10"/>
  <c r="P98" i="10"/>
  <c r="V98" i="10"/>
  <c r="AB98" i="10"/>
  <c r="J96" i="10"/>
  <c r="P96" i="10"/>
  <c r="V96" i="10"/>
  <c r="AB96" i="10"/>
  <c r="E95" i="10"/>
  <c r="P95" i="10"/>
  <c r="V95" i="10"/>
  <c r="AB95" i="10"/>
  <c r="AD95" i="10" s="1"/>
  <c r="J94" i="10"/>
  <c r="P94" i="10"/>
  <c r="V94" i="10"/>
  <c r="AB94" i="10"/>
  <c r="AD94" i="10" s="1"/>
  <c r="J93" i="10"/>
  <c r="P93" i="10"/>
  <c r="V93" i="10"/>
  <c r="AB93" i="10"/>
  <c r="J92" i="10"/>
  <c r="P92" i="10"/>
  <c r="P90" i="10"/>
  <c r="V92" i="10"/>
  <c r="V90" i="10" s="1"/>
  <c r="AB92" i="10"/>
  <c r="AB89" i="10"/>
  <c r="AB88" i="10"/>
  <c r="AB87" i="10"/>
  <c r="AB86" i="10"/>
  <c r="K85" i="10"/>
  <c r="Q85" i="10"/>
  <c r="W85" i="10"/>
  <c r="F85" i="10"/>
  <c r="G85" i="10"/>
  <c r="J85" i="10" s="1"/>
  <c r="I85" i="10"/>
  <c r="L85" i="10"/>
  <c r="M85" i="10"/>
  <c r="O85" i="10"/>
  <c r="R85" i="10"/>
  <c r="S85" i="10"/>
  <c r="U85" i="10"/>
  <c r="X85" i="10"/>
  <c r="X61" i="10" s="1"/>
  <c r="X189" i="10" s="1"/>
  <c r="Y85" i="10"/>
  <c r="AA85" i="10"/>
  <c r="J84" i="10"/>
  <c r="P84" i="10"/>
  <c r="AD84" i="10" s="1"/>
  <c r="V84" i="10"/>
  <c r="AB84" i="10"/>
  <c r="J83" i="10"/>
  <c r="P83" i="10"/>
  <c r="V83" i="10"/>
  <c r="AB83" i="10"/>
  <c r="J82" i="10"/>
  <c r="P82" i="10"/>
  <c r="V82" i="10"/>
  <c r="AB82" i="10"/>
  <c r="J81" i="10"/>
  <c r="P81" i="10"/>
  <c r="V81" i="10"/>
  <c r="AB81" i="10"/>
  <c r="J80" i="10"/>
  <c r="P80" i="10"/>
  <c r="V80" i="10"/>
  <c r="AB80" i="10"/>
  <c r="J65" i="10"/>
  <c r="P65" i="10"/>
  <c r="AD65" i="10" s="1"/>
  <c r="V65" i="10"/>
  <c r="AB65" i="10"/>
  <c r="J64" i="10"/>
  <c r="P64" i="10"/>
  <c r="AD64" i="10" s="1"/>
  <c r="V64" i="10"/>
  <c r="AB64" i="10"/>
  <c r="J63" i="10"/>
  <c r="J62" i="10"/>
  <c r="P63" i="10"/>
  <c r="V63" i="10"/>
  <c r="V62" i="10"/>
  <c r="V61" i="10" s="1"/>
  <c r="AB63" i="10"/>
  <c r="AB62" i="10" s="1"/>
  <c r="J60" i="10"/>
  <c r="P60" i="10"/>
  <c r="V60" i="10"/>
  <c r="AB60" i="10"/>
  <c r="J59" i="10"/>
  <c r="P59" i="10"/>
  <c r="V59" i="10"/>
  <c r="AB59" i="10"/>
  <c r="P57" i="10"/>
  <c r="V57" i="10"/>
  <c r="AB57" i="10"/>
  <c r="J56" i="10"/>
  <c r="P56" i="10"/>
  <c r="V56" i="10"/>
  <c r="AD56" i="10" s="1"/>
  <c r="AB56" i="10"/>
  <c r="J54" i="10"/>
  <c r="P54" i="10"/>
  <c r="V54" i="10"/>
  <c r="AD54" i="10" s="1"/>
  <c r="AB54" i="10"/>
  <c r="E51" i="10"/>
  <c r="AC51" i="10"/>
  <c r="F51" i="10"/>
  <c r="F49" i="10" s="1"/>
  <c r="P51" i="10"/>
  <c r="V51" i="10"/>
  <c r="AB51" i="10"/>
  <c r="J50" i="10"/>
  <c r="AD50" i="10" s="1"/>
  <c r="P50" i="10"/>
  <c r="V50" i="10"/>
  <c r="AB50" i="10"/>
  <c r="K49" i="10"/>
  <c r="Q49" i="10"/>
  <c r="W49" i="10"/>
  <c r="G49" i="10"/>
  <c r="I49" i="10"/>
  <c r="L49" i="10"/>
  <c r="M49" i="10"/>
  <c r="O49" i="10"/>
  <c r="R49" i="10"/>
  <c r="S49" i="10"/>
  <c r="U49" i="10"/>
  <c r="X49" i="10"/>
  <c r="Y49" i="10"/>
  <c r="AB49" i="10" s="1"/>
  <c r="AA49" i="10"/>
  <c r="AB48" i="10"/>
  <c r="AB47" i="10"/>
  <c r="J46" i="10"/>
  <c r="P46" i="10"/>
  <c r="V46" i="10"/>
  <c r="AD46" i="10" s="1"/>
  <c r="AB46" i="10"/>
  <c r="E45" i="10"/>
  <c r="AC45" i="10"/>
  <c r="P45" i="10"/>
  <c r="AD45" i="10" s="1"/>
  <c r="V45" i="10"/>
  <c r="AB45" i="10"/>
  <c r="K44" i="10"/>
  <c r="Q44" i="10"/>
  <c r="AC44" i="10" s="1"/>
  <c r="W44" i="10"/>
  <c r="F44" i="10"/>
  <c r="G44" i="10"/>
  <c r="I44" i="10"/>
  <c r="L44" i="10"/>
  <c r="M44" i="10"/>
  <c r="O44" i="10"/>
  <c r="R44" i="10"/>
  <c r="S44" i="10"/>
  <c r="U44" i="10"/>
  <c r="X44" i="10"/>
  <c r="Y44" i="10"/>
  <c r="AB44" i="10" s="1"/>
  <c r="AA44" i="10"/>
  <c r="E43" i="10"/>
  <c r="K43" i="10"/>
  <c r="Q43" i="10"/>
  <c r="AC43" i="10" s="1"/>
  <c r="W43" i="10"/>
  <c r="W41" i="10" s="1"/>
  <c r="F43" i="10"/>
  <c r="J42" i="10"/>
  <c r="AD42" i="10" s="1"/>
  <c r="P42" i="10"/>
  <c r="V42" i="10"/>
  <c r="AB42" i="10"/>
  <c r="L41" i="10"/>
  <c r="L4" i="10" s="1"/>
  <c r="M41" i="10"/>
  <c r="O41" i="10"/>
  <c r="R41" i="10"/>
  <c r="S41" i="10"/>
  <c r="S4" i="10" s="1"/>
  <c r="U41" i="10"/>
  <c r="X41" i="10"/>
  <c r="Y41" i="10"/>
  <c r="AA41" i="10"/>
  <c r="AA4" i="10" s="1"/>
  <c r="J40" i="10"/>
  <c r="P40" i="10"/>
  <c r="V40" i="10"/>
  <c r="AB40" i="10"/>
  <c r="AD40" i="10" s="1"/>
  <c r="E39" i="10"/>
  <c r="AC39" i="10" s="1"/>
  <c r="P39" i="10"/>
  <c r="V39" i="10"/>
  <c r="AB39" i="10"/>
  <c r="J38" i="10"/>
  <c r="P38" i="10"/>
  <c r="V38" i="10"/>
  <c r="AB38" i="10"/>
  <c r="J37" i="10"/>
  <c r="P37" i="10"/>
  <c r="V37" i="10"/>
  <c r="AB37" i="10"/>
  <c r="E36" i="10"/>
  <c r="AC36" i="10"/>
  <c r="P36" i="10"/>
  <c r="AD36" i="10" s="1"/>
  <c r="V36" i="10"/>
  <c r="AB36" i="10"/>
  <c r="K35" i="10"/>
  <c r="Q35" i="10"/>
  <c r="W35" i="10"/>
  <c r="F35" i="10"/>
  <c r="G35" i="10"/>
  <c r="I35" i="10"/>
  <c r="L35" i="10"/>
  <c r="M35" i="10"/>
  <c r="O35" i="10"/>
  <c r="R35" i="10"/>
  <c r="S35" i="10"/>
  <c r="U35" i="10"/>
  <c r="X35" i="10"/>
  <c r="Y35" i="10"/>
  <c r="AB35" i="10" s="1"/>
  <c r="AA35" i="10"/>
  <c r="AB34" i="10"/>
  <c r="P33" i="10"/>
  <c r="AD33" i="10" s="1"/>
  <c r="V33" i="10"/>
  <c r="AB33" i="10"/>
  <c r="J32" i="10"/>
  <c r="P32" i="10"/>
  <c r="AD32" i="10" s="1"/>
  <c r="V32" i="10"/>
  <c r="AB32" i="10"/>
  <c r="J31" i="10"/>
  <c r="P31" i="10"/>
  <c r="V31" i="10"/>
  <c r="AB31" i="10"/>
  <c r="J30" i="10"/>
  <c r="P30" i="10"/>
  <c r="AD30" i="10" s="1"/>
  <c r="V30" i="10"/>
  <c r="AB30" i="10"/>
  <c r="J29" i="10"/>
  <c r="P29" i="10"/>
  <c r="AD29" i="10" s="1"/>
  <c r="V29" i="10"/>
  <c r="AB29" i="10"/>
  <c r="J28" i="10"/>
  <c r="P28" i="10"/>
  <c r="V28" i="10"/>
  <c r="AB28" i="10"/>
  <c r="J27" i="10"/>
  <c r="P27" i="10"/>
  <c r="V27" i="10"/>
  <c r="AB27" i="10"/>
  <c r="J26" i="10"/>
  <c r="P26" i="10"/>
  <c r="V26" i="10"/>
  <c r="AB26" i="10"/>
  <c r="E25" i="10"/>
  <c r="K25" i="10"/>
  <c r="Q25" i="10"/>
  <c r="W25" i="10"/>
  <c r="F25" i="10"/>
  <c r="G25" i="10"/>
  <c r="H4" i="10" s="1"/>
  <c r="I25" i="10"/>
  <c r="L25" i="10"/>
  <c r="M25" i="10"/>
  <c r="O25" i="10"/>
  <c r="R25" i="10"/>
  <c r="S25" i="10"/>
  <c r="U25" i="10"/>
  <c r="X25" i="10"/>
  <c r="X4" i="10" s="1"/>
  <c r="Y25" i="10"/>
  <c r="AA25" i="10"/>
  <c r="J18" i="10"/>
  <c r="J16" i="10"/>
  <c r="P18" i="10"/>
  <c r="V18" i="10"/>
  <c r="AB18" i="10"/>
  <c r="J14" i="10"/>
  <c r="P14" i="10"/>
  <c r="AD14" i="10" s="1"/>
  <c r="V14" i="10"/>
  <c r="AB14" i="10"/>
  <c r="J13" i="10"/>
  <c r="P13" i="10"/>
  <c r="AD13" i="10" s="1"/>
  <c r="V13" i="10"/>
  <c r="AB13" i="10"/>
  <c r="J12" i="10"/>
  <c r="P12" i="10"/>
  <c r="AD12" i="10" s="1"/>
  <c r="V12" i="10"/>
  <c r="AB12" i="10"/>
  <c r="AB10" i="10"/>
  <c r="AD10" i="10"/>
  <c r="J8" i="10"/>
  <c r="P8" i="10"/>
  <c r="V8" i="10"/>
  <c r="AB8" i="10"/>
  <c r="AD8" i="10" s="1"/>
  <c r="E7" i="10"/>
  <c r="AC7" i="10" s="1"/>
  <c r="F7" i="10"/>
  <c r="P7" i="10"/>
  <c r="V7" i="10"/>
  <c r="AB7" i="10"/>
  <c r="J6" i="10"/>
  <c r="P6" i="10"/>
  <c r="AD6" i="10" s="1"/>
  <c r="V6" i="10"/>
  <c r="AB6" i="10"/>
  <c r="K5" i="10"/>
  <c r="Q5" i="10"/>
  <c r="AC5" i="10" s="1"/>
  <c r="W5" i="10"/>
  <c r="X5" i="10"/>
  <c r="Y5" i="10"/>
  <c r="AA5" i="10"/>
  <c r="R5" i="10"/>
  <c r="S5" i="10"/>
  <c r="U5" i="10"/>
  <c r="L5" i="10"/>
  <c r="M5" i="10"/>
  <c r="O5" i="10"/>
  <c r="G5" i="10"/>
  <c r="I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J124" i="8"/>
  <c r="O124" i="8"/>
  <c r="T124" i="8"/>
  <c r="Y124" i="8"/>
  <c r="AA123" i="8"/>
  <c r="J123" i="8"/>
  <c r="O123" i="8"/>
  <c r="T123" i="8"/>
  <c r="Y123"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C95" i="10"/>
  <c r="E90" i="10"/>
  <c r="AC111" i="10"/>
  <c r="AC25" i="10"/>
  <c r="AD26" i="10"/>
  <c r="AD123" i="10"/>
  <c r="AD92" i="10"/>
  <c r="AD96" i="10"/>
  <c r="AD98" i="10"/>
  <c r="AD114" i="10"/>
  <c r="AD124" i="10"/>
  <c r="AD63" i="10"/>
  <c r="AD125" i="10"/>
  <c r="AC138" i="10"/>
  <c r="AD141" i="10"/>
  <c r="AD142" i="10"/>
  <c r="AD183" i="10"/>
  <c r="AD184" i="10"/>
  <c r="AD80" i="10"/>
  <c r="AD83" i="10"/>
  <c r="AD81" i="10"/>
  <c r="AD82" i="10"/>
  <c r="AD103" i="10"/>
  <c r="AD27" i="10"/>
  <c r="AD28" i="10"/>
  <c r="AD31" i="10"/>
  <c r="AD37" i="10"/>
  <c r="AD38" i="10"/>
  <c r="AD59" i="10"/>
  <c r="AD60" i="10"/>
  <c r="F5" i="10"/>
  <c r="E41" i="10"/>
  <c r="J111" i="10"/>
  <c r="AD111" i="10"/>
  <c r="P126" i="10"/>
  <c r="J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E121" i="10"/>
  <c r="AB109" i="10"/>
  <c r="W106" i="10"/>
  <c r="E35" i="10"/>
  <c r="AC35" i="10" s="1"/>
  <c r="Q106" i="10"/>
  <c r="V106" i="10" s="1"/>
  <c r="J109" i="10"/>
  <c r="E106" i="10"/>
  <c r="V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AB161" i="10"/>
  <c r="J157" i="10"/>
  <c r="AD157" i="10" s="1"/>
  <c r="J112" i="10"/>
  <c r="J100" i="10"/>
  <c r="AD100" i="10" s="1"/>
  <c r="P112" i="10"/>
  <c r="J36" i="10"/>
  <c r="AB118" i="10"/>
  <c r="P49" i="10"/>
  <c r="J51" i="10"/>
  <c r="AD51" i="10" s="1"/>
  <c r="AB43" i="10"/>
  <c r="E131" i="10"/>
  <c r="AC131" i="10" s="1"/>
  <c r="J7" i="10"/>
  <c r="AD7" i="10"/>
  <c r="E5" i="10"/>
  <c r="P35" i="10"/>
  <c r="J39" i="10"/>
  <c r="AD39" i="10"/>
  <c r="K61" i="10"/>
  <c r="P138" i="10"/>
  <c r="K121" i="10"/>
  <c r="P121" i="10" s="1"/>
  <c r="P9" i="10"/>
  <c r="V127" i="10"/>
  <c r="P127" i="10"/>
  <c r="AB138" i="10"/>
  <c r="J122" i="10"/>
  <c r="AD122" i="10" s="1"/>
  <c r="J9" i="10"/>
  <c r="J25" i="10"/>
  <c r="P85" i="10"/>
  <c r="F61" i="10"/>
  <c r="J57" i="10"/>
  <c r="AD57" i="10"/>
  <c r="P155" i="10"/>
  <c r="AB5" i="10"/>
  <c r="AB25" i="10"/>
  <c r="V25" i="10"/>
  <c r="P109" i="10"/>
  <c r="I143" i="10"/>
  <c r="S143" i="10"/>
  <c r="M4" i="10"/>
  <c r="P161" i="10"/>
  <c r="E44" i="10"/>
  <c r="P43" i="10"/>
  <c r="K41" i="10"/>
  <c r="V85" i="10"/>
  <c r="J164" i="10"/>
  <c r="J95" i="10"/>
  <c r="G4" i="10"/>
  <c r="V44" i="10"/>
  <c r="P44" i="10"/>
  <c r="J159" i="10"/>
  <c r="AD159" i="10" s="1"/>
  <c r="E155" i="10"/>
  <c r="AC155" i="10" s="1"/>
  <c r="V100" i="10"/>
  <c r="P100" i="10"/>
  <c r="O143" i="10"/>
  <c r="W121" i="10"/>
  <c r="V131" i="10"/>
  <c r="J138" i="10"/>
  <c r="AD138" i="10" s="1"/>
  <c r="AB126" i="10"/>
  <c r="V35" i="10"/>
  <c r="E49" i="10"/>
  <c r="AC49" i="10"/>
  <c r="Y105" i="10"/>
  <c r="I105" i="10"/>
  <c r="AA105" i="10"/>
  <c r="AB159" i="10"/>
  <c r="S61" i="10"/>
  <c r="AB127" i="10"/>
  <c r="M105" i="10"/>
  <c r="U105" i="10"/>
  <c r="P5" i="10"/>
  <c r="O4" i="10"/>
  <c r="V5" i="10"/>
  <c r="V43" i="10"/>
  <c r="AD43" i="10" s="1"/>
  <c r="V49" i="10"/>
  <c r="Q61" i="10"/>
  <c r="I4" i="10"/>
  <c r="F41" i="10"/>
  <c r="J43" i="10"/>
  <c r="E85" i="10"/>
  <c r="AC85" i="10"/>
  <c r="F105" i="10"/>
  <c r="Y143" i="10"/>
  <c r="W61" i="10"/>
  <c r="AB100" i="10"/>
  <c r="T170" i="8"/>
  <c r="O61" i="8"/>
  <c r="Z71" i="8"/>
  <c r="O140" i="8"/>
  <c r="Z92" i="8"/>
  <c r="Z18" i="8"/>
  <c r="Z171" i="8"/>
  <c r="Z178" i="8"/>
  <c r="Z182" i="8"/>
  <c r="Z170" i="8"/>
  <c r="Z160" i="8"/>
  <c r="Z84" i="8"/>
  <c r="AA61" i="8"/>
  <c r="J90" i="10"/>
  <c r="AD164" i="10"/>
  <c r="AD127" i="10"/>
  <c r="J131" i="10"/>
  <c r="J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J5" i="10"/>
  <c r="AD5" i="10"/>
  <c r="P41" i="10"/>
  <c r="J155" i="10"/>
  <c r="J44" i="10"/>
  <c r="P106" i="10"/>
  <c r="J49" i="10"/>
  <c r="AD49" i="10"/>
  <c r="AB121" i="10"/>
  <c r="E61" i="10"/>
  <c r="AC61" i="10"/>
  <c r="F4" i="10"/>
  <c r="J41" i="10"/>
  <c r="Z140" i="8"/>
  <c r="AA3" i="8"/>
  <c r="J97" i="8"/>
  <c r="Z97" i="8"/>
  <c r="Z3" i="8"/>
  <c r="F161" i="10"/>
  <c r="J161" i="10"/>
  <c r="AD161" i="10"/>
  <c r="AC127" i="10" l="1"/>
  <c r="AD112" i="10"/>
  <c r="AD44" i="10"/>
  <c r="AD155" i="10"/>
  <c r="AD106" i="10"/>
  <c r="AD17" i="10"/>
  <c r="P16" i="10"/>
  <c r="J35" i="10"/>
  <c r="AD35" i="10" s="1"/>
  <c r="AB112" i="10"/>
  <c r="AB85" i="10"/>
  <c r="AD85" i="10" s="1"/>
  <c r="AC112" i="10"/>
  <c r="R4" i="10"/>
  <c r="AD93" i="10"/>
  <c r="AB90" i="10"/>
  <c r="AD90" i="10" s="1"/>
  <c r="AC109" i="10"/>
  <c r="V109" i="10"/>
  <c r="AD109" i="10" s="1"/>
  <c r="AB131" i="10"/>
  <c r="P131" i="10"/>
  <c r="AD131" i="10" s="1"/>
  <c r="AB137" i="10"/>
  <c r="AD132" i="10"/>
  <c r="AD133" i="10"/>
  <c r="V9" i="10"/>
  <c r="U4" i="10"/>
  <c r="U189" i="10" s="1"/>
  <c r="G143" i="10"/>
  <c r="G189" i="10" s="1"/>
  <c r="R143" i="10"/>
  <c r="W144" i="10"/>
  <c r="AB145" i="10"/>
  <c r="AD52" i="10"/>
  <c r="AD53" i="10"/>
  <c r="AD71" i="10"/>
  <c r="AB55" i="10"/>
  <c r="J55" i="10"/>
  <c r="AC55" i="10"/>
  <c r="O105" i="10"/>
  <c r="O189" i="10" s="1"/>
  <c r="L144" i="10"/>
  <c r="L143" i="10" s="1"/>
  <c r="L189" i="10" s="1"/>
  <c r="P145" i="10"/>
  <c r="P144" i="10" s="1"/>
  <c r="P143" i="10" s="1"/>
  <c r="E4" i="10"/>
  <c r="E143" i="10"/>
  <c r="AC106" i="10"/>
  <c r="K143" i="10"/>
  <c r="S105" i="10"/>
  <c r="S189" i="10" s="1"/>
  <c r="Q41" i="10"/>
  <c r="K4" i="10"/>
  <c r="K189" i="10" s="1"/>
  <c r="Y4" i="10"/>
  <c r="Y189" i="10" s="1"/>
  <c r="AC164" i="10"/>
  <c r="AC90" i="10"/>
  <c r="AB16" i="10"/>
  <c r="AB4" i="10" s="1"/>
  <c r="P25" i="10"/>
  <c r="AD25" i="10" s="1"/>
  <c r="W4" i="10"/>
  <c r="AB41" i="10"/>
  <c r="P62" i="10"/>
  <c r="V126" i="10"/>
  <c r="AD126" i="10" s="1"/>
  <c r="AC126" i="10"/>
  <c r="Q121" i="10"/>
  <c r="AD47" i="10"/>
  <c r="AD66" i="10"/>
  <c r="V120" i="10"/>
  <c r="Q118" i="10"/>
  <c r="V118" i="10" s="1"/>
  <c r="AD146" i="10"/>
  <c r="AC144" i="10"/>
  <c r="H143" i="10"/>
  <c r="P70" i="10"/>
  <c r="J70" i="10"/>
  <c r="J69" i="10" s="1"/>
  <c r="AC70" i="10"/>
  <c r="AC69" i="10"/>
  <c r="AD75" i="10"/>
  <c r="AD74" i="10" s="1"/>
  <c r="P74" i="10"/>
  <c r="AD77" i="10"/>
  <c r="V55" i="10"/>
  <c r="P118" i="10"/>
  <c r="P105" i="10" s="1"/>
  <c r="AD87" i="10"/>
  <c r="AD89" i="10"/>
  <c r="J120" i="10"/>
  <c r="AD120" i="10" s="1"/>
  <c r="E118" i="10"/>
  <c r="P137" i="10"/>
  <c r="AD137" i="10" s="1"/>
  <c r="F144" i="10"/>
  <c r="Q143" i="10"/>
  <c r="H61" i="10"/>
  <c r="M61" i="10"/>
  <c r="M189" i="10" s="1"/>
  <c r="R61" i="10"/>
  <c r="AA61" i="10"/>
  <c r="AA189" i="10" s="1"/>
  <c r="AD22" i="10"/>
  <c r="P55" i="10"/>
  <c r="AC119" i="10"/>
  <c r="AD72" i="10"/>
  <c r="J88" i="10"/>
  <c r="AD88" i="10" s="1"/>
  <c r="V145" i="10"/>
  <c r="V144" i="10" s="1"/>
  <c r="V143" i="10" s="1"/>
  <c r="H189" i="10" l="1"/>
  <c r="AC118" i="10"/>
  <c r="E105" i="10"/>
  <c r="J118" i="10"/>
  <c r="P69" i="10"/>
  <c r="V121" i="10"/>
  <c r="AD121" i="10" s="1"/>
  <c r="AC121" i="10"/>
  <c r="Q4" i="10"/>
  <c r="V41" i="10"/>
  <c r="AD41" i="10" s="1"/>
  <c r="AC41" i="10"/>
  <c r="Q105" i="10"/>
  <c r="V105" i="10" s="1"/>
  <c r="AD55" i="10"/>
  <c r="R189" i="10"/>
  <c r="AD9" i="10"/>
  <c r="AB61" i="10"/>
  <c r="AB189" i="10" s="1"/>
  <c r="AD145" i="10"/>
  <c r="P4" i="10"/>
  <c r="AD16" i="10"/>
  <c r="F143" i="10"/>
  <c r="F189" i="10" s="1"/>
  <c r="J144" i="10"/>
  <c r="E189" i="10"/>
  <c r="AC4" i="10"/>
  <c r="AD70" i="10"/>
  <c r="W143" i="10"/>
  <c r="W189" i="10" s="1"/>
  <c r="AB144" i="10"/>
  <c r="AB143" i="10" s="1"/>
  <c r="J4" i="10"/>
  <c r="AD69" i="10"/>
  <c r="J61" i="10"/>
  <c r="AD61" i="10" s="1"/>
  <c r="AD62" i="10"/>
  <c r="P61" i="10"/>
  <c r="J143" i="10" l="1"/>
  <c r="AD143" i="10" s="1"/>
  <c r="AD144" i="10"/>
  <c r="AC143" i="10"/>
  <c r="AC189" i="10" s="1"/>
  <c r="Q189" i="10"/>
  <c r="AD118" i="10"/>
  <c r="J105" i="10"/>
  <c r="AD105" i="10" s="1"/>
  <c r="V4" i="10"/>
  <c r="V189" i="10" s="1"/>
  <c r="P189" i="10"/>
  <c r="AC105" i="10"/>
  <c r="AD4" i="10" l="1"/>
  <c r="AD189" i="10" s="1"/>
  <c r="J189" i="10"/>
</calcChain>
</file>

<file path=xl/comments1.xml><?xml version="1.0" encoding="utf-8"?>
<comments xmlns="http://schemas.openxmlformats.org/spreadsheetml/2006/main">
  <authors>
    <author>USER</author>
    <author>Giorgi Kezherashvili</author>
    <author>Zurab Gumashvili</author>
    <author>DAVID MAMARDASHVILI</author>
    <author>Kristine Gorodnicheva</author>
  </authors>
  <commentList>
    <comment ref="B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text>
        <r>
          <rPr>
            <b/>
            <sz val="9"/>
            <color indexed="81"/>
            <rFont val="Tahoma"/>
            <family val="2"/>
          </rPr>
          <t>USER:</t>
        </r>
        <r>
          <rPr>
            <sz val="9"/>
            <color indexed="81"/>
            <rFont val="Tahoma"/>
            <family val="2"/>
          </rPr>
          <t xml:space="preserve">
the figuts are agreed with railwau dep. Giorgi Zazashvili</t>
        </r>
      </text>
    </comment>
    <comment ref="B11"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F15" authorId="1">
      <text>
        <r>
          <rPr>
            <b/>
            <sz val="9"/>
            <color indexed="81"/>
            <rFont val="Tahoma"/>
            <family val="2"/>
          </rPr>
          <t>Giorgi Kezherashvili:</t>
        </r>
        <r>
          <rPr>
            <sz val="9"/>
            <color indexed="81"/>
            <rFont val="Tahoma"/>
            <family val="2"/>
          </rPr>
          <t xml:space="preserve">
Kutaisi - $72.5; Tbilisi - $80.3+$15.1 (container terminal)=$95.4</t>
        </r>
      </text>
    </comment>
    <comment ref="AD19" authorId="2">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text>
        <r>
          <rPr>
            <b/>
            <sz val="9"/>
            <color indexed="81"/>
            <rFont val="Tahoma"/>
            <family val="2"/>
          </rPr>
          <t>USER 24 14 ში ცალკე არაა გამოყოფილი აჭარა და გურია</t>
        </r>
      </text>
    </comment>
    <comment ref="B29"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2"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2"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42"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P42"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3">
      <text>
        <r>
          <rPr>
            <b/>
            <sz val="9"/>
            <color indexed="81"/>
            <rFont val="Tahoma"/>
            <family val="2"/>
            <charset val="204"/>
          </rPr>
          <t>DAVID MAMARDASHVILI:</t>
        </r>
        <r>
          <rPr>
            <sz val="9"/>
            <color indexed="81"/>
            <rFont val="Tahoma"/>
            <family val="2"/>
            <charset val="204"/>
          </rPr>
          <t xml:space="preserve">
დაემატა!!!
</t>
        </r>
      </text>
    </comment>
    <comment ref="C91"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9"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B129" authorId="4">
      <text>
        <r>
          <rPr>
            <b/>
            <sz val="9"/>
            <color indexed="81"/>
            <rFont val="Tahoma"/>
            <family val="2"/>
            <charset val="204"/>
          </rPr>
          <t>Kristine Gorodnicheva:</t>
        </r>
        <r>
          <rPr>
            <sz val="9"/>
            <color indexed="81"/>
            <rFont val="Tahoma"/>
            <family val="2"/>
            <charset val="204"/>
          </rPr>
          <t xml:space="preserve">
„საქართველოს 2018 წლის სახელმწიფო ბიუჯეტის შესახებ“ </t>
        </r>
      </text>
    </comment>
    <comment ref="AC129"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D129"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B130" authorId="4">
      <text>
        <r>
          <rPr>
            <b/>
            <sz val="9"/>
            <color indexed="81"/>
            <rFont val="Tahoma"/>
            <charset val="1"/>
          </rPr>
          <t>Kristine Gorodnicheva:</t>
        </r>
        <r>
          <rPr>
            <sz val="9"/>
            <color indexed="81"/>
            <rFont val="Tahoma"/>
            <charset val="1"/>
          </rPr>
          <t xml:space="preserve">
„საქართველოს 2018 წლის სახელმწიფო ბიუჯეტის შესახებ“ </t>
        </r>
      </text>
    </comment>
    <comment ref="AC130" authorId="4">
      <text>
        <r>
          <rPr>
            <b/>
            <sz val="9"/>
            <color indexed="81"/>
            <rFont val="Tahoma"/>
            <family val="2"/>
            <charset val="204"/>
          </rPr>
          <t>Kristine Gorodnicheva:</t>
        </r>
        <r>
          <rPr>
            <sz val="9"/>
            <color indexed="81"/>
            <rFont val="Tahoma"/>
            <family val="2"/>
            <charset val="204"/>
          </rPr>
          <t xml:space="preserve">
</t>
        </r>
      </text>
    </comment>
    <comment ref="AD130"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144" authorId="0">
      <text>
        <r>
          <rPr>
            <b/>
            <sz val="9"/>
            <color indexed="81"/>
            <rFont val="Tahoma"/>
            <family val="2"/>
          </rPr>
          <t>USER:</t>
        </r>
        <r>
          <rPr>
            <sz val="9"/>
            <color indexed="81"/>
            <rFont val="Tahoma"/>
            <family val="2"/>
          </rPr>
          <t xml:space="preserve">
დიტოსთან გავივლი</t>
        </r>
      </text>
    </comment>
    <comment ref="A154" authorId="0">
      <text>
        <r>
          <rPr>
            <b/>
            <sz val="9"/>
            <color indexed="81"/>
            <rFont val="Tahoma"/>
            <family val="2"/>
          </rPr>
          <t>USER:</t>
        </r>
        <r>
          <rPr>
            <sz val="9"/>
            <color indexed="81"/>
            <rFont val="Tahoma"/>
            <family val="2"/>
          </rPr>
          <t xml:space="preserve">
რეგიონი არაა სწორი</t>
        </r>
      </text>
    </comment>
    <comment ref="A159"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AC189" authorId="4">
      <text>
        <r>
          <rPr>
            <b/>
            <sz val="9"/>
            <color indexed="81"/>
            <rFont val="Tahoma"/>
            <family val="2"/>
            <charset val="204"/>
          </rPr>
          <t>Kristine Gorodnicheva:</t>
        </r>
        <r>
          <rPr>
            <sz val="9"/>
            <color indexed="81"/>
            <rFont val="Tahoma"/>
            <family val="2"/>
            <charset val="204"/>
          </rPr>
          <t xml:space="preserve">
</t>
        </r>
      </text>
    </comment>
    <comment ref="AD189" authorId="4">
      <text>
        <r>
          <rPr>
            <b/>
            <sz val="9"/>
            <color indexed="81"/>
            <rFont val="Tahoma"/>
            <family val="2"/>
            <charset val="204"/>
          </rPr>
          <t>Kristine Gorodnicheva:</t>
        </r>
        <r>
          <rPr>
            <sz val="9"/>
            <color indexed="81"/>
            <rFont val="Tahoma"/>
            <family val="2"/>
            <charset val="204"/>
          </rPr>
          <t xml:space="preserve">
შეიცვალა 3.5 პუნქტში შეტანილი ცვლილების საფუძველზე</t>
        </r>
      </text>
    </comment>
  </commentList>
</comments>
</file>

<file path=xl/comments2.xml><?xml version="1.0" encoding="utf-8"?>
<comments xmlns="http://schemas.openxmlformats.org/spreadsheetml/2006/main">
  <authors>
    <author>USER</author>
    <author>DAVID MAMARDASHVILI</author>
    <author>Kristine Gorodnicheva</author>
  </authors>
  <commentList>
    <comment ref="B5"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text>
        <r>
          <rPr>
            <b/>
            <sz val="9"/>
            <color indexed="81"/>
            <rFont val="Tahoma"/>
            <family val="2"/>
          </rPr>
          <t>USER:</t>
        </r>
        <r>
          <rPr>
            <sz val="9"/>
            <color indexed="81"/>
            <rFont val="Tahoma"/>
            <family val="2"/>
          </rPr>
          <t xml:space="preserve">
the figuts are agreed with railwau dep. Giorgi Zazashvili</t>
        </r>
      </text>
    </comment>
    <comment ref="B10"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text>
        <r>
          <rPr>
            <b/>
            <sz val="9"/>
            <color indexed="81"/>
            <rFont val="Tahoma"/>
            <family val="2"/>
          </rPr>
          <t>USER 24 14 ში ცალკე არაა გამოყოფილი აჭარა და გურია</t>
        </r>
      </text>
    </comment>
    <comment ref="B22"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text>
        <r>
          <rPr>
            <b/>
            <sz val="9"/>
            <color indexed="81"/>
            <rFont val="Tahoma"/>
            <family val="2"/>
          </rPr>
          <t>გაზიფიცირება და ელექტროფიცირება ერთადაა</t>
        </r>
      </text>
    </comment>
    <comment ref="C24"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text>
        <r>
          <rPr>
            <b/>
            <sz val="9"/>
            <color indexed="81"/>
            <rFont val="Tahoma"/>
            <family val="2"/>
          </rPr>
          <t>USER:</t>
        </r>
        <r>
          <rPr>
            <sz val="9"/>
            <color indexed="81"/>
            <rFont val="Tahoma"/>
            <family val="2"/>
          </rPr>
          <t xml:space="preserve">
იგივე რაც ზევით</t>
        </r>
      </text>
    </comment>
    <comment ref="B36"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text>
        <r>
          <rPr>
            <b/>
            <sz val="9"/>
            <color indexed="81"/>
            <rFont val="Tahoma"/>
            <family val="2"/>
          </rPr>
          <t>USER:</t>
        </r>
        <r>
          <rPr>
            <sz val="9"/>
            <color indexed="81"/>
            <rFont val="Tahoma"/>
            <family val="2"/>
          </rPr>
          <t xml:space="preserve">
ესეც 33 04-ის ნაწილია</t>
        </r>
      </text>
    </comment>
    <comment ref="A47"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text>
        <r>
          <rPr>
            <b/>
            <sz val="9"/>
            <color indexed="81"/>
            <rFont val="Tahoma"/>
            <family val="2"/>
          </rPr>
          <t>DAVID MAMARDASHVILI:</t>
        </r>
        <r>
          <rPr>
            <sz val="9"/>
            <color indexed="81"/>
            <rFont val="Tahoma"/>
            <family val="2"/>
          </rPr>
          <t xml:space="preserve">
დაემატა!!!
</t>
        </r>
      </text>
    </comment>
    <comment ref="B68"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text>
        <r>
          <rPr>
            <b/>
            <sz val="9"/>
            <color indexed="81"/>
            <rFont val="Tahoma"/>
            <family val="2"/>
          </rPr>
          <t>USER:</t>
        </r>
        <r>
          <rPr>
            <sz val="9"/>
            <color indexed="81"/>
            <rFont val="Tahoma"/>
            <family val="2"/>
          </rPr>
          <t xml:space="preserve">
აწარმოე საქართველო</t>
        </r>
      </text>
    </comment>
    <comment ref="C108"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Z122"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A122"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Z124"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A124"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141" authorId="0">
      <text>
        <r>
          <rPr>
            <b/>
            <sz val="9"/>
            <color indexed="81"/>
            <rFont val="Tahoma"/>
            <family val="2"/>
          </rPr>
          <t>USER:</t>
        </r>
        <r>
          <rPr>
            <sz val="9"/>
            <color indexed="81"/>
            <rFont val="Tahoma"/>
            <family val="2"/>
          </rPr>
          <t xml:space="preserve">
დიტოსთან გავივლი</t>
        </r>
      </text>
    </comment>
    <comment ref="A146" authorId="0">
      <text>
        <r>
          <rPr>
            <b/>
            <sz val="9"/>
            <color indexed="81"/>
            <rFont val="Tahoma"/>
            <family val="2"/>
          </rPr>
          <t>USER:</t>
        </r>
        <r>
          <rPr>
            <sz val="9"/>
            <color indexed="81"/>
            <rFont val="Tahoma"/>
            <family val="2"/>
          </rPr>
          <t xml:space="preserve">
რეგიონი არაა სწორი</t>
        </r>
      </text>
    </comment>
    <comment ref="A158"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text>
        <r>
          <rPr>
            <b/>
            <sz val="9"/>
            <color indexed="81"/>
            <rFont val="Tahoma"/>
            <family val="2"/>
          </rPr>
          <t>USER 24 14 ში ცალკე არაა გამოყოფილი აჭარა და გურია</t>
        </r>
      </text>
    </comment>
    <comment ref="C26"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text>
        <r>
          <rPr>
            <b/>
            <sz val="9"/>
            <color indexed="81"/>
            <rFont val="Tahoma"/>
            <family val="2"/>
          </rPr>
          <t>გაზიფიცირება და ელექტროფიცირება ერთადაა</t>
        </r>
      </text>
    </comment>
    <comment ref="C32"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text>
        <r>
          <rPr>
            <b/>
            <sz val="9"/>
            <color indexed="81"/>
            <rFont val="Tahoma"/>
            <family val="2"/>
          </rPr>
          <t>USER:</t>
        </r>
        <r>
          <rPr>
            <sz val="9"/>
            <color indexed="81"/>
            <rFont val="Tahoma"/>
            <family val="2"/>
          </rPr>
          <t xml:space="preserve">
იგივე რაც ზევით</t>
        </r>
      </text>
    </comment>
    <comment ref="A41" authorId="1">
      <text>
        <r>
          <rPr>
            <b/>
            <sz val="9"/>
            <color indexed="81"/>
            <rFont val="Tahoma"/>
            <family val="2"/>
          </rPr>
          <t>Ioseb Skhritladze:</t>
        </r>
        <r>
          <rPr>
            <sz val="9"/>
            <color indexed="81"/>
            <rFont val="Tahoma"/>
            <family val="2"/>
          </rPr>
          <t xml:space="preserve">
ეს შედის 31 14-ის აღწერაში</t>
        </r>
      </text>
    </comment>
    <comment ref="C41"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text>
        <r>
          <rPr>
            <b/>
            <sz val="9"/>
            <color indexed="81"/>
            <rFont val="Tahoma"/>
            <family val="2"/>
          </rPr>
          <t>USER:</t>
        </r>
        <r>
          <rPr>
            <sz val="9"/>
            <color indexed="81"/>
            <rFont val="Tahoma"/>
            <family val="2"/>
          </rPr>
          <t xml:space="preserve">
ესეც 33 04-ის ნაწილია</t>
        </r>
      </text>
    </comment>
    <comment ref="C54"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text>
        <r>
          <rPr>
            <b/>
            <sz val="9"/>
            <color indexed="81"/>
            <rFont val="Tahoma"/>
            <family val="2"/>
          </rPr>
          <t>USER:</t>
        </r>
        <r>
          <rPr>
            <sz val="9"/>
            <color indexed="81"/>
            <rFont val="Tahoma"/>
            <family val="2"/>
          </rPr>
          <t xml:space="preserve">
31 09 04</t>
        </r>
      </text>
    </comment>
    <comment ref="C7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text>
        <r>
          <rPr>
            <b/>
            <sz val="9"/>
            <color indexed="81"/>
            <rFont val="Tahoma"/>
            <family val="2"/>
          </rPr>
          <t>DAVID MAMARDASHVILI:</t>
        </r>
        <r>
          <rPr>
            <sz val="9"/>
            <color indexed="81"/>
            <rFont val="Tahoma"/>
            <family val="2"/>
          </rPr>
          <t xml:space="preserve">
დაემატა!!!
</t>
        </r>
      </text>
    </comment>
    <comment ref="C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text>
        <r>
          <rPr>
            <b/>
            <sz val="9"/>
            <color indexed="81"/>
            <rFont val="Tahoma"/>
            <family val="2"/>
          </rPr>
          <t>DAVID MAMARDASHVILI:</t>
        </r>
        <r>
          <rPr>
            <sz val="9"/>
            <color indexed="81"/>
            <rFont val="Tahoma"/>
            <family val="2"/>
          </rPr>
          <t xml:space="preserve">
დაემატა!!!
</t>
        </r>
      </text>
    </comment>
    <comment ref="C80"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text>
        <r>
          <rPr>
            <b/>
            <sz val="9"/>
            <color indexed="81"/>
            <rFont val="Tahoma"/>
            <family val="2"/>
          </rPr>
          <t>USER:</t>
        </r>
        <r>
          <rPr>
            <sz val="9"/>
            <color indexed="81"/>
            <rFont val="Tahoma"/>
            <family val="2"/>
          </rPr>
          <t xml:space="preserve">
აწარმოე საქართველო</t>
        </r>
      </text>
    </comment>
    <comment ref="C118" authorId="0">
      <text>
        <r>
          <rPr>
            <b/>
            <sz val="9"/>
            <color indexed="81"/>
            <rFont val="Tahoma"/>
            <family val="2"/>
          </rPr>
          <t>USER:</t>
        </r>
        <r>
          <rPr>
            <sz val="9"/>
            <color indexed="81"/>
            <rFont val="Tahoma"/>
            <family val="2"/>
          </rPr>
          <t xml:space="preserve">
</t>
        </r>
      </text>
    </comment>
    <comment ref="A12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text>
        <r>
          <rPr>
            <b/>
            <sz val="9"/>
            <color indexed="81"/>
            <rFont val="Tahoma"/>
            <family val="2"/>
          </rPr>
          <t>USER:</t>
        </r>
        <r>
          <rPr>
            <sz val="9"/>
            <color indexed="81"/>
            <rFont val="Tahoma"/>
            <family val="2"/>
          </rPr>
          <t xml:space="preserve">
დიტოსთან გავივლი</t>
        </r>
      </text>
    </comment>
    <comment ref="C170" authorId="0">
      <text>
        <r>
          <rPr>
            <b/>
            <sz val="9"/>
            <color indexed="81"/>
            <rFont val="Tahoma"/>
            <family val="2"/>
          </rPr>
          <t>USER:</t>
        </r>
        <r>
          <rPr>
            <sz val="9"/>
            <color indexed="81"/>
            <rFont val="Tahoma"/>
            <family val="2"/>
          </rPr>
          <t xml:space="preserve">
რეგიონი არაა სწორი</t>
        </r>
      </text>
    </comment>
    <comment ref="C184"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<sst xmlns="http://schemas.openxmlformats.org/spreadsheetml/2006/main" count="1042" uniqueCount="777">
  <si>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</si>
  <si>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</si>
  <si>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</si>
  <si>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</si>
  <si>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</si>
  <si>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</si>
  <si>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</si>
  <si>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</si>
  <si>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</si>
  <si>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</si>
  <si>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</si>
  <si>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</si>
  <si>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</si>
  <si>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</si>
  <si>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</si>
  <si>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</si>
  <si>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</si>
  <si>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</si>
  <si>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</si>
  <si>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</si>
  <si>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</si>
  <si>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</si>
  <si>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</si>
  <si>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</si>
  <si>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</si>
  <si>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</si>
  <si>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</si>
  <si>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</si>
  <si>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</si>
  <si>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</si>
  <si>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</si>
  <si>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</si>
  <si>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</si>
  <si>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</si>
  <si>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</si>
  <si>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</si>
  <si>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</si>
  <si>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</si>
  <si>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</si>
  <si>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</si>
  <si>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</si>
  <si>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</si>
  <si>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</si>
  <si>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</si>
  <si>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</si>
  <si>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</si>
  <si>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</si>
  <si>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</si>
  <si>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</si>
  <si>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</si>
  <si>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</si>
  <si>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</si>
  <si>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</si>
  <si>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</si>
  <si>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</si>
  <si>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</si>
  <si>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</si>
  <si>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</si>
  <si>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</si>
  <si>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</si>
  <si>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</si>
  <si>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</si>
  <si>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</si>
  <si>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</si>
  <si>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</si>
  <si>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</si>
  <si>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</si>
  <si>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</si>
  <si>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</si>
  <si>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</si>
  <si>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</si>
  <si>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</si>
  <si>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</si>
  <si>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</si>
  <si>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</si>
  <si>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</si>
  <si>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</si>
  <si>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</si>
  <si>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</si>
  <si>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</si>
  <si>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</si>
  <si>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</si>
  <si>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</si>
  <si>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</si>
  <si>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</si>
  <si>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</si>
  <si>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</si>
  <si>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</si>
  <si>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</si>
  <si>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</si>
  <si>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</si>
  <si>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</si>
  <si>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</si>
  <si>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</si>
  <si>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</si>
  <si>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</si>
  <si>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</si>
  <si>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</si>
  <si>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</si>
  <si>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</si>
  <si>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</si>
  <si>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</si>
  <si>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</si>
  <si>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</si>
  <si>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</si>
  <si>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</si>
  <si>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</si>
  <si>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</si>
  <si>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</si>
  <si>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</si>
  <si>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</si>
  <si>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</si>
  <si>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</si>
  <si>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</si>
  <si>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</si>
  <si>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</si>
  <si>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</si>
  <si>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</si>
  <si>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</si>
  <si>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</si>
  <si>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</si>
  <si>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</si>
  <si>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</si>
  <si>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</si>
  <si>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</si>
  <si>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</si>
  <si>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</si>
  <si>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</si>
  <si>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</si>
  <si>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</si>
  <si>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</si>
  <si>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</si>
  <si>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</si>
  <si>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</si>
  <si>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</si>
  <si>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</si>
  <si>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</si>
  <si>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</si>
  <si>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</si>
  <si>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</si>
  <si>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</si>
  <si>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</si>
  <si>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</si>
  <si>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</si>
  <si>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</si>
  <si>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</si>
  <si>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</si>
  <si>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</si>
  <si>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</si>
  <si>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</si>
  <si>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</si>
  <si>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</si>
  <si>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</si>
  <si>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</si>
  <si>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</si>
  <si>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</si>
  <si>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</si>
  <si>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</si>
  <si>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</si>
  <si>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</si>
  <si>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</si>
  <si>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</si>
  <si>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</si>
  <si>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</si>
  <si>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</si>
  <si>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</si>
  <si>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</si>
  <si>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</si>
  <si>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</si>
  <si>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</si>
  <si>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</si>
  <si>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</si>
  <si>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</si>
  <si>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</si>
  <si>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</si>
  <si>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</si>
  <si>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</si>
  <si>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</si>
  <si>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</si>
  <si>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</si>
  <si>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</si>
  <si>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</si>
  <si>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</si>
  <si>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</si>
  <si>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</si>
  <si>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</si>
  <si>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</si>
  <si>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</si>
  <si>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</si>
  <si>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</si>
  <si>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</si>
  <si>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</si>
  <si>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</si>
  <si>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</si>
  <si>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</si>
  <si>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</si>
  <si>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</si>
  <si>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</si>
  <si>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</si>
  <si>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</si>
  <si>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</si>
  <si>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</si>
  <si>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</si>
  <si>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</si>
  <si>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</si>
  <si>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</si>
  <si>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</si>
  <si>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</si>
  <si>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</si>
  <si>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</si>
  <si>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</si>
  <si>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</si>
  <si>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</si>
  <si>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</si>
  <si>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</si>
  <si>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</si>
  <si>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</si>
  <si>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</si>
  <si>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</si>
  <si>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</si>
  <si>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</si>
  <si>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</si>
  <si>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</si>
  <si>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</si>
  <si>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</si>
  <si>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</si>
  <si>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</si>
  <si>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</si>
  <si>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</si>
  <si>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</si>
  <si>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</si>
  <si>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</si>
  <si>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</si>
  <si>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</si>
  <si>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</si>
  <si>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</si>
  <si>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</si>
  <si>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</si>
  <si>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</si>
  <si>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</si>
  <si>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</si>
  <si>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</si>
  <si>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</si>
  <si>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</si>
  <si>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</si>
  <si>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</si>
  <si>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</si>
  <si>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</si>
  <si>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</si>
  <si>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</si>
  <si>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</si>
  <si>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</si>
  <si>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</si>
  <si>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</si>
  <si>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</si>
  <si>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</si>
  <si>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</si>
  <si>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</si>
  <si>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</si>
  <si>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</si>
  <si>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</si>
  <si>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</si>
  <si>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</si>
  <si>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</si>
  <si>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</si>
  <si>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</si>
  <si>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</si>
  <si>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</si>
  <si>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</si>
  <si>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</si>
  <si>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</si>
  <si>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</si>
  <si>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</si>
  <si>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</si>
  <si>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</si>
  <si>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</si>
  <si>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</si>
  <si>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</si>
  <si>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</si>
  <si>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</si>
  <si>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</si>
  <si>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</si>
  <si>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</si>
  <si>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</si>
  <si>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</si>
  <si>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</si>
  <si>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</si>
  <si>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</si>
  <si>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</si>
  <si>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</si>
  <si>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</si>
  <si>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</si>
  <si>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</si>
  <si>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</si>
  <si>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</si>
  <si>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</si>
  <si>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</si>
  <si>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</si>
  <si>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</si>
  <si>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</si>
  <si>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</si>
  <si>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</si>
  <si>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</si>
  <si>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</si>
  <si>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</si>
  <si>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</si>
  <si>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</si>
  <si>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</si>
  <si>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</si>
  <si>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</si>
  <si>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</si>
  <si>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</si>
  <si>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</si>
  <si>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</si>
  <si>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</si>
  <si>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</si>
  <si>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</si>
  <si>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</si>
  <si>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</si>
  <si>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</si>
  <si>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</si>
  <si>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</si>
  <si>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</si>
  <si>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</si>
  <si>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</si>
  <si>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</si>
  <si>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</si>
  <si>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</si>
  <si>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</si>
  <si>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</si>
  <si>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</si>
  <si>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</si>
  <si>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</si>
  <si>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</si>
  <si>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</si>
  <si>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</si>
  <si>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</si>
  <si>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</si>
  <si>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</si>
  <si>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</si>
  <si>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</si>
  <si>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</si>
  <si>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</si>
  <si>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</si>
  <si>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</si>
  <si>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</si>
  <si>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</si>
  <si>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</si>
  <si>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</si>
  <si>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</si>
  <si>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</si>
  <si>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</si>
  <si>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</si>
  <si>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</si>
  <si>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</si>
  <si>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</si>
  <si>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</si>
  <si>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</si>
  <si>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</si>
  <si>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</si>
  <si>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</si>
  <si>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</si>
  <si>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</si>
  <si>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</si>
  <si>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</si>
  <si>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</si>
  <si>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</si>
  <si>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</si>
  <si>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</si>
  <si>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</si>
  <si>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</si>
  <si>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</si>
  <si>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</si>
  <si>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</si>
  <si>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</si>
  <si>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</si>
  <si>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</si>
  <si>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</si>
  <si>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</si>
  <si>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</si>
  <si>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</si>
  <si>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</si>
  <si>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</si>
  <si>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</si>
  <si>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</si>
  <si>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</si>
  <si>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</si>
  <si>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</si>
  <si>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</si>
  <si>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</si>
  <si>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</si>
  <si>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</si>
  <si>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</si>
  <si>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</si>
  <si>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</si>
  <si>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</si>
  <si>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</si>
  <si>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</si>
  <si>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</si>
  <si>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</si>
  <si>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</si>
  <si>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</si>
  <si>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</si>
  <si>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</si>
  <si>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</si>
  <si>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</si>
  <si>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</si>
  <si>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</si>
  <si>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</si>
  <si>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</si>
  <si>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</si>
  <si>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</si>
  <si>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</si>
  <si>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</si>
  <si>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</si>
  <si>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</si>
  <si>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</si>
  <si>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</si>
  <si>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</si>
  <si>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</si>
  <si>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</si>
  <si>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</si>
  <si>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</si>
  <si>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</si>
  <si>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</si>
  <si>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</si>
  <si>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</si>
  <si>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</si>
  <si>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</si>
  <si>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</si>
  <si>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</si>
  <si>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</si>
  <si>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</si>
  <si>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</si>
  <si>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</si>
  <si>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</si>
  <si>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</si>
  <si>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</si>
  <si>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</si>
  <si>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</si>
  <si>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</si>
  <si>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</si>
  <si>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</si>
  <si>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</si>
  <si>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</si>
  <si>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</si>
  <si>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</si>
  <si>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</si>
  <si>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</si>
  <si>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</si>
  <si>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</si>
  <si>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</si>
  <si>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</si>
  <si>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</si>
  <si>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</si>
  <si>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</si>
  <si>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</si>
  <si>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</si>
  <si>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</si>
  <si>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</si>
  <si>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</si>
  <si>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</si>
  <si>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</si>
  <si>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</si>
  <si>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</si>
  <si>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</si>
  <si>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</si>
  <si>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</si>
  <si>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</si>
  <si>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</si>
  <si>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</si>
  <si>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</si>
  <si>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</si>
  <si>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</si>
  <si>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</si>
  <si>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</si>
  <si>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</si>
  <si>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</si>
  <si>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</si>
  <si>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</si>
  <si>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</si>
  <si>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</si>
  <si>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</si>
  <si>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</si>
  <si>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</si>
  <si>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</si>
  <si>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</si>
  <si>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</si>
  <si>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</si>
  <si>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</si>
  <si>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</si>
  <si>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</si>
  <si>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</si>
  <si>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</si>
  <si>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</si>
  <si>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</si>
  <si>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</si>
  <si>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</si>
  <si>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</si>
  <si>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</si>
  <si>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</si>
  <si>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</si>
  <si>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</si>
  <si>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</si>
  <si>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</si>
  <si>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</si>
  <si>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</si>
  <si>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</si>
  <si>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</si>
  <si>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</si>
  <si>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</si>
  <si>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</si>
  <si>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</si>
  <si>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</si>
  <si>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</si>
  <si>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</si>
  <si>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</si>
  <si>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</si>
  <si>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</si>
  <si>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</si>
  <si>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</si>
  <si>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</si>
  <si>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</si>
  <si>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</si>
  <si>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</si>
  <si>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</si>
  <si>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</si>
  <si>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</si>
  <si>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</si>
  <si>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</si>
  <si>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</si>
  <si>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</si>
  <si>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</si>
  <si>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</si>
  <si>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</si>
  <si>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</si>
  <si>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</si>
  <si>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</si>
  <si>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</si>
  <si>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</si>
  <si>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</si>
  <si>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</si>
  <si>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</si>
  <si>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</si>
  <si>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</si>
  <si>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</si>
  <si>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</si>
  <si>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</si>
  <si>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</si>
  <si>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</si>
  <si>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</si>
  <si>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</si>
  <si>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</si>
  <si>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</si>
  <si>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</si>
  <si>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</si>
  <si>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</si>
  <si>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</si>
  <si>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</si>
  <si>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</si>
  <si>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</si>
  <si>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</si>
  <si>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</si>
  <si>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</si>
  <si>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</si>
  <si>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</si>
  <si>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</si>
  <si>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</si>
  <si>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</si>
  <si>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</si>
  <si>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</si>
  <si>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</si>
  <si>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</si>
  <si>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</si>
  <si>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</si>
  <si>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</si>
  <si>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</si>
  <si>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</si>
  <si>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</si>
  <si>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</si>
  <si>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</si>
  <si>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</si>
  <si>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</si>
  <si>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</si>
  <si>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</si>
  <si>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</si>
  <si>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</si>
  <si>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</si>
  <si>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</si>
  <si>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</si>
  <si>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</si>
  <si>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</si>
  <si>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</si>
  <si>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</si>
  <si>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</si>
  <si>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</si>
  <si>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</si>
  <si>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</si>
  <si>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</si>
  <si>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</si>
  <si>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</si>
  <si>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</si>
  <si>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</si>
  <si>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</si>
  <si>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</si>
  <si>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</si>
  <si>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</si>
  <si>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</si>
  <si>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</si>
  <si>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</si>
  <si>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</si>
  <si>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</si>
  <si>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</si>
  <si>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</si>
  <si>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</si>
  <si>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</si>
  <si>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</si>
  <si>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</si>
  <si>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</si>
  <si>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</si>
  <si>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</si>
  <si>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</si>
  <si>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</si>
  <si>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</si>
  <si>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</si>
  <si>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</si>
  <si>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</si>
  <si>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</si>
  <si>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</si>
  <si>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</si>
  <si>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</si>
  <si>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</si>
  <si>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</si>
  <si>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</si>
  <si>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</si>
  <si>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</si>
  <si>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</si>
  <si>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</si>
  <si>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</si>
  <si>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</si>
  <si>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</si>
  <si>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</si>
  <si>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</si>
  <si>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</si>
  <si>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</si>
  <si>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</si>
  <si>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</si>
  <si>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</si>
  <si>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</si>
  <si>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</si>
  <si>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</si>
  <si>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</si>
  <si>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</si>
  <si>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</si>
  <si>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</si>
  <si>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</si>
  <si>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</si>
  <si>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</si>
  <si>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</si>
  <si>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</si>
  <si>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4.3.1</t>
    </r>
    <r>
      <rPr>
        <sz val="8"/>
        <rFont val="Sylfaen"/>
        <family val="1"/>
      </rPr>
      <t>. მაღალმთიანი დასახლებების ინფრასტრუქტურის გაუმჯობესება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</si>
  <si>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</si>
  <si>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</si>
  <si>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</si>
  <si>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</si>
  <si>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</si>
  <si>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</si>
  <si>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</si>
  <si>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</si>
  <si>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</si>
  <si>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</si>
  <si>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</si>
  <si>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</si>
  <si>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</si>
  <si>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</si>
  <si>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</si>
  <si>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</si>
  <si>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</si>
  <si>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</si>
  <si>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</si>
  <si>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</si>
  <si>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</si>
  <si>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</si>
  <si>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</si>
  <si>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</si>
  <si>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</si>
  <si>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t>4.1.2.2 სამედიცინო დაწესებულებების და ჯანდაცვის სერვისების ხარისხის გაუმჯობესება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</si>
  <si>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</si>
  <si>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</si>
  <si>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</si>
  <si>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</si>
  <si>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</si>
  <si>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</si>
  <si>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</si>
  <si>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</si>
  <si>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</si>
  <si>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</si>
  <si>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</si>
  <si>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</si>
  <si>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</si>
  <si>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</si>
  <si>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</si>
  <si>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</si>
  <si>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</si>
  <si>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</si>
  <si>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</si>
  <si>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</si>
  <si>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</si>
  <si>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</si>
  <si>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</si>
  <si>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</si>
  <si>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</si>
  <si>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</si>
  <si>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</si>
  <si>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</si>
  <si>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</si>
  <si>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</si>
  <si>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</si>
  <si>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</si>
  <si>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</si>
  <si>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</si>
  <si>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</si>
  <si>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</si>
  <si>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</si>
  <si>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</si>
  <si>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</si>
  <si>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</si>
  <si>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</si>
  <si>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</si>
  <si>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</si>
  <si>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</si>
  <si>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</si>
  <si>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</si>
  <si>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</si>
  <si>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</si>
  <si>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</si>
  <si>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</si>
  <si>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</si>
  <si>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</si>
  <si>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</si>
  <si>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</si>
  <si>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</si>
  <si>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</si>
  <si>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</si>
  <si>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</si>
  <si>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</si>
  <si>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</si>
  <si>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</si>
  <si>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</si>
  <si>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</si>
  <si>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</si>
  <si>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</si>
  <si>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</si>
  <si>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</si>
  <si>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</si>
  <si>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</si>
  <si>
    <t>4.1.2.4 გარე განათება</t>
  </si>
  <si>
    <t>4.1.2.5  ნარჩენების მართვის ინფრასტრუქტურის განვითარება</t>
  </si>
  <si>
    <t>საბიუჯეტო კოდი</t>
  </si>
  <si>
    <t>გთხოვთ მიუთითოთ საბიუჯეტო კოდი</t>
  </si>
  <si>
    <t>31 09 05</t>
  </si>
  <si>
    <t xml:space="preserve">24 07 02 </t>
  </si>
  <si>
    <t>34 02</t>
  </si>
  <si>
    <t>32 08</t>
  </si>
  <si>
    <t>32 06 (გარდა 32 06 02)</t>
  </si>
  <si>
    <t>25 03 05: 25 03 06</t>
  </si>
  <si>
    <t>25 05 04</t>
  </si>
  <si>
    <t>25 03 07</t>
  </si>
  <si>
    <t>25 04 01; 25 04 02</t>
  </si>
  <si>
    <t>25 03 01; 25 03 04; 25 03 05; 25 03 06; 25 03 07</t>
  </si>
  <si>
    <t>მგფ</t>
  </si>
  <si>
    <t>25 02 02 07, მგფ 25 03 02</t>
  </si>
  <si>
    <t>25 04 04; 06; 08; 05; მგფ 02; 03</t>
  </si>
  <si>
    <t>01 02 03 (თბილისის ბიუჯეტი), მგფ, ნაწილი კოდიდან 25 03 02</t>
  </si>
  <si>
    <t>25 03 11 მგფ</t>
  </si>
  <si>
    <t>ნაწილი კოდიდან 32 03 01</t>
  </si>
  <si>
    <t>31 06 05+რგფ+მაღალმთიანი რეგიონების განვითარერბის ფონდი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</si>
</sst>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8"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
      <b/>
      <sz val="9"/>
      <color indexed="81"/>
      <name val="Tahoma"/>
      <family val="2"/>
      <charset val="204"/>
    </font>
    <font>
      <sz val="9"/>
      <color indexed="81"/>
      <name val="Tahoma"/>
      <family val="2"/>
      <charset val="204"/>
    </font>
    <font>
      <sz val="9"/>
      <color indexed="81"/>
      <name val="Tahoma"/>
      <charset val="1"/>
    </font>
    <font>
      <b/>
      <sz val="9"/>
      <color indexed="81"/>
      <name val="Tahoma"/>
      <charset val="1"/>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328">
    <xf numFmtId="0" fontId="0" fillId="0" borderId="0" xfId="0"/>
    <xf numFmtId="0" fontId="13" fillId="0" borderId="0" xfId="0" applyFont="1" applyAlignment="1">
      <alignment wrapText="1"/>
    </xf>
    <xf numFmtId="0" fontId="13" fillId="5" borderId="1" xfId="0" applyFont="1" applyFill="1" applyBorder="1" applyAlignment="1">
      <alignment wrapText="1"/>
    </xf>
    <xf numFmtId="43" fontId="16" fillId="5" borderId="1" xfId="1" applyFont="1" applyFill="1" applyBorder="1" applyAlignment="1">
      <alignment wrapText="1"/>
    </xf>
    <xf numFmtId="43" fontId="16" fillId="5" borderId="8" xfId="1" applyFont="1" applyFill="1" applyBorder="1" applyAlignment="1">
      <alignment wrapText="1"/>
    </xf>
    <xf numFmtId="0" fontId="15" fillId="2" borderId="1" xfId="0" applyFont="1" applyFill="1" applyBorder="1" applyAlignment="1">
      <alignment wrapText="1"/>
    </xf>
    <xf numFmtId="43" fontId="16" fillId="0" borderId="1" xfId="1" applyFont="1" applyBorder="1" applyAlignment="1">
      <alignment wrapText="1"/>
    </xf>
    <xf numFmtId="43" fontId="16" fillId="2" borderId="1" xfId="1" applyFont="1" applyFill="1" applyBorder="1" applyAlignment="1">
      <alignment wrapText="1"/>
    </xf>
    <xf numFmtId="43" fontId="16" fillId="0" borderId="1" xfId="1" applyFont="1" applyBorder="1" applyAlignment="1">
      <alignment horizontal="left" vertical="center" wrapText="1"/>
    </xf>
    <xf numFmtId="43" fontId="16" fillId="0" borderId="8" xfId="1" applyFont="1" applyBorder="1" applyAlignment="1">
      <alignment wrapText="1"/>
    </xf>
    <xf numFmtId="0" fontId="15" fillId="2" borderId="1" xfId="0" applyFont="1" applyFill="1" applyBorder="1" applyAlignment="1">
      <alignment vertical="center" wrapText="1"/>
    </xf>
    <xf numFmtId="43" fontId="18" fillId="0" borderId="1" xfId="1" applyFont="1" applyBorder="1" applyAlignment="1">
      <alignment wrapText="1"/>
    </xf>
    <xf numFmtId="43" fontId="16" fillId="0" borderId="1" xfId="1" applyFont="1" applyBorder="1" applyAlignment="1">
      <alignment horizontal="left" vertical="top" wrapText="1"/>
    </xf>
    <xf numFmtId="43"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43" fontId="21" fillId="0" borderId="1" xfId="1" applyFont="1" applyFill="1" applyBorder="1" applyAlignment="1">
      <alignment horizontal="center" vertical="top" wrapText="1"/>
    </xf>
    <xf numFmtId="43" fontId="16" fillId="0" borderId="1" xfId="1" applyFont="1" applyBorder="1" applyAlignment="1">
      <alignment horizontal="center" vertical="center" wrapText="1"/>
    </xf>
    <xf numFmtId="43" fontId="16" fillId="2" borderId="1" xfId="1" applyFont="1" applyFill="1" applyBorder="1" applyAlignment="1">
      <alignment horizontal="center" vertical="center" wrapText="1"/>
    </xf>
    <xf numFmtId="43"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43" fontId="8" fillId="2" borderId="1" xfId="1" applyFont="1" applyFill="1" applyBorder="1" applyAlignment="1">
      <alignment horizontal="center" vertical="center" wrapText="1"/>
    </xf>
    <xf numFmtId="43"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43" fontId="13" fillId="6" borderId="1" xfId="0" applyNumberFormat="1" applyFont="1" applyFill="1" applyBorder="1" applyAlignment="1">
      <alignment wrapText="1"/>
    </xf>
    <xf numFmtId="43"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43" fontId="13" fillId="0" borderId="0" xfId="0" applyNumberFormat="1" applyFont="1" applyAlignment="1">
      <alignment wrapText="1"/>
    </xf>
    <xf numFmtId="43" fontId="19" fillId="6" borderId="7" xfId="1" applyFont="1" applyFill="1" applyBorder="1" applyAlignment="1">
      <alignment vertical="center" wrapText="1"/>
    </xf>
    <xf numFmtId="43" fontId="13" fillId="6" borderId="1" xfId="1" applyFont="1" applyFill="1" applyBorder="1" applyAlignment="1">
      <alignment wrapText="1"/>
    </xf>
    <xf numFmtId="43" fontId="13" fillId="6" borderId="8" xfId="1" applyFont="1" applyFill="1" applyBorder="1" applyAlignment="1">
      <alignment wrapText="1"/>
    </xf>
    <xf numFmtId="0" fontId="15" fillId="2" borderId="1" xfId="0" applyFont="1" applyFill="1" applyBorder="1" applyAlignment="1">
      <alignment horizontal="center" wrapText="1"/>
    </xf>
    <xf numFmtId="43" fontId="14" fillId="6" borderId="7" xfId="1" applyFont="1" applyFill="1" applyBorder="1" applyAlignment="1">
      <alignment vertical="center" wrapText="1"/>
    </xf>
    <xf numFmtId="43" fontId="16" fillId="6" borderId="1" xfId="1" applyFont="1" applyFill="1" applyBorder="1" applyAlignment="1">
      <alignment wrapText="1"/>
    </xf>
    <xf numFmtId="43"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43"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43" fontId="27" fillId="5" borderId="1" xfId="1" applyFont="1" applyFill="1" applyBorder="1" applyAlignment="1">
      <alignment horizontal="center" vertical="top" wrapText="1"/>
    </xf>
    <xf numFmtId="0" fontId="25" fillId="0" borderId="0" xfId="0" applyFont="1" applyAlignment="1">
      <alignment horizontal="center" vertical="top" wrapText="1"/>
    </xf>
    <xf numFmtId="43"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43"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43" fontId="2" fillId="0" borderId="1" xfId="1" applyFont="1" applyBorder="1" applyAlignment="1">
      <alignment wrapText="1"/>
    </xf>
    <xf numFmtId="43"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43"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43" fontId="33" fillId="6" borderId="1" xfId="0" applyNumberFormat="1" applyFont="1" applyFill="1" applyBorder="1" applyAlignment="1">
      <alignment vertical="center" wrapText="1"/>
    </xf>
    <xf numFmtId="164" fontId="0" fillId="6" borderId="1" xfId="0" applyNumberFormat="1" applyFill="1" applyBorder="1"/>
    <xf numFmtId="164" fontId="35" fillId="6" borderId="1" xfId="0" applyNumberFormat="1" applyFont="1" applyFill="1" applyBorder="1"/>
    <xf numFmtId="0" fontId="36" fillId="10" borderId="1" xfId="0" applyFont="1" applyFill="1" applyBorder="1" applyAlignment="1">
      <alignment horizontal="justify" vertical="top"/>
    </xf>
    <xf numFmtId="164"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4" fontId="33" fillId="0" borderId="1" xfId="1" applyNumberFormat="1" applyFont="1" applyBorder="1"/>
    <xf numFmtId="164"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4"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4" fontId="33" fillId="0" borderId="0" xfId="1" applyNumberFormat="1" applyFont="1"/>
    <xf numFmtId="164" fontId="41" fillId="0" borderId="1" xfId="1" applyNumberFormat="1" applyFont="1" applyBorder="1"/>
    <xf numFmtId="0" fontId="0" fillId="0" borderId="14" xfId="0" applyBorder="1"/>
    <xf numFmtId="43"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4" fontId="3" fillId="0" borderId="19" xfId="1" applyNumberFormat="1" applyFont="1" applyBorder="1" applyAlignment="1">
      <alignment horizontal="left" vertical="top" wrapText="1" indent="2"/>
    </xf>
    <xf numFmtId="164"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4" fontId="0" fillId="0" borderId="0" xfId="0" applyNumberFormat="1"/>
    <xf numFmtId="164" fontId="51" fillId="0" borderId="21" xfId="1" applyNumberFormat="1" applyFont="1" applyFill="1" applyBorder="1" applyAlignment="1">
      <alignment horizontal="center" vertical="top" wrapText="1" readingOrder="1"/>
    </xf>
    <xf numFmtId="164"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43" fontId="33" fillId="2" borderId="1" xfId="1" applyFont="1" applyFill="1" applyBorder="1" applyAlignment="1">
      <alignment horizontal="center" vertical="center"/>
    </xf>
    <xf numFmtId="164" fontId="33" fillId="2" borderId="1" xfId="1" applyNumberFormat="1" applyFont="1" applyFill="1" applyBorder="1" applyAlignment="1">
      <alignment horizontal="center" vertical="center"/>
    </xf>
    <xf numFmtId="164" fontId="51" fillId="0" borderId="22" xfId="1" applyNumberFormat="1" applyFont="1" applyFill="1" applyBorder="1" applyAlignment="1">
      <alignment horizontal="center" vertical="center" wrapText="1"/>
    </xf>
    <xf numFmtId="164" fontId="51" fillId="0" borderId="0" xfId="1" applyNumberFormat="1" applyFont="1" applyFill="1" applyBorder="1" applyAlignment="1">
      <alignment horizontal="center" vertical="center" wrapText="1"/>
    </xf>
    <xf numFmtId="164"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4" fontId="53" fillId="12" borderId="1" xfId="1" applyNumberFormat="1" applyFont="1" applyFill="1" applyBorder="1"/>
    <xf numFmtId="43" fontId="0" fillId="0" borderId="0" xfId="1" applyFont="1"/>
    <xf numFmtId="164" fontId="33" fillId="2" borderId="0" xfId="1" applyNumberFormat="1" applyFont="1" applyFill="1"/>
    <xf numFmtId="164"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43"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4"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43" fontId="33" fillId="15" borderId="1" xfId="1" applyFont="1" applyFill="1" applyBorder="1" applyAlignment="1">
      <alignment vertical="center" wrapText="1"/>
    </xf>
    <xf numFmtId="164"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4"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4" fontId="33" fillId="7" borderId="1" xfId="1" applyNumberFormat="1" applyFont="1" applyFill="1" applyBorder="1"/>
    <xf numFmtId="164" fontId="33" fillId="9" borderId="1" xfId="1" applyNumberFormat="1" applyFont="1" applyFill="1" applyBorder="1"/>
    <xf numFmtId="43" fontId="33" fillId="6" borderId="1" xfId="1" applyFont="1" applyFill="1" applyBorder="1" applyAlignment="1">
      <alignment vertical="center" wrapText="1"/>
    </xf>
    <xf numFmtId="164"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43"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43"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43" fontId="33" fillId="6" borderId="1" xfId="1" applyFont="1" applyFill="1" applyBorder="1" applyAlignment="1">
      <alignment horizontal="left" vertical="center" wrapText="1"/>
    </xf>
    <xf numFmtId="43"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4"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43"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4"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43" fontId="72" fillId="3" borderId="10" xfId="0" applyNumberFormat="1" applyFont="1" applyFill="1" applyBorder="1" applyAlignment="1">
      <alignment horizontal="left" vertical="center" wrapText="1"/>
    </xf>
    <xf numFmtId="43"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43"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43" fontId="6" fillId="5" borderId="1" xfId="1" applyFont="1" applyFill="1" applyBorder="1" applyAlignment="1">
      <alignment wrapText="1"/>
    </xf>
    <xf numFmtId="0" fontId="61" fillId="0" borderId="1" xfId="0" applyFont="1" applyBorder="1" applyAlignment="1">
      <alignment horizontal="left" vertical="top" wrapText="1"/>
    </xf>
    <xf numFmtId="43" fontId="6" fillId="0" borderId="1" xfId="1" applyFont="1" applyBorder="1" applyAlignment="1">
      <alignment wrapText="1"/>
    </xf>
    <xf numFmtId="43" fontId="6" fillId="2" borderId="1" xfId="1" applyFont="1" applyFill="1" applyBorder="1" applyAlignment="1">
      <alignment wrapText="1"/>
    </xf>
    <xf numFmtId="43" fontId="6" fillId="0" borderId="1" xfId="1" applyFont="1" applyBorder="1" applyAlignment="1">
      <alignment horizontal="left" vertical="center" wrapText="1"/>
    </xf>
    <xf numFmtId="43" fontId="75" fillId="0" borderId="1" xfId="1" applyFont="1" applyBorder="1" applyAlignment="1">
      <alignment wrapText="1"/>
    </xf>
    <xf numFmtId="164" fontId="35" fillId="0" borderId="1" xfId="1" applyNumberFormat="1" applyFont="1" applyBorder="1"/>
    <xf numFmtId="164" fontId="35" fillId="2" borderId="1" xfId="1" applyNumberFormat="1" applyFont="1" applyFill="1" applyBorder="1"/>
    <xf numFmtId="43" fontId="6" fillId="0" borderId="1" xfId="1" applyFont="1" applyBorder="1" applyAlignment="1">
      <alignment horizontal="left" vertical="top" wrapText="1"/>
    </xf>
    <xf numFmtId="43"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43" fontId="76" fillId="0" borderId="1" xfId="1" applyFont="1" applyFill="1" applyBorder="1" applyAlignment="1">
      <alignment horizontal="center" vertical="top" wrapText="1"/>
    </xf>
    <xf numFmtId="43" fontId="6" fillId="0" borderId="1" xfId="1" applyFont="1" applyBorder="1" applyAlignment="1">
      <alignment horizontal="center" vertical="center" wrapText="1"/>
    </xf>
    <xf numFmtId="43" fontId="6" fillId="2" borderId="1" xfId="1" applyFont="1" applyFill="1" applyBorder="1" applyAlignment="1">
      <alignment horizontal="center" vertical="center" wrapText="1"/>
    </xf>
    <xf numFmtId="43" fontId="76" fillId="0" borderId="1" xfId="1" applyFont="1" applyFill="1" applyBorder="1" applyAlignment="1">
      <alignment horizontal="center" vertical="center" wrapText="1"/>
    </xf>
    <xf numFmtId="43" fontId="64" fillId="2" borderId="1" xfId="1" applyFont="1" applyFill="1" applyBorder="1" applyAlignment="1">
      <alignment horizontal="center" vertical="center" wrapText="1"/>
    </xf>
    <xf numFmtId="164" fontId="35" fillId="0" borderId="0" xfId="0" applyNumberFormat="1" applyFont="1"/>
    <xf numFmtId="0" fontId="61" fillId="19" borderId="1" xfId="0" applyFont="1" applyFill="1" applyBorder="1" applyAlignment="1">
      <alignment horizontal="left" vertical="top" wrapText="1"/>
    </xf>
    <xf numFmtId="43"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43"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43" fontId="77" fillId="2" borderId="1" xfId="1" applyFont="1" applyFill="1" applyBorder="1"/>
    <xf numFmtId="164" fontId="78" fillId="2" borderId="1" xfId="1" applyNumberFormat="1" applyFont="1" applyFill="1" applyBorder="1"/>
    <xf numFmtId="164" fontId="35" fillId="2" borderId="0" xfId="1" applyNumberFormat="1" applyFont="1" applyFill="1"/>
    <xf numFmtId="0" fontId="6" fillId="2" borderId="1" xfId="0" applyFont="1" applyFill="1" applyBorder="1" applyAlignment="1">
      <alignment horizontal="left" vertical="top" wrapText="1"/>
    </xf>
    <xf numFmtId="43" fontId="73" fillId="6" borderId="7" xfId="1" applyFont="1" applyFill="1" applyBorder="1" applyAlignment="1">
      <alignment horizontal="left" vertical="center" wrapText="1"/>
    </xf>
    <xf numFmtId="43" fontId="6" fillId="6" borderId="1" xfId="1" applyFont="1" applyFill="1" applyBorder="1" applyAlignment="1">
      <alignment wrapText="1"/>
    </xf>
    <xf numFmtId="43" fontId="73" fillId="6" borderId="7" xfId="1" applyFont="1" applyFill="1" applyBorder="1" applyAlignment="1">
      <alignment vertical="center" wrapText="1"/>
    </xf>
    <xf numFmtId="43" fontId="73" fillId="5" borderId="25"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4" fontId="35" fillId="0" borderId="1" xfId="0" applyNumberFormat="1" applyFont="1" applyBorder="1"/>
    <xf numFmtId="0" fontId="61" fillId="2" borderId="1" xfId="0" applyFont="1" applyFill="1" applyBorder="1" applyAlignment="1">
      <alignment horizontal="left" vertical="top" wrapText="1"/>
    </xf>
    <xf numFmtId="43" fontId="73" fillId="4" borderId="9" xfId="1" applyFont="1" applyFill="1" applyBorder="1" applyAlignment="1">
      <alignment horizontal="justify" vertical="top" wrapText="1"/>
    </xf>
    <xf numFmtId="43" fontId="73" fillId="4" borderId="10" xfId="1" applyFont="1" applyFill="1" applyBorder="1" applyAlignment="1">
      <alignment horizontal="left" vertical="top" wrapText="1"/>
    </xf>
    <xf numFmtId="43" fontId="73" fillId="4" borderId="10" xfId="1" applyFont="1" applyFill="1" applyBorder="1" applyAlignment="1">
      <alignment horizontal="justify" vertical="center" wrapText="1"/>
    </xf>
    <xf numFmtId="43" fontId="73" fillId="4" borderId="10" xfId="1" applyFont="1" applyFill="1" applyBorder="1" applyAlignment="1">
      <alignment horizontal="justify" vertical="top" wrapText="1"/>
    </xf>
    <xf numFmtId="43" fontId="2" fillId="0" borderId="0" xfId="1" applyFont="1" applyAlignment="1">
      <alignment wrapText="1"/>
    </xf>
    <xf numFmtId="0" fontId="6" fillId="6" borderId="1" xfId="0" applyFont="1" applyFill="1" applyBorder="1" applyAlignment="1">
      <alignment horizontal="left" vertical="center" wrapText="1"/>
    </xf>
    <xf numFmtId="43" fontId="73" fillId="5" borderId="7" xfId="1" applyFont="1" applyFill="1" applyBorder="1" applyAlignment="1">
      <alignment horizontal="center" vertical="center" wrapText="1"/>
    </xf>
    <xf numFmtId="43" fontId="6" fillId="0" borderId="1" xfId="0" applyNumberFormat="1" applyFont="1" applyBorder="1" applyAlignment="1">
      <alignment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20" borderId="0" xfId="0" applyFont="1" applyFill="1" applyAlignment="1">
      <alignment horizontal="justify" vertical="center"/>
    </xf>
    <xf numFmtId="0" fontId="61" fillId="2" borderId="0" xfId="0" applyFont="1" applyFill="1" applyAlignment="1">
      <alignment vertical="center" wrapText="1"/>
    </xf>
    <xf numFmtId="43" fontId="81" fillId="2" borderId="1" xfId="1" applyFont="1" applyFill="1" applyBorder="1" applyAlignment="1">
      <alignment wrapText="1"/>
    </xf>
    <xf numFmtId="164" fontId="35" fillId="2" borderId="2" xfId="1" applyNumberFormat="1" applyFont="1" applyFill="1" applyBorder="1"/>
    <xf numFmtId="0" fontId="61" fillId="2" borderId="1" xfId="0" applyFont="1" applyFill="1" applyBorder="1" applyAlignment="1">
      <alignment horizontal="center" vertical="top" wrapText="1"/>
    </xf>
    <xf numFmtId="0" fontId="61" fillId="0" borderId="1" xfId="0" applyFont="1" applyBorder="1" applyAlignment="1">
      <alignment horizontal="center" vertical="top" wrapText="1"/>
    </xf>
    <xf numFmtId="0" fontId="61" fillId="0" borderId="1" xfId="0" applyNumberFormat="1" applyFont="1" applyFill="1" applyBorder="1" applyAlignment="1">
      <alignment horizontal="center" vertical="top" wrapText="1"/>
    </xf>
    <xf numFmtId="0" fontId="61" fillId="0" borderId="1" xfId="0" applyFont="1" applyFill="1" applyBorder="1" applyAlignment="1">
      <alignment horizontal="center" vertical="top" wrapText="1"/>
    </xf>
    <xf numFmtId="0" fontId="61" fillId="0" borderId="1" xfId="0" applyFont="1" applyBorder="1" applyAlignment="1">
      <alignment vertical="center" wrapText="1"/>
    </xf>
    <xf numFmtId="0" fontId="61" fillId="5" borderId="2" xfId="0" applyFont="1" applyFill="1" applyBorder="1" applyAlignment="1">
      <alignment vertical="center" wrapText="1"/>
    </xf>
    <xf numFmtId="0" fontId="61" fillId="5" borderId="2" xfId="0" applyFont="1" applyFill="1" applyBorder="1" applyAlignment="1">
      <alignment horizontal="left" vertical="center" wrapText="1"/>
    </xf>
    <xf numFmtId="0" fontId="61" fillId="6" borderId="2" xfId="0" applyFont="1" applyFill="1" applyBorder="1" applyAlignment="1">
      <alignment horizontal="left" vertical="center" wrapText="1"/>
    </xf>
    <xf numFmtId="43" fontId="61" fillId="5" borderId="2" xfId="1" applyFont="1" applyFill="1" applyBorder="1" applyAlignment="1">
      <alignment horizontal="left" vertical="center" wrapText="1"/>
    </xf>
    <xf numFmtId="0" fontId="61" fillId="0" borderId="2" xfId="0" applyFont="1" applyBorder="1" applyAlignment="1">
      <alignment horizontal="justify" vertical="center"/>
    </xf>
    <xf numFmtId="0" fontId="61" fillId="6" borderId="2" xfId="0" applyFont="1" applyFill="1" applyBorder="1" applyAlignment="1">
      <alignment vertical="center" wrapText="1"/>
    </xf>
    <xf numFmtId="0" fontId="61" fillId="2" borderId="2" xfId="0" applyFont="1" applyFill="1" applyBorder="1" applyAlignment="1">
      <alignment vertical="center" wrapText="1"/>
    </xf>
    <xf numFmtId="43" fontId="61" fillId="5" borderId="2" xfId="1" applyFont="1" applyFill="1" applyBorder="1" applyAlignment="1">
      <alignment vertical="center" wrapText="1"/>
    </xf>
    <xf numFmtId="0" fontId="61" fillId="0" borderId="28"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18" xfId="0" applyFont="1" applyBorder="1" applyAlignment="1">
      <alignment horizontal="center"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0" fontId="72" fillId="3" borderId="5" xfId="0" applyFont="1" applyFill="1" applyBorder="1" applyAlignment="1">
      <alignment horizontal="center" vertical="center" wrapText="1"/>
    </xf>
    <xf numFmtId="43" fontId="73" fillId="5" borderId="24" xfId="1" applyFont="1" applyFill="1" applyBorder="1" applyAlignment="1">
      <alignment horizontal="center" vertical="center" wrapText="1"/>
    </xf>
    <xf numFmtId="43" fontId="73" fillId="5" borderId="25" xfId="1" applyFont="1" applyFill="1" applyBorder="1" applyAlignment="1">
      <alignment horizontal="center" vertical="center" wrapText="1"/>
    </xf>
    <xf numFmtId="0" fontId="61" fillId="2" borderId="28" xfId="0" applyFont="1" applyFill="1" applyBorder="1" applyAlignment="1">
      <alignment horizontal="center" vertical="center" wrapText="1"/>
    </xf>
    <xf numFmtId="0" fontId="61" fillId="2" borderId="29" xfId="0" applyFont="1" applyFill="1" applyBorder="1" applyAlignment="1">
      <alignment horizontal="center" vertical="center" wrapText="1"/>
    </xf>
    <xf numFmtId="0" fontId="61" fillId="2" borderId="18" xfId="0" applyFont="1" applyFill="1" applyBorder="1" applyAlignment="1">
      <alignment horizontal="center" vertical="center" wrapText="1"/>
    </xf>
    <xf numFmtId="43" fontId="73" fillId="5" borderId="7" xfId="1" applyFont="1" applyFill="1" applyBorder="1" applyAlignment="1">
      <alignment horizontal="center"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0" fontId="83" fillId="3" borderId="27" xfId="0" applyFont="1" applyFill="1" applyBorder="1" applyAlignment="1">
      <alignment horizontal="center" vertical="center"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43" fontId="73" fillId="5" borderId="12" xfId="1" applyFont="1" applyFill="1" applyBorder="1" applyAlignment="1">
      <alignment horizontal="center" vertical="center" wrapText="1"/>
    </xf>
    <xf numFmtId="0" fontId="61" fillId="0" borderId="28" xfId="0" applyFont="1" applyBorder="1" applyAlignment="1">
      <alignment horizontal="center" vertical="top" wrapText="1"/>
    </xf>
    <xf numFmtId="0" fontId="61" fillId="0" borderId="18" xfId="0" applyFont="1" applyBorder="1" applyAlignment="1">
      <alignment horizontal="center" vertical="top" wrapText="1"/>
    </xf>
    <xf numFmtId="0" fontId="61" fillId="0" borderId="1" xfId="0" applyFont="1" applyBorder="1" applyAlignment="1">
      <alignment horizontal="center" vertical="top" wrapText="1"/>
    </xf>
    <xf numFmtId="0" fontId="61" fillId="0" borderId="2" xfId="0" applyFont="1" applyBorder="1" applyAlignment="1">
      <alignment horizontal="center" vertical="center"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43" fontId="14" fillId="5" borderId="7" xfId="1" applyFont="1" applyFill="1" applyBorder="1" applyAlignment="1">
      <alignment horizontal="center" vertical="center" wrapText="1"/>
    </xf>
    <xf numFmtId="43"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K189"/>
  <sheetViews>
    <sheetView topLeftCell="O1" zoomScale="80" zoomScaleNormal="80" zoomScaleSheetLayoutView="106" zoomScalePageLayoutView="75" workbookViewId="0">
      <pane ySplit="3" topLeftCell="A127" activePane="bottomLeft" state="frozen"/>
      <selection pane="bottomLeft" activeCell="AF135" sqref="AF135"/>
    </sheetView>
  </sheetViews>
  <sheetFormatPr defaultColWidth="10.85546875" defaultRowHeight="15" x14ac:dyDescent="0.25"/>
  <cols>
    <col min="1" max="1" width="22.7109375" style="83" customWidth="1"/>
    <col min="2" max="2" width="24.140625" style="79" customWidth="1"/>
    <col min="3" max="3" width="11.7109375" style="79" customWidth="1"/>
    <col min="4" max="4" width="19.7109375" style="267" customWidth="1"/>
    <col min="5" max="5" width="13.85546875" style="75" customWidth="1"/>
    <col min="6" max="6" width="14.140625" style="75" customWidth="1"/>
    <col min="7" max="9" width="11" style="75" bestFit="1" customWidth="1"/>
    <col min="10" max="10" width="14" style="75" customWidth="1"/>
    <col min="11" max="11" width="13.28515625" style="75" customWidth="1"/>
    <col min="12" max="12" width="12.85546875" style="75" bestFit="1" customWidth="1"/>
    <col min="13" max="14" width="11" style="75" bestFit="1" customWidth="1"/>
    <col min="15" max="15" width="10.42578125" style="75" bestFit="1" customWidth="1"/>
    <col min="16" max="16" width="12.85546875" style="75" bestFit="1" customWidth="1"/>
    <col min="17" max="17" width="13.42578125" style="75" customWidth="1"/>
    <col min="18" max="18" width="12.85546875" style="75" bestFit="1" customWidth="1"/>
    <col min="19" max="21" width="11" style="75" bestFit="1" customWidth="1"/>
    <col min="22" max="22" width="13.5703125" style="75" customWidth="1"/>
    <col min="23" max="23" width="13" style="75" customWidth="1"/>
    <col min="24" max="27" width="11" style="75" bestFit="1" customWidth="1"/>
    <col min="28" max="28" width="12.85546875" style="75" customWidth="1"/>
    <col min="29" max="29" width="14.140625" style="75" customWidth="1"/>
    <col min="30" max="30" width="16.7109375" style="75" customWidth="1"/>
    <col min="31" max="16384" width="10.85546875" style="75"/>
  </cols>
  <sheetData>
    <row r="1" spans="1:30" ht="45" customHeight="1" thickBot="1" x14ac:dyDescent="0.3">
      <c r="A1" s="297" t="s">
        <v>747</v>
      </c>
      <c r="B1" s="297"/>
      <c r="C1" s="297"/>
      <c r="D1" s="297"/>
      <c r="E1" s="297"/>
      <c r="F1" s="297"/>
      <c r="G1" s="297"/>
      <c r="H1" s="297"/>
      <c r="I1" s="297"/>
      <c r="J1" s="297"/>
      <c r="K1" s="297"/>
      <c r="L1" s="297"/>
      <c r="M1" s="297"/>
      <c r="N1" s="297"/>
      <c r="O1" s="297"/>
    </row>
    <row r="2" spans="1:30" ht="49.5" customHeight="1" x14ac:dyDescent="0.25">
      <c r="A2" s="298" t="s">
        <v>218</v>
      </c>
      <c r="B2" s="295" t="s">
        <v>336</v>
      </c>
      <c r="C2" s="295" t="s">
        <v>758</v>
      </c>
      <c r="D2" s="295" t="s">
        <v>726</v>
      </c>
      <c r="E2" s="288">
        <v>2018</v>
      </c>
      <c r="F2" s="288"/>
      <c r="G2" s="288"/>
      <c r="H2" s="288"/>
      <c r="I2" s="288"/>
      <c r="J2" s="288"/>
      <c r="K2" s="288">
        <v>2019</v>
      </c>
      <c r="L2" s="288"/>
      <c r="M2" s="288"/>
      <c r="N2" s="288"/>
      <c r="O2" s="288"/>
      <c r="P2" s="288"/>
      <c r="Q2" s="288">
        <v>2020</v>
      </c>
      <c r="R2" s="288"/>
      <c r="S2" s="288"/>
      <c r="T2" s="288"/>
      <c r="U2" s="288"/>
      <c r="V2" s="288"/>
      <c r="W2" s="288">
        <v>2021</v>
      </c>
      <c r="X2" s="288"/>
      <c r="Y2" s="288"/>
      <c r="Z2" s="288"/>
      <c r="AA2" s="288"/>
      <c r="AB2" s="288"/>
      <c r="AC2" s="286" t="s">
        <v>595</v>
      </c>
      <c r="AD2" s="286" t="s">
        <v>665</v>
      </c>
    </row>
    <row r="3" spans="1:30" ht="63" customHeight="1" thickBot="1" x14ac:dyDescent="0.3">
      <c r="A3" s="299"/>
      <c r="B3" s="296"/>
      <c r="C3" s="296"/>
      <c r="D3" s="296"/>
      <c r="E3" s="210" t="s">
        <v>337</v>
      </c>
      <c r="F3" s="208" t="s">
        <v>338</v>
      </c>
      <c r="G3" s="208" t="s">
        <v>339</v>
      </c>
      <c r="H3" s="208" t="s">
        <v>596</v>
      </c>
      <c r="I3" s="208" t="s">
        <v>340</v>
      </c>
      <c r="J3" s="208" t="s">
        <v>341</v>
      </c>
      <c r="K3" s="208" t="s">
        <v>337</v>
      </c>
      <c r="L3" s="208" t="s">
        <v>338</v>
      </c>
      <c r="M3" s="208" t="s">
        <v>339</v>
      </c>
      <c r="N3" s="208" t="s">
        <v>596</v>
      </c>
      <c r="O3" s="208" t="s">
        <v>340</v>
      </c>
      <c r="P3" s="208" t="s">
        <v>341</v>
      </c>
      <c r="Q3" s="208" t="s">
        <v>337</v>
      </c>
      <c r="R3" s="208" t="s">
        <v>338</v>
      </c>
      <c r="S3" s="208" t="s">
        <v>339</v>
      </c>
      <c r="T3" s="208" t="s">
        <v>596</v>
      </c>
      <c r="U3" s="208" t="s">
        <v>340</v>
      </c>
      <c r="V3" s="208" t="s">
        <v>341</v>
      </c>
      <c r="W3" s="208" t="s">
        <v>337</v>
      </c>
      <c r="X3" s="208" t="s">
        <v>338</v>
      </c>
      <c r="Y3" s="208" t="s">
        <v>339</v>
      </c>
      <c r="Z3" s="208" t="s">
        <v>596</v>
      </c>
      <c r="AA3" s="208" t="s">
        <v>340</v>
      </c>
      <c r="AB3" s="208" t="s">
        <v>341</v>
      </c>
      <c r="AC3" s="287"/>
      <c r="AD3" s="287"/>
    </row>
    <row r="4" spans="1:30" ht="123.75" customHeight="1" x14ac:dyDescent="0.25">
      <c r="A4" s="211" t="s">
        <v>755</v>
      </c>
      <c r="B4" s="212"/>
      <c r="C4" s="212"/>
      <c r="D4" s="264"/>
      <c r="E4" s="213">
        <f>E5+E9+E16+E25+E35+E41+E44+E49+E55</f>
        <v>1035856</v>
      </c>
      <c r="F4" s="213">
        <f>F5+F9+F16+F25+F35+F41+F44+F49+F55</f>
        <v>1310529</v>
      </c>
      <c r="G4" s="213">
        <f>G5+G9+G16+G25+G35+G41+G44+G49+G55</f>
        <v>0</v>
      </c>
      <c r="H4" s="213">
        <f>SUM(G5,G9,G16,G25,G35,G41,G44,G49,G55)</f>
        <v>0</v>
      </c>
      <c r="I4" s="213">
        <f>I5+I9+I16+I25+I35+I41+I44+I49+I55</f>
        <v>79639.658750000002</v>
      </c>
      <c r="J4" s="213">
        <f>J5+J9+J16+J25+J35+J41+J44+J49+J55</f>
        <v>2576525.6587499999</v>
      </c>
      <c r="K4" s="213">
        <f>K5+K9+K16+K25+K35+K41+K44+K49+K55</f>
        <v>1177801</v>
      </c>
      <c r="L4" s="213">
        <f>L5+L9+L16+L25+L35+L41+L44+L49+L55</f>
        <v>2019163</v>
      </c>
      <c r="M4" s="213">
        <f>M5+M9+M16+M25+M35+M41+M44+M49+M55</f>
        <v>0</v>
      </c>
      <c r="N4" s="213"/>
      <c r="O4" s="213">
        <f>O5+O9+O16+O25+O35+O41+O44+O49+O55</f>
        <v>73667</v>
      </c>
      <c r="P4" s="213">
        <f>P5+P9+P16+P25+P35+P41+P44+P49+P55</f>
        <v>3270631</v>
      </c>
      <c r="Q4" s="213">
        <f>Q5+Q9+Q16+Q25+Q35+Q41+Q44+Q49+Q55</f>
        <v>1363924</v>
      </c>
      <c r="R4" s="213">
        <f>R5+R9+R16+R25+R35+R41+R44+R49+R55</f>
        <v>1990583</v>
      </c>
      <c r="S4" s="213">
        <f>S5+S9+S16+S25+S35+S41+S44+S49+S55</f>
        <v>0</v>
      </c>
      <c r="T4" s="213"/>
      <c r="U4" s="213">
        <f>U5+U9+U16+U25+U35+U41+U44+U49+U55</f>
        <v>69767</v>
      </c>
      <c r="V4" s="213">
        <f>V5+V9+V16+V25+V35+V41+V44+V49+V55</f>
        <v>3424274</v>
      </c>
      <c r="W4" s="213">
        <f>W5+W9+W16+W25+W35+W41+W44+W49+W55</f>
        <v>828026</v>
      </c>
      <c r="X4" s="213">
        <f>X5+X9+X16+X25+X35+X41+X44+X49+X55</f>
        <v>567101</v>
      </c>
      <c r="Y4" s="213">
        <f>Y5+Y9+Y16+Y25+Y35+Y41+Y44+Y49+Y55</f>
        <v>0</v>
      </c>
      <c r="Z4" s="213"/>
      <c r="AA4" s="213">
        <f>AA5+AA9+AA16+AA25+AA35+AA41+AA44+AA49+AA55</f>
        <v>69967</v>
      </c>
      <c r="AB4" s="213">
        <f>AB5+AB9+AB16+AB25+AB35+AB41+AB44+AB49+AB55</f>
        <v>1465094</v>
      </c>
      <c r="AC4" s="213">
        <f>SUM(E4,K4,Q4,W4)</f>
        <v>4405607</v>
      </c>
      <c r="AD4" s="213">
        <f>SUM(J4,P4,V4,AB4)</f>
        <v>10736524.658749999</v>
      </c>
    </row>
    <row r="5" spans="1:30" x14ac:dyDescent="0.25">
      <c r="A5" s="294" t="s">
        <v>709</v>
      </c>
      <c r="B5" s="214"/>
      <c r="C5" s="214"/>
      <c r="D5" s="265"/>
      <c r="E5" s="216">
        <f>SUM(E6:E8)</f>
        <v>527900</v>
      </c>
      <c r="F5" s="216">
        <f t="shared" ref="F5:I5" si="0">SUM(F6:F8)</f>
        <v>810600</v>
      </c>
      <c r="G5" s="216">
        <f t="shared" si="0"/>
        <v>0</v>
      </c>
      <c r="H5" s="216">
        <f>SUM(H6:H8)</f>
        <v>0</v>
      </c>
      <c r="I5" s="216">
        <f t="shared" si="0"/>
        <v>0</v>
      </c>
      <c r="J5" s="216">
        <f>SUM(E5:I5)</f>
        <v>1338500</v>
      </c>
      <c r="K5" s="216">
        <f>SUM(K6:K8)</f>
        <v>766445</v>
      </c>
      <c r="L5" s="216">
        <f t="shared" ref="L5:O5" si="1">SUM(L6:L8)</f>
        <v>1515850</v>
      </c>
      <c r="M5" s="216">
        <f t="shared" si="1"/>
        <v>0</v>
      </c>
      <c r="N5" s="216"/>
      <c r="O5" s="216">
        <f t="shared" si="1"/>
        <v>0</v>
      </c>
      <c r="P5" s="216">
        <f>SUM(K5:O5)</f>
        <v>2282295</v>
      </c>
      <c r="Q5" s="216">
        <f>SUM(Q6:Q8)</f>
        <v>924000</v>
      </c>
      <c r="R5" s="216">
        <f>SUM(R6:R8)</f>
        <v>1813000</v>
      </c>
      <c r="S5" s="216">
        <f t="shared" ref="S5:U5" si="2">SUM(S6:S8)</f>
        <v>0</v>
      </c>
      <c r="T5" s="216"/>
      <c r="U5" s="216">
        <f t="shared" si="2"/>
        <v>0</v>
      </c>
      <c r="V5" s="216">
        <f>SUM(Q5:U5)</f>
        <v>2737000</v>
      </c>
      <c r="W5" s="216">
        <f>SUM(W6:W8)</f>
        <v>592000</v>
      </c>
      <c r="X5" s="216">
        <f t="shared" ref="X5:AA5" si="3">SUM(X6:X8)</f>
        <v>375000</v>
      </c>
      <c r="Y5" s="216">
        <f t="shared" si="3"/>
        <v>0</v>
      </c>
      <c r="Z5" s="216"/>
      <c r="AA5" s="216">
        <f t="shared" si="3"/>
        <v>0</v>
      </c>
      <c r="AB5" s="216">
        <f>SUM(W5:AA5)</f>
        <v>967000</v>
      </c>
      <c r="AC5" s="216">
        <f t="shared" ref="AC5:AC69" si="4">SUM(E5,K5,Q5,W5)</f>
        <v>2810345</v>
      </c>
      <c r="AD5" s="216">
        <f t="shared" ref="AD5:AD69" si="5">SUM(J5,P5,V5,AB5)</f>
        <v>7324795</v>
      </c>
    </row>
    <row r="6" spans="1:30" ht="90" customHeight="1" x14ac:dyDescent="0.25">
      <c r="A6" s="294"/>
      <c r="B6" s="217" t="s">
        <v>597</v>
      </c>
      <c r="C6" s="270" t="s">
        <v>4</v>
      </c>
      <c r="D6" s="283" t="s">
        <v>724</v>
      </c>
      <c r="E6" s="218">
        <v>164100</v>
      </c>
      <c r="F6" s="218">
        <v>635900</v>
      </c>
      <c r="G6" s="218"/>
      <c r="H6" s="218"/>
      <c r="I6" s="218"/>
      <c r="J6" s="219">
        <f t="shared" ref="J6:J60" si="6">SUM(E6:I6)</f>
        <v>800000</v>
      </c>
      <c r="K6" s="218">
        <v>388875</v>
      </c>
      <c r="L6" s="218">
        <v>1369125</v>
      </c>
      <c r="M6" s="218"/>
      <c r="N6" s="218"/>
      <c r="O6" s="220"/>
      <c r="P6" s="218">
        <f>K6+L6</f>
        <v>1758000</v>
      </c>
      <c r="Q6" s="218">
        <v>412000</v>
      </c>
      <c r="R6" s="218">
        <v>1755000</v>
      </c>
      <c r="S6" s="218"/>
      <c r="T6" s="218"/>
      <c r="U6" s="218"/>
      <c r="V6" s="218">
        <f>Q6+R6</f>
        <v>2167000</v>
      </c>
      <c r="W6" s="218">
        <v>152000</v>
      </c>
      <c r="X6" s="218">
        <v>375000</v>
      </c>
      <c r="Y6" s="218"/>
      <c r="Z6" s="218"/>
      <c r="AA6" s="218"/>
      <c r="AB6" s="218">
        <f>W6+X6</f>
        <v>527000</v>
      </c>
      <c r="AC6" s="216">
        <f t="shared" si="4"/>
        <v>1116975</v>
      </c>
      <c r="AD6" s="216">
        <f t="shared" si="5"/>
        <v>5252000</v>
      </c>
    </row>
    <row r="7" spans="1:30" ht="59.45" customHeight="1" x14ac:dyDescent="0.25">
      <c r="A7" s="294"/>
      <c r="B7" s="217" t="s">
        <v>598</v>
      </c>
      <c r="C7" s="270" t="s">
        <v>57</v>
      </c>
      <c r="D7" s="284"/>
      <c r="E7" s="218">
        <f>363000</f>
        <v>363000</v>
      </c>
      <c r="F7" s="218">
        <f>127000+1000+12500+30000</f>
        <v>170500</v>
      </c>
      <c r="G7" s="218"/>
      <c r="H7" s="218"/>
      <c r="I7" s="218"/>
      <c r="J7" s="219">
        <f t="shared" si="6"/>
        <v>533500</v>
      </c>
      <c r="K7" s="218">
        <v>376000</v>
      </c>
      <c r="L7" s="218">
        <v>138000</v>
      </c>
      <c r="M7" s="218"/>
      <c r="N7" s="218"/>
      <c r="O7" s="218"/>
      <c r="P7" s="218">
        <f t="shared" ref="P7" si="7">K7+L7</f>
        <v>514000</v>
      </c>
      <c r="Q7" s="218">
        <v>512000</v>
      </c>
      <c r="R7" s="218">
        <v>58000</v>
      </c>
      <c r="S7" s="218"/>
      <c r="T7" s="218"/>
      <c r="U7" s="218"/>
      <c r="V7" s="218">
        <f t="shared" ref="V7:V8" si="8">Q7+R7</f>
        <v>570000</v>
      </c>
      <c r="W7" s="218">
        <v>440000</v>
      </c>
      <c r="X7" s="218"/>
      <c r="Y7" s="218"/>
      <c r="Z7" s="218"/>
      <c r="AA7" s="218"/>
      <c r="AB7" s="218">
        <f t="shared" ref="AB7:AB8" si="9">W7+X7</f>
        <v>440000</v>
      </c>
      <c r="AC7" s="216">
        <f t="shared" si="4"/>
        <v>1691000</v>
      </c>
      <c r="AD7" s="216">
        <f t="shared" si="5"/>
        <v>2057500</v>
      </c>
    </row>
    <row r="8" spans="1:30" ht="49.5" customHeight="1" x14ac:dyDescent="0.35">
      <c r="A8" s="294"/>
      <c r="B8" s="217" t="s">
        <v>599</v>
      </c>
      <c r="C8" s="270" t="s">
        <v>3</v>
      </c>
      <c r="D8" s="285"/>
      <c r="E8" s="218">
        <v>800</v>
      </c>
      <c r="F8" s="218">
        <v>4200</v>
      </c>
      <c r="G8" s="218"/>
      <c r="H8" s="218"/>
      <c r="I8" s="218"/>
      <c r="J8" s="219">
        <f>SUM(E8:I8)</f>
        <v>5000</v>
      </c>
      <c r="K8" s="218">
        <v>1570</v>
      </c>
      <c r="L8" s="218">
        <v>8725</v>
      </c>
      <c r="M8" s="218"/>
      <c r="N8" s="218"/>
      <c r="O8" s="218"/>
      <c r="P8" s="218">
        <f>SUM(K8:O8)</f>
        <v>10295</v>
      </c>
      <c r="Q8" s="218"/>
      <c r="R8" s="218"/>
      <c r="S8" s="218"/>
      <c r="T8" s="218"/>
      <c r="U8" s="218"/>
      <c r="V8" s="218">
        <f t="shared" si="8"/>
        <v>0</v>
      </c>
      <c r="W8" s="218"/>
      <c r="X8" s="218">
        <v>0</v>
      </c>
      <c r="Y8" s="218"/>
      <c r="Z8" s="218"/>
      <c r="AA8" s="218"/>
      <c r="AB8" s="221">
        <f t="shared" si="9"/>
        <v>0</v>
      </c>
      <c r="AC8" s="216">
        <f t="shared" si="4"/>
        <v>2370</v>
      </c>
      <c r="AD8" s="216">
        <f t="shared" si="5"/>
        <v>15295</v>
      </c>
    </row>
    <row r="9" spans="1:30" x14ac:dyDescent="0.25">
      <c r="A9" s="294" t="s">
        <v>219</v>
      </c>
      <c r="B9" s="214"/>
      <c r="C9" s="214"/>
      <c r="D9" s="275"/>
      <c r="E9" s="216">
        <f>SUM(E10:E15)</f>
        <v>81000</v>
      </c>
      <c r="F9" s="216">
        <f t="shared" ref="F9:I9" si="10">SUM(F10:F15)</f>
        <v>167900</v>
      </c>
      <c r="G9" s="216">
        <f t="shared" si="10"/>
        <v>0</v>
      </c>
      <c r="H9" s="216">
        <f>SUM(H10:H15)</f>
        <v>0</v>
      </c>
      <c r="I9" s="216">
        <f t="shared" si="10"/>
        <v>64377.658750000002</v>
      </c>
      <c r="J9" s="216">
        <f t="shared" si="6"/>
        <v>313277.65875</v>
      </c>
      <c r="K9" s="216">
        <f>SUM(K10:K15)</f>
        <v>150000</v>
      </c>
      <c r="L9" s="216">
        <f t="shared" ref="L9:O9" si="11">SUM(L10:L15)</f>
        <v>0</v>
      </c>
      <c r="M9" s="216">
        <f t="shared" si="11"/>
        <v>0</v>
      </c>
      <c r="N9" s="216"/>
      <c r="O9" s="216">
        <f t="shared" si="11"/>
        <v>64167</v>
      </c>
      <c r="P9" s="216">
        <f>SUM(K9:O9)</f>
        <v>214167</v>
      </c>
      <c r="Q9" s="216">
        <f>SUM(Q10:Q15)</f>
        <v>220000</v>
      </c>
      <c r="R9" s="216">
        <f t="shared" ref="R9:U9" si="12">SUM(R10:R15)</f>
        <v>0</v>
      </c>
      <c r="S9" s="216">
        <f t="shared" si="12"/>
        <v>0</v>
      </c>
      <c r="T9" s="216"/>
      <c r="U9" s="216">
        <f t="shared" si="12"/>
        <v>59967</v>
      </c>
      <c r="V9" s="216">
        <f>SUM(Q9:U9)</f>
        <v>279967</v>
      </c>
      <c r="W9" s="216">
        <f>SUM(W10:W15)</f>
        <v>0</v>
      </c>
      <c r="X9" s="216">
        <f t="shared" ref="X9:AA9" si="13">SUM(X10:X15)</f>
        <v>0</v>
      </c>
      <c r="Y9" s="216">
        <f t="shared" si="13"/>
        <v>0</v>
      </c>
      <c r="Z9" s="216"/>
      <c r="AA9" s="216">
        <f t="shared" si="13"/>
        <v>59967</v>
      </c>
      <c r="AB9" s="216">
        <f>SUM(W9:AA9)</f>
        <v>59967</v>
      </c>
      <c r="AC9" s="216">
        <f t="shared" si="4"/>
        <v>451000</v>
      </c>
      <c r="AD9" s="216">
        <f t="shared" si="5"/>
        <v>867378.65874999994</v>
      </c>
    </row>
    <row r="10" spans="1:30" ht="107.45" customHeight="1" x14ac:dyDescent="0.25">
      <c r="A10" s="294"/>
      <c r="B10" s="217" t="s">
        <v>292</v>
      </c>
      <c r="C10" s="271"/>
      <c r="D10" s="283" t="s">
        <v>725</v>
      </c>
      <c r="E10" s="222"/>
      <c r="F10" s="222"/>
      <c r="G10" s="222"/>
      <c r="H10" s="222"/>
      <c r="I10" s="222">
        <f>84555*2.657/4</f>
        <v>56165.658750000002</v>
      </c>
      <c r="J10" s="223">
        <f t="shared" si="6"/>
        <v>56165.658750000002</v>
      </c>
      <c r="K10" s="222"/>
      <c r="L10" s="222"/>
      <c r="M10" s="222"/>
      <c r="N10" s="222"/>
      <c r="O10" s="222">
        <v>56167</v>
      </c>
      <c r="P10" s="222">
        <f t="shared" ref="P10" si="14">SUM(K10:O10)</f>
        <v>56167</v>
      </c>
      <c r="Q10" s="222"/>
      <c r="R10" s="222"/>
      <c r="S10" s="222"/>
      <c r="T10" s="222"/>
      <c r="U10" s="222">
        <v>56167</v>
      </c>
      <c r="V10" s="222">
        <f t="shared" ref="V10:V11" si="15">SUM(Q10:U10)</f>
        <v>56167</v>
      </c>
      <c r="W10" s="222"/>
      <c r="X10" s="222"/>
      <c r="Y10" s="222"/>
      <c r="Z10" s="222"/>
      <c r="AA10" s="222">
        <v>56167</v>
      </c>
      <c r="AB10" s="218">
        <f t="shared" ref="AB10:AB15" si="16">SUM(W10:AA10)</f>
        <v>56167</v>
      </c>
      <c r="AC10" s="216">
        <f t="shared" si="4"/>
        <v>0</v>
      </c>
      <c r="AD10" s="216">
        <f t="shared" si="5"/>
        <v>224666.65875</v>
      </c>
    </row>
    <row r="11" spans="1:30" ht="75" customHeight="1" x14ac:dyDescent="0.25">
      <c r="A11" s="294"/>
      <c r="B11" s="217" t="s">
        <v>591</v>
      </c>
      <c r="C11" s="271" t="s">
        <v>6</v>
      </c>
      <c r="D11" s="284"/>
      <c r="E11" s="218"/>
      <c r="F11" s="218"/>
      <c r="G11" s="218"/>
      <c r="H11" s="218"/>
      <c r="I11" s="218">
        <v>3712</v>
      </c>
      <c r="J11" s="219">
        <f t="shared" ref="J11" si="17">SUM(E11:I11)</f>
        <v>3712</v>
      </c>
      <c r="K11" s="218"/>
      <c r="L11" s="218"/>
      <c r="M11" s="218"/>
      <c r="N11" s="218"/>
      <c r="O11" s="218">
        <v>3500</v>
      </c>
      <c r="P11" s="218">
        <f t="shared" ref="P11" si="18">SUM(K11:O11)</f>
        <v>3500</v>
      </c>
      <c r="Q11" s="218"/>
      <c r="R11" s="218"/>
      <c r="S11" s="218"/>
      <c r="T11" s="218"/>
      <c r="U11" s="218">
        <v>3800</v>
      </c>
      <c r="V11" s="218">
        <f t="shared" si="15"/>
        <v>3800</v>
      </c>
      <c r="W11" s="218"/>
      <c r="X11" s="218"/>
      <c r="Y11" s="218"/>
      <c r="Z11" s="218"/>
      <c r="AA11" s="218">
        <v>3800</v>
      </c>
      <c r="AB11" s="218">
        <f t="shared" ref="AB11" si="19">SUM(W11:AA11)</f>
        <v>3800</v>
      </c>
      <c r="AC11" s="216">
        <f t="shared" si="4"/>
        <v>0</v>
      </c>
      <c r="AD11" s="216">
        <f t="shared" si="5"/>
        <v>14812</v>
      </c>
    </row>
    <row r="12" spans="1:30" ht="56.25" x14ac:dyDescent="0.25">
      <c r="A12" s="294"/>
      <c r="B12" s="217" t="s">
        <v>590</v>
      </c>
      <c r="C12" s="270" t="s">
        <v>2</v>
      </c>
      <c r="D12" s="284"/>
      <c r="E12" s="224">
        <v>11000</v>
      </c>
      <c r="F12" s="224"/>
      <c r="G12" s="224"/>
      <c r="H12" s="224"/>
      <c r="I12" s="225">
        <v>0</v>
      </c>
      <c r="J12" s="219">
        <f t="shared" si="6"/>
        <v>11000</v>
      </c>
      <c r="K12" s="218">
        <v>150000</v>
      </c>
      <c r="L12" s="218"/>
      <c r="M12" s="218"/>
      <c r="N12" s="218"/>
      <c r="O12" s="218"/>
      <c r="P12" s="218">
        <f t="shared" ref="P12:P15" si="20">SUM(K12:O12)</f>
        <v>150000</v>
      </c>
      <c r="Q12" s="218">
        <v>220000</v>
      </c>
      <c r="R12" s="218"/>
      <c r="S12" s="218"/>
      <c r="T12" s="218"/>
      <c r="U12" s="218"/>
      <c r="V12" s="218">
        <f t="shared" ref="V12:V15" si="21">SUM(Q12:U12)</f>
        <v>220000</v>
      </c>
      <c r="W12" s="218">
        <v>0</v>
      </c>
      <c r="X12" s="218"/>
      <c r="Y12" s="218"/>
      <c r="Z12" s="218"/>
      <c r="AA12" s="218"/>
      <c r="AB12" s="218">
        <f t="shared" si="16"/>
        <v>0</v>
      </c>
      <c r="AC12" s="216">
        <f t="shared" si="4"/>
        <v>381000</v>
      </c>
      <c r="AD12" s="216">
        <f t="shared" si="5"/>
        <v>381000</v>
      </c>
    </row>
    <row r="13" spans="1:30" ht="56.25" x14ac:dyDescent="0.25">
      <c r="A13" s="294"/>
      <c r="B13" s="226" t="s">
        <v>589</v>
      </c>
      <c r="C13" s="271" t="s">
        <v>26</v>
      </c>
      <c r="D13" s="284"/>
      <c r="E13" s="218">
        <v>60000</v>
      </c>
      <c r="F13" s="218"/>
      <c r="G13" s="218"/>
      <c r="H13" s="218"/>
      <c r="I13" s="218"/>
      <c r="J13" s="219">
        <f t="shared" si="6"/>
        <v>60000</v>
      </c>
      <c r="K13" s="218"/>
      <c r="L13" s="218"/>
      <c r="M13" s="218"/>
      <c r="N13" s="218"/>
      <c r="O13" s="218"/>
      <c r="P13" s="218">
        <f t="shared" si="20"/>
        <v>0</v>
      </c>
      <c r="Q13" s="218"/>
      <c r="R13" s="218"/>
      <c r="S13" s="218"/>
      <c r="T13" s="218"/>
      <c r="U13" s="218"/>
      <c r="V13" s="218">
        <f t="shared" si="21"/>
        <v>0</v>
      </c>
      <c r="W13" s="218"/>
      <c r="X13" s="218"/>
      <c r="Y13" s="218"/>
      <c r="Z13" s="218"/>
      <c r="AA13" s="218"/>
      <c r="AB13" s="218">
        <f t="shared" si="16"/>
        <v>0</v>
      </c>
      <c r="AC13" s="216">
        <f t="shared" si="4"/>
        <v>60000</v>
      </c>
      <c r="AD13" s="216">
        <f t="shared" si="5"/>
        <v>60000</v>
      </c>
    </row>
    <row r="14" spans="1:30" ht="56.25" x14ac:dyDescent="0.25">
      <c r="A14" s="294"/>
      <c r="B14" s="217" t="s">
        <v>588</v>
      </c>
      <c r="C14" s="271" t="s">
        <v>5</v>
      </c>
      <c r="D14" s="284"/>
      <c r="E14" s="218">
        <v>10000</v>
      </c>
      <c r="F14" s="218"/>
      <c r="G14" s="218"/>
      <c r="H14" s="218"/>
      <c r="I14" s="218">
        <v>4500</v>
      </c>
      <c r="J14" s="219">
        <f t="shared" si="6"/>
        <v>14500</v>
      </c>
      <c r="K14" s="218"/>
      <c r="L14" s="218"/>
      <c r="M14" s="218"/>
      <c r="N14" s="218"/>
      <c r="O14" s="218">
        <v>4500</v>
      </c>
      <c r="P14" s="218">
        <f t="shared" si="20"/>
        <v>4500</v>
      </c>
      <c r="Q14" s="218"/>
      <c r="R14" s="218"/>
      <c r="S14" s="218"/>
      <c r="T14" s="218"/>
      <c r="U14" s="218"/>
      <c r="V14" s="218">
        <f t="shared" si="21"/>
        <v>0</v>
      </c>
      <c r="W14" s="218"/>
      <c r="X14" s="218"/>
      <c r="Y14" s="218"/>
      <c r="Z14" s="218"/>
      <c r="AA14" s="218"/>
      <c r="AB14" s="218">
        <f t="shared" si="16"/>
        <v>0</v>
      </c>
      <c r="AC14" s="216">
        <f t="shared" si="4"/>
        <v>10000</v>
      </c>
      <c r="AD14" s="216">
        <f t="shared" si="5"/>
        <v>19000</v>
      </c>
    </row>
    <row r="15" spans="1:30" ht="36.75" customHeight="1" x14ac:dyDescent="0.25">
      <c r="A15" s="294"/>
      <c r="B15" s="226" t="s">
        <v>342</v>
      </c>
      <c r="C15" s="271"/>
      <c r="D15" s="285"/>
      <c r="E15" s="218"/>
      <c r="F15" s="218">
        <f>72500+80300+15100</f>
        <v>167900</v>
      </c>
      <c r="G15" s="218"/>
      <c r="H15" s="218"/>
      <c r="I15" s="218"/>
      <c r="J15" s="219">
        <f t="shared" si="6"/>
        <v>167900</v>
      </c>
      <c r="K15" s="218"/>
      <c r="L15" s="218"/>
      <c r="M15" s="218"/>
      <c r="N15" s="218"/>
      <c r="O15" s="218"/>
      <c r="P15" s="218">
        <f t="shared" si="20"/>
        <v>0</v>
      </c>
      <c r="Q15" s="218"/>
      <c r="R15" s="218"/>
      <c r="S15" s="218"/>
      <c r="T15" s="218"/>
      <c r="U15" s="218"/>
      <c r="V15" s="218">
        <f t="shared" si="21"/>
        <v>0</v>
      </c>
      <c r="W15" s="218"/>
      <c r="X15" s="218"/>
      <c r="Y15" s="218"/>
      <c r="Z15" s="218"/>
      <c r="AA15" s="218"/>
      <c r="AB15" s="218">
        <f t="shared" si="16"/>
        <v>0</v>
      </c>
      <c r="AC15" s="216">
        <f t="shared" si="4"/>
        <v>0</v>
      </c>
      <c r="AD15" s="216">
        <f t="shared" si="5"/>
        <v>167900</v>
      </c>
    </row>
    <row r="16" spans="1:30" x14ac:dyDescent="0.25">
      <c r="A16" s="289" t="s">
        <v>220</v>
      </c>
      <c r="B16" s="214"/>
      <c r="C16" s="214"/>
      <c r="D16" s="275"/>
      <c r="E16" s="216">
        <f>SUM(E17:E24)</f>
        <v>0</v>
      </c>
      <c r="F16" s="216">
        <f t="shared" ref="F16:AB16" si="22">SUM(F17:F24)</f>
        <v>2100</v>
      </c>
      <c r="G16" s="216">
        <f t="shared" si="22"/>
        <v>0</v>
      </c>
      <c r="H16" s="216">
        <f t="shared" si="22"/>
        <v>0</v>
      </c>
      <c r="I16" s="216">
        <f t="shared" si="22"/>
        <v>0</v>
      </c>
      <c r="J16" s="216">
        <f t="shared" si="22"/>
        <v>2100</v>
      </c>
      <c r="K16" s="216">
        <f t="shared" si="22"/>
        <v>0</v>
      </c>
      <c r="L16" s="216">
        <f t="shared" si="22"/>
        <v>6800</v>
      </c>
      <c r="M16" s="216">
        <f t="shared" si="22"/>
        <v>0</v>
      </c>
      <c r="N16" s="216">
        <f t="shared" si="22"/>
        <v>0</v>
      </c>
      <c r="O16" s="216">
        <f t="shared" si="22"/>
        <v>0</v>
      </c>
      <c r="P16" s="216">
        <f t="shared" si="22"/>
        <v>6800</v>
      </c>
      <c r="Q16" s="216">
        <f t="shared" si="22"/>
        <v>0</v>
      </c>
      <c r="R16" s="216">
        <f t="shared" si="22"/>
        <v>6800</v>
      </c>
      <c r="S16" s="216">
        <f t="shared" si="22"/>
        <v>0</v>
      </c>
      <c r="T16" s="216">
        <f>SUM(T17:T24)</f>
        <v>0</v>
      </c>
      <c r="U16" s="216">
        <f t="shared" si="22"/>
        <v>0</v>
      </c>
      <c r="V16" s="216">
        <f t="shared" si="22"/>
        <v>6800</v>
      </c>
      <c r="W16" s="216">
        <f t="shared" si="22"/>
        <v>0</v>
      </c>
      <c r="X16" s="216">
        <f t="shared" si="22"/>
        <v>6800</v>
      </c>
      <c r="Y16" s="216">
        <f t="shared" si="22"/>
        <v>0</v>
      </c>
      <c r="Z16" s="216">
        <f t="shared" si="22"/>
        <v>0</v>
      </c>
      <c r="AA16" s="216">
        <f t="shared" si="22"/>
        <v>0</v>
      </c>
      <c r="AB16" s="216">
        <f t="shared" si="22"/>
        <v>6800</v>
      </c>
      <c r="AC16" s="216">
        <f>SUM(E16,K16,Q16,W16)</f>
        <v>0</v>
      </c>
      <c r="AD16" s="216">
        <f t="shared" si="5"/>
        <v>22500</v>
      </c>
    </row>
    <row r="17" spans="1:30" ht="130.5" customHeight="1" x14ac:dyDescent="0.25">
      <c r="A17" s="290"/>
      <c r="B17" s="251" t="s">
        <v>754</v>
      </c>
      <c r="C17" s="251"/>
      <c r="D17" s="291" t="s">
        <v>727</v>
      </c>
      <c r="E17" s="219"/>
      <c r="F17" s="219"/>
      <c r="G17" s="219"/>
      <c r="H17" s="219"/>
      <c r="I17" s="219"/>
      <c r="J17" s="219">
        <f t="shared" si="6"/>
        <v>0</v>
      </c>
      <c r="K17" s="219"/>
      <c r="L17" s="219"/>
      <c r="M17" s="219"/>
      <c r="N17" s="219"/>
      <c r="O17" s="219"/>
      <c r="P17" s="219">
        <f t="shared" ref="P17" si="23">SUM(K17:O17)</f>
        <v>0</v>
      </c>
      <c r="Q17" s="219"/>
      <c r="R17" s="219"/>
      <c r="S17" s="219"/>
      <c r="T17" s="219"/>
      <c r="U17" s="219"/>
      <c r="V17" s="219">
        <f t="shared" ref="V17" si="24">SUM(Q17:U17)</f>
        <v>0</v>
      </c>
      <c r="W17" s="219"/>
      <c r="X17" s="219"/>
      <c r="Y17" s="219"/>
      <c r="Z17" s="219"/>
      <c r="AA17" s="219"/>
      <c r="AB17" s="219">
        <f t="shared" ref="AB17" si="25">SUM(W17:AA17)</f>
        <v>0</v>
      </c>
      <c r="AC17" s="216">
        <f>SUM(E17,K17,Q17,W17)</f>
        <v>0</v>
      </c>
      <c r="AD17" s="216">
        <f>SUM(J17,P17,V17,AB17)</f>
        <v>0</v>
      </c>
    </row>
    <row r="18" spans="1:30" ht="326.25" x14ac:dyDescent="0.25">
      <c r="A18" s="290"/>
      <c r="B18" s="217" t="s">
        <v>671</v>
      </c>
      <c r="C18" s="217"/>
      <c r="D18" s="284"/>
      <c r="E18" s="218"/>
      <c r="F18" s="218">
        <v>2100</v>
      </c>
      <c r="G18" s="218"/>
      <c r="H18" s="218"/>
      <c r="I18" s="218"/>
      <c r="J18" s="219">
        <f t="shared" si="6"/>
        <v>2100</v>
      </c>
      <c r="K18" s="219"/>
      <c r="L18" s="219">
        <v>6800</v>
      </c>
      <c r="M18" s="219"/>
      <c r="N18" s="219"/>
      <c r="O18" s="219"/>
      <c r="P18" s="219">
        <f t="shared" ref="P18:P60" si="26">SUM(K18:O18)</f>
        <v>6800</v>
      </c>
      <c r="Q18" s="218"/>
      <c r="R18" s="218">
        <v>6800</v>
      </c>
      <c r="S18" s="218"/>
      <c r="T18" s="218"/>
      <c r="U18" s="218"/>
      <c r="V18" s="219">
        <f t="shared" ref="V18:V84" si="27">SUM(Q18:U18)</f>
        <v>6800</v>
      </c>
      <c r="W18" s="218"/>
      <c r="X18" s="218">
        <v>6800</v>
      </c>
      <c r="Y18" s="218"/>
      <c r="Z18" s="218"/>
      <c r="AA18" s="218"/>
      <c r="AB18" s="218">
        <f t="shared" ref="AB18:AB84" si="28">W18+X18+Y18+AA18</f>
        <v>6800</v>
      </c>
      <c r="AC18" s="216">
        <f t="shared" si="4"/>
        <v>0</v>
      </c>
      <c r="AD18" s="216"/>
    </row>
    <row r="19" spans="1:30" ht="98.25" customHeight="1" x14ac:dyDescent="0.25">
      <c r="A19" s="247"/>
      <c r="B19" s="252" t="s">
        <v>672</v>
      </c>
      <c r="C19" s="252"/>
      <c r="D19" s="284"/>
      <c r="E19" s="218"/>
      <c r="F19" s="218"/>
      <c r="G19" s="218"/>
      <c r="H19" s="218"/>
      <c r="I19" s="218"/>
      <c r="J19" s="219">
        <f t="shared" si="6"/>
        <v>0</v>
      </c>
      <c r="K19" s="219"/>
      <c r="L19" s="219"/>
      <c r="M19" s="219"/>
      <c r="N19" s="219"/>
      <c r="O19" s="219"/>
      <c r="P19" s="219">
        <f t="shared" si="26"/>
        <v>0</v>
      </c>
      <c r="Q19" s="218"/>
      <c r="R19" s="218"/>
      <c r="S19" s="218"/>
      <c r="T19" s="218"/>
      <c r="U19" s="218"/>
      <c r="V19" s="219">
        <f t="shared" si="27"/>
        <v>0</v>
      </c>
      <c r="W19" s="218"/>
      <c r="X19" s="218"/>
      <c r="Y19" s="218"/>
      <c r="Z19" s="218"/>
      <c r="AA19" s="218"/>
      <c r="AB19" s="218">
        <f t="shared" ref="AB19:AB24" si="29">SUM(W19:AA19)</f>
        <v>0</v>
      </c>
      <c r="AC19" s="216">
        <f t="shared" si="4"/>
        <v>0</v>
      </c>
      <c r="AD19" s="216">
        <f>60000*2.4</f>
        <v>144000</v>
      </c>
    </row>
    <row r="20" spans="1:30" ht="33.75" x14ac:dyDescent="0.25">
      <c r="A20" s="248"/>
      <c r="B20" s="217" t="s">
        <v>673</v>
      </c>
      <c r="C20" s="217"/>
      <c r="D20" s="284"/>
      <c r="E20" s="218"/>
      <c r="F20" s="218"/>
      <c r="G20" s="218"/>
      <c r="H20" s="218"/>
      <c r="I20" s="218"/>
      <c r="J20" s="219">
        <f t="shared" si="6"/>
        <v>0</v>
      </c>
      <c r="K20" s="219"/>
      <c r="L20" s="219"/>
      <c r="M20" s="219"/>
      <c r="N20" s="219"/>
      <c r="O20" s="219"/>
      <c r="P20" s="219">
        <f t="shared" si="26"/>
        <v>0</v>
      </c>
      <c r="Q20" s="218"/>
      <c r="R20" s="218"/>
      <c r="S20" s="218"/>
      <c r="T20" s="218"/>
      <c r="U20" s="218"/>
      <c r="V20" s="219">
        <f t="shared" si="27"/>
        <v>0</v>
      </c>
      <c r="W20" s="218"/>
      <c r="X20" s="218"/>
      <c r="Y20" s="218"/>
      <c r="Z20" s="218"/>
      <c r="AA20" s="218"/>
      <c r="AB20" s="218">
        <f t="shared" si="29"/>
        <v>0</v>
      </c>
      <c r="AC20" s="216">
        <f t="shared" ref="AC20:AC23" si="30">SUM(E20,K20,Q20,W20)</f>
        <v>0</v>
      </c>
      <c r="AD20" s="216">
        <f t="shared" ref="AD20:AD23" si="31">SUM(J20,P20,V20,AB20)</f>
        <v>0</v>
      </c>
    </row>
    <row r="21" spans="1:30" ht="22.5" x14ac:dyDescent="0.25">
      <c r="A21" s="248"/>
      <c r="B21" s="217" t="s">
        <v>675</v>
      </c>
      <c r="C21" s="217"/>
      <c r="D21" s="284"/>
      <c r="E21" s="218"/>
      <c r="F21" s="218"/>
      <c r="G21" s="218"/>
      <c r="H21" s="218"/>
      <c r="I21" s="218"/>
      <c r="J21" s="219">
        <f t="shared" si="6"/>
        <v>0</v>
      </c>
      <c r="K21" s="219"/>
      <c r="L21" s="219"/>
      <c r="M21" s="219"/>
      <c r="N21" s="219"/>
      <c r="O21" s="219"/>
      <c r="P21" s="219">
        <f t="shared" si="26"/>
        <v>0</v>
      </c>
      <c r="Q21" s="218"/>
      <c r="R21" s="218"/>
      <c r="S21" s="218"/>
      <c r="T21" s="218"/>
      <c r="U21" s="218"/>
      <c r="V21" s="219">
        <f t="shared" si="27"/>
        <v>0</v>
      </c>
      <c r="W21" s="218"/>
      <c r="X21" s="218"/>
      <c r="Y21" s="218"/>
      <c r="Z21" s="218"/>
      <c r="AA21" s="218"/>
      <c r="AB21" s="218">
        <f t="shared" si="29"/>
        <v>0</v>
      </c>
      <c r="AC21" s="216">
        <f t="shared" si="30"/>
        <v>0</v>
      </c>
      <c r="AD21" s="216">
        <f t="shared" si="31"/>
        <v>0</v>
      </c>
    </row>
    <row r="22" spans="1:30" ht="22.5" x14ac:dyDescent="0.25">
      <c r="A22" s="248"/>
      <c r="B22" s="217" t="s">
        <v>674</v>
      </c>
      <c r="C22" s="217"/>
      <c r="D22" s="284"/>
      <c r="E22" s="218"/>
      <c r="F22" s="218"/>
      <c r="G22" s="218"/>
      <c r="H22" s="218"/>
      <c r="I22" s="218"/>
      <c r="J22" s="219">
        <f t="shared" si="6"/>
        <v>0</v>
      </c>
      <c r="K22" s="219"/>
      <c r="L22" s="219"/>
      <c r="M22" s="219"/>
      <c r="N22" s="219"/>
      <c r="O22" s="219"/>
      <c r="P22" s="219">
        <f t="shared" si="26"/>
        <v>0</v>
      </c>
      <c r="Q22" s="218"/>
      <c r="R22" s="218"/>
      <c r="S22" s="218"/>
      <c r="T22" s="218"/>
      <c r="U22" s="218"/>
      <c r="V22" s="219">
        <f t="shared" si="27"/>
        <v>0</v>
      </c>
      <c r="W22" s="218"/>
      <c r="X22" s="218"/>
      <c r="Y22" s="218"/>
      <c r="Z22" s="218"/>
      <c r="AA22" s="218"/>
      <c r="AB22" s="218">
        <f t="shared" si="29"/>
        <v>0</v>
      </c>
      <c r="AC22" s="216">
        <f t="shared" si="30"/>
        <v>0</v>
      </c>
      <c r="AD22" s="216">
        <f t="shared" si="31"/>
        <v>0</v>
      </c>
    </row>
    <row r="23" spans="1:30" ht="33.75" x14ac:dyDescent="0.25">
      <c r="A23" s="248"/>
      <c r="B23" s="217" t="s">
        <v>676</v>
      </c>
      <c r="C23" s="217"/>
      <c r="D23" s="284"/>
      <c r="E23" s="218"/>
      <c r="F23" s="218"/>
      <c r="G23" s="218"/>
      <c r="H23" s="218"/>
      <c r="I23" s="218"/>
      <c r="J23" s="219">
        <f t="shared" si="6"/>
        <v>0</v>
      </c>
      <c r="K23" s="219"/>
      <c r="L23" s="219"/>
      <c r="M23" s="219"/>
      <c r="N23" s="219"/>
      <c r="O23" s="219"/>
      <c r="P23" s="219">
        <f t="shared" si="26"/>
        <v>0</v>
      </c>
      <c r="Q23" s="218"/>
      <c r="R23" s="218"/>
      <c r="S23" s="218"/>
      <c r="T23" s="218"/>
      <c r="U23" s="218"/>
      <c r="V23" s="219">
        <f t="shared" si="27"/>
        <v>0</v>
      </c>
      <c r="W23" s="218"/>
      <c r="X23" s="218"/>
      <c r="Y23" s="218"/>
      <c r="Z23" s="218"/>
      <c r="AA23" s="218"/>
      <c r="AB23" s="218">
        <f t="shared" si="29"/>
        <v>0</v>
      </c>
      <c r="AC23" s="216">
        <f t="shared" si="30"/>
        <v>0</v>
      </c>
      <c r="AD23" s="216">
        <f t="shared" si="31"/>
        <v>0</v>
      </c>
    </row>
    <row r="24" spans="1:30" ht="63.6" customHeight="1" x14ac:dyDescent="0.25">
      <c r="A24" s="247"/>
      <c r="B24" s="250" t="s">
        <v>710</v>
      </c>
      <c r="C24" s="250"/>
      <c r="D24" s="285"/>
      <c r="E24" s="218"/>
      <c r="F24" s="218"/>
      <c r="G24" s="218"/>
      <c r="H24" s="218"/>
      <c r="I24" s="218"/>
      <c r="J24" s="219">
        <f t="shared" si="6"/>
        <v>0</v>
      </c>
      <c r="K24" s="219"/>
      <c r="L24" s="219"/>
      <c r="M24" s="219"/>
      <c r="N24" s="219"/>
      <c r="O24" s="219"/>
      <c r="P24" s="219">
        <f t="shared" si="26"/>
        <v>0</v>
      </c>
      <c r="Q24" s="218"/>
      <c r="R24" s="218"/>
      <c r="S24" s="218"/>
      <c r="T24" s="218"/>
      <c r="U24" s="218"/>
      <c r="V24" s="219">
        <f t="shared" si="27"/>
        <v>0</v>
      </c>
      <c r="W24" s="218"/>
      <c r="X24" s="218"/>
      <c r="Y24" s="218"/>
      <c r="Z24" s="218"/>
      <c r="AA24" s="218"/>
      <c r="AB24" s="218">
        <f t="shared" si="29"/>
        <v>0</v>
      </c>
      <c r="AC24" s="216">
        <f t="shared" si="4"/>
        <v>0</v>
      </c>
      <c r="AD24" s="216">
        <f t="shared" ref="AD24" si="32">SUM(J24,P24,V24,AB24)</f>
        <v>0</v>
      </c>
    </row>
    <row r="25" spans="1:30" x14ac:dyDescent="0.25">
      <c r="A25" s="294" t="s">
        <v>711</v>
      </c>
      <c r="B25" s="214"/>
      <c r="C25" s="214"/>
      <c r="D25" s="275"/>
      <c r="E25" s="216">
        <f>SUM(E26:E34)</f>
        <v>10050</v>
      </c>
      <c r="F25" s="216">
        <f>SUM(F26:F34)</f>
        <v>107900</v>
      </c>
      <c r="G25" s="216">
        <f>SUM(G26:G34)</f>
        <v>0</v>
      </c>
      <c r="H25" s="216">
        <f>SUM(H26:H34)</f>
        <v>0</v>
      </c>
      <c r="I25" s="216">
        <f>SUM(I26:I34)</f>
        <v>0</v>
      </c>
      <c r="J25" s="216">
        <f t="shared" si="6"/>
        <v>117950</v>
      </c>
      <c r="K25" s="216">
        <f>SUM(K26:K34)</f>
        <v>39000</v>
      </c>
      <c r="L25" s="216">
        <f>SUM(L26:L34)</f>
        <v>154130</v>
      </c>
      <c r="M25" s="216">
        <f>SUM(M26:M34)</f>
        <v>0</v>
      </c>
      <c r="N25" s="216"/>
      <c r="O25" s="216">
        <f>SUM(O26:O34)</f>
        <v>0</v>
      </c>
      <c r="P25" s="216">
        <f t="shared" si="26"/>
        <v>193130</v>
      </c>
      <c r="Q25" s="216">
        <f>SUM(Q26:Q34)</f>
        <v>39000</v>
      </c>
      <c r="R25" s="216">
        <f>SUM(R26:R34)</f>
        <v>125040</v>
      </c>
      <c r="S25" s="216">
        <f>SUM(S26:S30)</f>
        <v>0</v>
      </c>
      <c r="T25" s="216"/>
      <c r="U25" s="216">
        <f>SUM(U26:U30)</f>
        <v>0</v>
      </c>
      <c r="V25" s="216">
        <f t="shared" si="27"/>
        <v>164040</v>
      </c>
      <c r="W25" s="216">
        <f>SUM(W26:W34)</f>
        <v>39000</v>
      </c>
      <c r="X25" s="216">
        <f>SUM(X26:X34)</f>
        <v>111300</v>
      </c>
      <c r="Y25" s="216">
        <f>SUM(Y26:Y34)</f>
        <v>0</v>
      </c>
      <c r="Z25" s="216"/>
      <c r="AA25" s="216">
        <f>SUM(AA26:AA34)</f>
        <v>0</v>
      </c>
      <c r="AB25" s="216">
        <f t="shared" si="28"/>
        <v>150300</v>
      </c>
      <c r="AC25" s="216">
        <f t="shared" si="4"/>
        <v>127050</v>
      </c>
      <c r="AD25" s="216">
        <f t="shared" si="5"/>
        <v>625420</v>
      </c>
    </row>
    <row r="26" spans="1:30" ht="80.099999999999994" customHeight="1" x14ac:dyDescent="0.25">
      <c r="A26" s="294"/>
      <c r="B26" s="217" t="s">
        <v>600</v>
      </c>
      <c r="C26" s="270" t="s">
        <v>9</v>
      </c>
      <c r="D26" s="291" t="s">
        <v>728</v>
      </c>
      <c r="E26" s="218"/>
      <c r="F26" s="218">
        <v>25000</v>
      </c>
      <c r="G26" s="218"/>
      <c r="H26" s="218"/>
      <c r="I26" s="218"/>
      <c r="J26" s="219">
        <f>SUM(E26:I26)</f>
        <v>25000</v>
      </c>
      <c r="K26" s="219"/>
      <c r="L26" s="219">
        <v>35000</v>
      </c>
      <c r="M26" s="219"/>
      <c r="N26" s="219"/>
      <c r="O26" s="219"/>
      <c r="P26" s="219">
        <f>SUM(K26:O26)</f>
        <v>35000</v>
      </c>
      <c r="Q26" s="218"/>
      <c r="R26" s="218">
        <v>35000</v>
      </c>
      <c r="S26" s="218"/>
      <c r="T26" s="218"/>
      <c r="U26" s="218"/>
      <c r="V26" s="219">
        <f>SUM(Q26:U26)</f>
        <v>35000</v>
      </c>
      <c r="W26" s="218"/>
      <c r="X26" s="218">
        <v>35000</v>
      </c>
      <c r="Y26" s="218"/>
      <c r="Z26" s="218"/>
      <c r="AA26" s="218"/>
      <c r="AB26" s="218">
        <f>SUM(W26:AA26)</f>
        <v>35000</v>
      </c>
      <c r="AC26" s="216">
        <f t="shared" si="4"/>
        <v>0</v>
      </c>
      <c r="AD26" s="216">
        <f t="shared" si="5"/>
        <v>130000</v>
      </c>
    </row>
    <row r="27" spans="1:30" ht="24" customHeight="1" x14ac:dyDescent="0.25">
      <c r="A27" s="294"/>
      <c r="B27" s="227" t="s">
        <v>581</v>
      </c>
      <c r="C27" s="270" t="s">
        <v>8</v>
      </c>
      <c r="D27" s="292"/>
      <c r="E27" s="218"/>
      <c r="F27" s="218"/>
      <c r="G27" s="218"/>
      <c r="H27" s="218"/>
      <c r="I27" s="218"/>
      <c r="J27" s="219">
        <f t="shared" si="6"/>
        <v>0</v>
      </c>
      <c r="K27" s="219">
        <v>30000</v>
      </c>
      <c r="L27" s="219"/>
      <c r="M27" s="219"/>
      <c r="N27" s="219"/>
      <c r="O27" s="219"/>
      <c r="P27" s="219">
        <f t="shared" si="26"/>
        <v>30000</v>
      </c>
      <c r="Q27" s="218">
        <v>30000</v>
      </c>
      <c r="R27" s="218"/>
      <c r="S27" s="218"/>
      <c r="T27" s="218"/>
      <c r="U27" s="218"/>
      <c r="V27" s="219">
        <f t="shared" si="27"/>
        <v>30000</v>
      </c>
      <c r="W27" s="218">
        <v>30000</v>
      </c>
      <c r="X27" s="218"/>
      <c r="Y27" s="218"/>
      <c r="Z27" s="218"/>
      <c r="AA27" s="218"/>
      <c r="AB27" s="218">
        <f t="shared" si="28"/>
        <v>30000</v>
      </c>
      <c r="AC27" s="216">
        <f t="shared" si="4"/>
        <v>90000</v>
      </c>
      <c r="AD27" s="216">
        <f t="shared" si="5"/>
        <v>90000</v>
      </c>
    </row>
    <row r="28" spans="1:30" ht="45" x14ac:dyDescent="0.25">
      <c r="A28" s="294"/>
      <c r="B28" s="227" t="s">
        <v>293</v>
      </c>
      <c r="C28" s="270" t="s">
        <v>20</v>
      </c>
      <c r="D28" s="292"/>
      <c r="E28" s="218">
        <v>1050</v>
      </c>
      <c r="F28" s="218">
        <v>18650</v>
      </c>
      <c r="G28" s="218"/>
      <c r="H28" s="218"/>
      <c r="I28" s="218"/>
      <c r="J28" s="219">
        <f t="shared" si="6"/>
        <v>19700</v>
      </c>
      <c r="K28" s="219"/>
      <c r="L28" s="219">
        <v>23860</v>
      </c>
      <c r="M28" s="219"/>
      <c r="N28" s="219"/>
      <c r="O28" s="219"/>
      <c r="P28" s="219">
        <f t="shared" si="26"/>
        <v>23860</v>
      </c>
      <c r="Q28" s="218"/>
      <c r="R28" s="218"/>
      <c r="S28" s="218"/>
      <c r="T28" s="218"/>
      <c r="U28" s="218"/>
      <c r="V28" s="219">
        <f t="shared" si="27"/>
        <v>0</v>
      </c>
      <c r="W28" s="218"/>
      <c r="X28" s="218"/>
      <c r="Y28" s="218"/>
      <c r="Z28" s="218"/>
      <c r="AA28" s="218"/>
      <c r="AB28" s="218">
        <f t="shared" si="28"/>
        <v>0</v>
      </c>
      <c r="AC28" s="216">
        <f t="shared" si="4"/>
        <v>1050</v>
      </c>
      <c r="AD28" s="216">
        <f t="shared" si="5"/>
        <v>43560</v>
      </c>
    </row>
    <row r="29" spans="1:30" ht="66" customHeight="1" x14ac:dyDescent="0.25">
      <c r="A29" s="294"/>
      <c r="B29" s="217" t="s">
        <v>294</v>
      </c>
      <c r="C29" s="270" t="s">
        <v>19</v>
      </c>
      <c r="D29" s="292"/>
      <c r="E29" s="218"/>
      <c r="F29" s="218">
        <v>25000</v>
      </c>
      <c r="G29" s="218"/>
      <c r="H29" s="218"/>
      <c r="I29" s="218"/>
      <c r="J29" s="219">
        <f t="shared" si="6"/>
        <v>25000</v>
      </c>
      <c r="K29" s="219"/>
      <c r="L29" s="219"/>
      <c r="M29" s="219"/>
      <c r="N29" s="219"/>
      <c r="O29" s="219"/>
      <c r="P29" s="219">
        <f t="shared" si="26"/>
        <v>0</v>
      </c>
      <c r="Q29" s="218"/>
      <c r="R29" s="218"/>
      <c r="S29" s="218"/>
      <c r="T29" s="218"/>
      <c r="U29" s="218"/>
      <c r="V29" s="219">
        <f t="shared" si="27"/>
        <v>0</v>
      </c>
      <c r="W29" s="218"/>
      <c r="X29" s="218"/>
      <c r="Y29" s="218"/>
      <c r="Z29" s="218"/>
      <c r="AA29" s="218"/>
      <c r="AB29" s="218">
        <f t="shared" si="28"/>
        <v>0</v>
      </c>
      <c r="AC29" s="216">
        <f t="shared" si="4"/>
        <v>0</v>
      </c>
      <c r="AD29" s="216">
        <f t="shared" si="5"/>
        <v>25000</v>
      </c>
    </row>
    <row r="30" spans="1:30" ht="33.75" x14ac:dyDescent="0.25">
      <c r="A30" s="294"/>
      <c r="B30" s="227" t="s">
        <v>295</v>
      </c>
      <c r="C30" s="270" t="s">
        <v>10</v>
      </c>
      <c r="D30" s="292"/>
      <c r="E30" s="218">
        <v>1000</v>
      </c>
      <c r="F30" s="218">
        <v>7000</v>
      </c>
      <c r="G30" s="218"/>
      <c r="H30" s="218"/>
      <c r="I30" s="218"/>
      <c r="J30" s="219">
        <f t="shared" si="6"/>
        <v>8000</v>
      </c>
      <c r="K30" s="219">
        <v>1000</v>
      </c>
      <c r="L30" s="219">
        <v>9000</v>
      </c>
      <c r="M30" s="219"/>
      <c r="N30" s="219"/>
      <c r="O30" s="219"/>
      <c r="P30" s="219">
        <f t="shared" si="26"/>
        <v>10000</v>
      </c>
      <c r="Q30" s="218">
        <v>1000</v>
      </c>
      <c r="R30" s="218">
        <v>9000</v>
      </c>
      <c r="S30" s="218"/>
      <c r="T30" s="218"/>
      <c r="U30" s="218"/>
      <c r="V30" s="219">
        <f t="shared" si="27"/>
        <v>10000</v>
      </c>
      <c r="W30" s="218">
        <v>1000</v>
      </c>
      <c r="X30" s="218">
        <v>9000</v>
      </c>
      <c r="Y30" s="218"/>
      <c r="Z30" s="218"/>
      <c r="AA30" s="218"/>
      <c r="AB30" s="218">
        <f t="shared" si="28"/>
        <v>10000</v>
      </c>
      <c r="AC30" s="216">
        <f t="shared" si="4"/>
        <v>4000</v>
      </c>
      <c r="AD30" s="216">
        <f t="shared" si="5"/>
        <v>38000</v>
      </c>
    </row>
    <row r="31" spans="1:30" ht="63" customHeight="1" x14ac:dyDescent="0.25">
      <c r="A31" s="294"/>
      <c r="B31" s="227" t="s">
        <v>601</v>
      </c>
      <c r="C31" s="270" t="s">
        <v>11</v>
      </c>
      <c r="D31" s="292"/>
      <c r="E31" s="218">
        <v>8000</v>
      </c>
      <c r="F31" s="218"/>
      <c r="G31" s="218"/>
      <c r="H31" s="218"/>
      <c r="I31" s="218"/>
      <c r="J31" s="219">
        <f t="shared" si="6"/>
        <v>8000</v>
      </c>
      <c r="K31" s="219">
        <v>8000</v>
      </c>
      <c r="L31" s="219"/>
      <c r="M31" s="219"/>
      <c r="N31" s="219"/>
      <c r="O31" s="219"/>
      <c r="P31" s="219">
        <f t="shared" si="26"/>
        <v>8000</v>
      </c>
      <c r="Q31" s="218">
        <v>8000</v>
      </c>
      <c r="R31" s="218"/>
      <c r="S31" s="218"/>
      <c r="T31" s="218"/>
      <c r="U31" s="218"/>
      <c r="V31" s="219">
        <f t="shared" si="27"/>
        <v>8000</v>
      </c>
      <c r="W31" s="218">
        <v>8000</v>
      </c>
      <c r="X31" s="218"/>
      <c r="Y31" s="218"/>
      <c r="Z31" s="218"/>
      <c r="AA31" s="218"/>
      <c r="AB31" s="218">
        <f t="shared" si="28"/>
        <v>8000</v>
      </c>
      <c r="AC31" s="216">
        <f t="shared" si="4"/>
        <v>32000</v>
      </c>
      <c r="AD31" s="216">
        <f t="shared" si="5"/>
        <v>32000</v>
      </c>
    </row>
    <row r="32" spans="1:30" ht="101.25" customHeight="1" x14ac:dyDescent="0.25">
      <c r="A32" s="294"/>
      <c r="B32" s="217" t="s">
        <v>602</v>
      </c>
      <c r="C32" s="270" t="s">
        <v>12</v>
      </c>
      <c r="D32" s="292"/>
      <c r="E32" s="228"/>
      <c r="F32" s="218">
        <v>21600</v>
      </c>
      <c r="G32" s="218"/>
      <c r="H32" s="218"/>
      <c r="I32" s="218"/>
      <c r="J32" s="219">
        <f>SUM(F32:I32)</f>
        <v>21600</v>
      </c>
      <c r="K32" s="228"/>
      <c r="L32" s="219">
        <v>37530</v>
      </c>
      <c r="M32" s="219"/>
      <c r="N32" s="219"/>
      <c r="O32" s="219"/>
      <c r="P32" s="219">
        <f>SUM(L32:O32)</f>
        <v>37530</v>
      </c>
      <c r="Q32" s="228"/>
      <c r="R32" s="218">
        <v>16740</v>
      </c>
      <c r="S32" s="229"/>
      <c r="T32" s="229"/>
      <c r="U32" s="229"/>
      <c r="V32" s="219">
        <f>SUM(R32:U32)</f>
        <v>16740</v>
      </c>
      <c r="W32" s="228">
        <v>0</v>
      </c>
      <c r="X32" s="230">
        <v>18600</v>
      </c>
      <c r="Y32" s="229"/>
      <c r="Z32" s="229"/>
      <c r="AA32" s="229"/>
      <c r="AB32" s="218">
        <f>W32+X32+Y32+AA32</f>
        <v>18600</v>
      </c>
      <c r="AC32" s="216">
        <f t="shared" si="4"/>
        <v>0</v>
      </c>
      <c r="AD32" s="216">
        <f t="shared" si="5"/>
        <v>94470</v>
      </c>
    </row>
    <row r="33" spans="1:96" ht="135.75" customHeight="1" x14ac:dyDescent="0.25">
      <c r="A33" s="294"/>
      <c r="B33" s="217" t="s">
        <v>706</v>
      </c>
      <c r="C33" s="270"/>
      <c r="D33" s="292"/>
      <c r="E33" s="230"/>
      <c r="F33" s="230"/>
      <c r="G33" s="230"/>
      <c r="H33" s="230"/>
      <c r="I33" s="230"/>
      <c r="J33" s="231"/>
      <c r="K33" s="231"/>
      <c r="L33" s="231">
        <v>45740</v>
      </c>
      <c r="M33" s="231"/>
      <c r="N33" s="231"/>
      <c r="O33" s="231"/>
      <c r="P33" s="231">
        <f t="shared" ref="P33" si="33">SUM(K33:O33)</f>
        <v>45740</v>
      </c>
      <c r="Q33" s="230"/>
      <c r="R33" s="230">
        <v>61300</v>
      </c>
      <c r="S33" s="232"/>
      <c r="T33" s="232"/>
      <c r="U33" s="232"/>
      <c r="V33" s="231">
        <f t="shared" si="27"/>
        <v>61300</v>
      </c>
      <c r="W33" s="231"/>
      <c r="X33" s="230">
        <v>45700</v>
      </c>
      <c r="Y33" s="230"/>
      <c r="Z33" s="230"/>
      <c r="AA33" s="232"/>
      <c r="AB33" s="230">
        <f t="shared" ref="AB33" si="34">SUM(W33:AA33)</f>
        <v>45700</v>
      </c>
      <c r="AC33" s="216">
        <f t="shared" si="4"/>
        <v>0</v>
      </c>
      <c r="AD33" s="216">
        <f t="shared" si="5"/>
        <v>152740</v>
      </c>
    </row>
    <row r="34" spans="1:96" ht="50.25" customHeight="1" x14ac:dyDescent="0.25">
      <c r="A34" s="294"/>
      <c r="B34" s="227" t="s">
        <v>603</v>
      </c>
      <c r="C34" s="271"/>
      <c r="D34" s="293"/>
      <c r="E34" s="218"/>
      <c r="F34" s="222">
        <f>3550*3</f>
        <v>10650</v>
      </c>
      <c r="G34" s="222"/>
      <c r="H34" s="222"/>
      <c r="I34" s="222"/>
      <c r="J34" s="223">
        <f t="shared" ref="J34" si="35">SUM(E34:I34)</f>
        <v>10650</v>
      </c>
      <c r="K34" s="223"/>
      <c r="L34" s="223">
        <v>3000</v>
      </c>
      <c r="M34" s="223"/>
      <c r="N34" s="223"/>
      <c r="O34" s="223"/>
      <c r="P34" s="223">
        <f t="shared" ref="P34" si="36">SUM(K34:O34)</f>
        <v>3000</v>
      </c>
      <c r="Q34" s="222"/>
      <c r="R34" s="222">
        <v>3000</v>
      </c>
      <c r="S34" s="222"/>
      <c r="T34" s="222"/>
      <c r="U34" s="222"/>
      <c r="V34" s="223">
        <f t="shared" si="27"/>
        <v>3000</v>
      </c>
      <c r="W34" s="222"/>
      <c r="X34" s="222">
        <v>3000</v>
      </c>
      <c r="Y34" s="222"/>
      <c r="Z34" s="222"/>
      <c r="AA34" s="222"/>
      <c r="AB34" s="218">
        <f t="shared" si="28"/>
        <v>3000</v>
      </c>
      <c r="AC34" s="216">
        <f t="shared" si="4"/>
        <v>0</v>
      </c>
      <c r="AD34" s="216">
        <f t="shared" si="5"/>
        <v>19650</v>
      </c>
    </row>
    <row r="35" spans="1:96" x14ac:dyDescent="0.25">
      <c r="A35" s="294" t="s">
        <v>290</v>
      </c>
      <c r="B35" s="214"/>
      <c r="C35" s="214"/>
      <c r="D35" s="275"/>
      <c r="E35" s="216">
        <f>SUM(E36:E40)</f>
        <v>260880</v>
      </c>
      <c r="F35" s="216">
        <f>SUM(F36:F40)</f>
        <v>10984</v>
      </c>
      <c r="G35" s="216">
        <f>SUM(G36:G40)</f>
        <v>0</v>
      </c>
      <c r="H35" s="216">
        <f>SUM(H36:H40)</f>
        <v>0</v>
      </c>
      <c r="I35" s="216">
        <f>SUM(I36:I40)</f>
        <v>9433</v>
      </c>
      <c r="J35" s="216">
        <f t="shared" si="6"/>
        <v>281297</v>
      </c>
      <c r="K35" s="216">
        <f>SUM(K36:K40)</f>
        <v>111900</v>
      </c>
      <c r="L35" s="216">
        <f>SUM(L36:L40)</f>
        <v>0</v>
      </c>
      <c r="M35" s="216">
        <f>SUM(M36:M40)</f>
        <v>0</v>
      </c>
      <c r="N35" s="216"/>
      <c r="O35" s="216">
        <f>SUM(O36:O40)</f>
        <v>9500</v>
      </c>
      <c r="P35" s="216">
        <f t="shared" si="26"/>
        <v>121400</v>
      </c>
      <c r="Q35" s="216">
        <f>SUM(Q36:Q40)</f>
        <v>121400</v>
      </c>
      <c r="R35" s="216">
        <f>SUM(R36:R40)</f>
        <v>0</v>
      </c>
      <c r="S35" s="216">
        <f>SUM(S36:S40)</f>
        <v>0</v>
      </c>
      <c r="T35" s="216"/>
      <c r="U35" s="216">
        <f>SUM(U36:U40)</f>
        <v>9800</v>
      </c>
      <c r="V35" s="216">
        <f t="shared" si="27"/>
        <v>131200</v>
      </c>
      <c r="W35" s="216">
        <f>SUM(W36:W40)</f>
        <v>126400</v>
      </c>
      <c r="X35" s="216">
        <f>SUM(X36:X40)</f>
        <v>0</v>
      </c>
      <c r="Y35" s="216">
        <f>SUM(Y36:Y40)</f>
        <v>0</v>
      </c>
      <c r="Z35" s="216"/>
      <c r="AA35" s="216">
        <f>SUM(AA36:AA40)</f>
        <v>10000</v>
      </c>
      <c r="AB35" s="216">
        <f t="shared" si="28"/>
        <v>136400</v>
      </c>
      <c r="AC35" s="216">
        <f t="shared" si="4"/>
        <v>620580</v>
      </c>
      <c r="AD35" s="216">
        <f t="shared" si="5"/>
        <v>670297</v>
      </c>
    </row>
    <row r="36" spans="1:96" s="76" customFormat="1" ht="39.75" customHeight="1" x14ac:dyDescent="0.25">
      <c r="A36" s="294"/>
      <c r="B36" s="227" t="s">
        <v>312</v>
      </c>
      <c r="C36" s="272" t="s">
        <v>771</v>
      </c>
      <c r="D36" s="283" t="s">
        <v>729</v>
      </c>
      <c r="E36" s="224">
        <f>19000+12974-10984</f>
        <v>20990</v>
      </c>
      <c r="F36" s="218">
        <v>10984</v>
      </c>
      <c r="G36" s="218"/>
      <c r="H36" s="218"/>
      <c r="I36" s="218"/>
      <c r="J36" s="219">
        <f t="shared" si="6"/>
        <v>31974</v>
      </c>
      <c r="K36" s="219">
        <v>10000</v>
      </c>
      <c r="L36" s="219"/>
      <c r="M36" s="219"/>
      <c r="N36" s="219"/>
      <c r="O36" s="219"/>
      <c r="P36" s="219">
        <f t="shared" si="26"/>
        <v>10000</v>
      </c>
      <c r="Q36" s="218">
        <v>15000</v>
      </c>
      <c r="R36" s="218"/>
      <c r="S36" s="218"/>
      <c r="T36" s="218"/>
      <c r="U36" s="218"/>
      <c r="V36" s="219">
        <f t="shared" si="27"/>
        <v>15000</v>
      </c>
      <c r="W36" s="218">
        <v>20000</v>
      </c>
      <c r="X36" s="218"/>
      <c r="Y36" s="218"/>
      <c r="Z36" s="218"/>
      <c r="AA36" s="218"/>
      <c r="AB36" s="218">
        <f t="shared" si="28"/>
        <v>20000</v>
      </c>
      <c r="AC36" s="216">
        <f t="shared" si="4"/>
        <v>65990</v>
      </c>
      <c r="AD36" s="216">
        <f t="shared" si="5"/>
        <v>76974</v>
      </c>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77"/>
    </row>
    <row r="37" spans="1:96" ht="48" customHeight="1" x14ac:dyDescent="0.25">
      <c r="A37" s="294"/>
      <c r="B37" s="227" t="s">
        <v>313</v>
      </c>
      <c r="C37" s="272" t="s">
        <v>1</v>
      </c>
      <c r="D37" s="284"/>
      <c r="E37" s="218">
        <v>8000</v>
      </c>
      <c r="F37" s="218"/>
      <c r="G37" s="218"/>
      <c r="H37" s="218"/>
      <c r="I37" s="218"/>
      <c r="J37" s="219">
        <f t="shared" si="6"/>
        <v>8000</v>
      </c>
      <c r="K37" s="219">
        <v>8000</v>
      </c>
      <c r="L37" s="219"/>
      <c r="M37" s="219"/>
      <c r="N37" s="219"/>
      <c r="O37" s="219"/>
      <c r="P37" s="219">
        <f t="shared" si="26"/>
        <v>8000</v>
      </c>
      <c r="Q37" s="218">
        <v>8000</v>
      </c>
      <c r="R37" s="218"/>
      <c r="S37" s="218"/>
      <c r="T37" s="218"/>
      <c r="U37" s="218"/>
      <c r="V37" s="219">
        <f t="shared" si="27"/>
        <v>8000</v>
      </c>
      <c r="W37" s="218">
        <v>8000</v>
      </c>
      <c r="X37" s="218"/>
      <c r="Y37" s="218"/>
      <c r="Z37" s="218"/>
      <c r="AA37" s="218"/>
      <c r="AB37" s="218">
        <f t="shared" si="28"/>
        <v>8000</v>
      </c>
      <c r="AC37" s="216">
        <f t="shared" si="4"/>
        <v>32000</v>
      </c>
      <c r="AD37" s="216">
        <f t="shared" si="5"/>
        <v>32000</v>
      </c>
    </row>
    <row r="38" spans="1:96" ht="93" customHeight="1" x14ac:dyDescent="0.25">
      <c r="A38" s="294"/>
      <c r="B38" s="227" t="s">
        <v>314</v>
      </c>
      <c r="C38" s="271" t="s">
        <v>13</v>
      </c>
      <c r="D38" s="284"/>
      <c r="E38" s="218"/>
      <c r="F38" s="218"/>
      <c r="G38" s="218"/>
      <c r="H38" s="218"/>
      <c r="I38" s="218">
        <v>9433</v>
      </c>
      <c r="J38" s="219">
        <f t="shared" si="6"/>
        <v>9433</v>
      </c>
      <c r="K38" s="219"/>
      <c r="L38" s="219"/>
      <c r="M38" s="219"/>
      <c r="N38" s="219"/>
      <c r="O38" s="219">
        <v>9500</v>
      </c>
      <c r="P38" s="219">
        <f t="shared" si="26"/>
        <v>9500</v>
      </c>
      <c r="Q38" s="218"/>
      <c r="R38" s="218"/>
      <c r="S38" s="218"/>
      <c r="T38" s="218"/>
      <c r="U38" s="218">
        <v>9800</v>
      </c>
      <c r="V38" s="219">
        <f t="shared" si="27"/>
        <v>9800</v>
      </c>
      <c r="W38" s="218"/>
      <c r="X38" s="218"/>
      <c r="Y38" s="218"/>
      <c r="Z38" s="218"/>
      <c r="AA38" s="218">
        <v>10000</v>
      </c>
      <c r="AB38" s="218">
        <f t="shared" si="28"/>
        <v>10000</v>
      </c>
      <c r="AC38" s="216">
        <f t="shared" si="4"/>
        <v>0</v>
      </c>
      <c r="AD38" s="216">
        <f t="shared" si="5"/>
        <v>38733</v>
      </c>
    </row>
    <row r="39" spans="1:96" ht="101.25" x14ac:dyDescent="0.25">
      <c r="A39" s="294"/>
      <c r="B39" s="227" t="s">
        <v>315</v>
      </c>
      <c r="C39" s="271"/>
      <c r="D39" s="284"/>
      <c r="E39" s="219">
        <f>134600+14750</f>
        <v>149350</v>
      </c>
      <c r="F39" s="218"/>
      <c r="G39" s="218"/>
      <c r="H39" s="218"/>
      <c r="I39" s="218"/>
      <c r="J39" s="219">
        <f t="shared" si="6"/>
        <v>149350</v>
      </c>
      <c r="K39" s="219"/>
      <c r="L39" s="219"/>
      <c r="M39" s="219"/>
      <c r="N39" s="219"/>
      <c r="O39" s="219"/>
      <c r="P39" s="219">
        <f t="shared" si="26"/>
        <v>0</v>
      </c>
      <c r="Q39" s="218"/>
      <c r="R39" s="218"/>
      <c r="S39" s="218"/>
      <c r="T39" s="218"/>
      <c r="U39" s="218"/>
      <c r="V39" s="219">
        <f t="shared" si="27"/>
        <v>0</v>
      </c>
      <c r="W39" s="218"/>
      <c r="X39" s="218"/>
      <c r="Y39" s="218"/>
      <c r="Z39" s="218"/>
      <c r="AA39" s="218"/>
      <c r="AB39" s="218">
        <f t="shared" si="28"/>
        <v>0</v>
      </c>
      <c r="AC39" s="216">
        <f t="shared" si="4"/>
        <v>149350</v>
      </c>
      <c r="AD39" s="216">
        <f t="shared" si="5"/>
        <v>149350</v>
      </c>
    </row>
    <row r="40" spans="1:96" ht="37.5" customHeight="1" x14ac:dyDescent="0.25">
      <c r="A40" s="294"/>
      <c r="B40" s="227" t="s">
        <v>316</v>
      </c>
      <c r="C40" s="271" t="s">
        <v>21</v>
      </c>
      <c r="D40" s="285"/>
      <c r="E40" s="218">
        <v>82540</v>
      </c>
      <c r="F40" s="218"/>
      <c r="G40" s="218"/>
      <c r="H40" s="218"/>
      <c r="I40" s="218"/>
      <c r="J40" s="219">
        <f t="shared" si="6"/>
        <v>82540</v>
      </c>
      <c r="K40" s="219">
        <v>93900</v>
      </c>
      <c r="L40" s="219"/>
      <c r="M40" s="219"/>
      <c r="N40" s="219"/>
      <c r="O40" s="219"/>
      <c r="P40" s="219">
        <f t="shared" si="26"/>
        <v>93900</v>
      </c>
      <c r="Q40" s="218">
        <v>98400</v>
      </c>
      <c r="R40" s="218"/>
      <c r="S40" s="218"/>
      <c r="T40" s="218"/>
      <c r="U40" s="218"/>
      <c r="V40" s="219">
        <f t="shared" si="27"/>
        <v>98400</v>
      </c>
      <c r="W40" s="218">
        <v>98400</v>
      </c>
      <c r="X40" s="218"/>
      <c r="Y40" s="218"/>
      <c r="Z40" s="218"/>
      <c r="AA40" s="218"/>
      <c r="AB40" s="218">
        <f t="shared" si="28"/>
        <v>98400</v>
      </c>
      <c r="AC40" s="216">
        <f t="shared" si="4"/>
        <v>373240</v>
      </c>
      <c r="AD40" s="216">
        <f t="shared" si="5"/>
        <v>373240</v>
      </c>
    </row>
    <row r="41" spans="1:96" x14ac:dyDescent="0.25">
      <c r="A41" s="294" t="s">
        <v>221</v>
      </c>
      <c r="B41" s="214"/>
      <c r="C41" s="214"/>
      <c r="D41" s="275"/>
      <c r="E41" s="216">
        <f>SUM(E42:E43)</f>
        <v>64781</v>
      </c>
      <c r="F41" s="216">
        <f>SUM(F42:F43)</f>
        <v>192005</v>
      </c>
      <c r="G41" s="216">
        <f>SUM(G42:G43)</f>
        <v>0</v>
      </c>
      <c r="H41" s="216">
        <f>SUM(H42:H43)</f>
        <v>0</v>
      </c>
      <c r="I41" s="216">
        <f>SUM(I42:I43)</f>
        <v>0</v>
      </c>
      <c r="J41" s="216">
        <f t="shared" si="6"/>
        <v>256786</v>
      </c>
      <c r="K41" s="216">
        <f>SUM(K42:K43)</f>
        <v>79574</v>
      </c>
      <c r="L41" s="216">
        <f t="shared" ref="L41:O41" si="37">SUM(L42:L43)</f>
        <v>334893</v>
      </c>
      <c r="M41" s="216">
        <f t="shared" si="37"/>
        <v>0</v>
      </c>
      <c r="N41" s="216"/>
      <c r="O41" s="216">
        <f t="shared" si="37"/>
        <v>0</v>
      </c>
      <c r="P41" s="216">
        <f t="shared" si="26"/>
        <v>414467</v>
      </c>
      <c r="Q41" s="216">
        <f>SUM(Q42:Q43)</f>
        <v>28627</v>
      </c>
      <c r="R41" s="216">
        <f>SUM(R42:R43)</f>
        <v>39743</v>
      </c>
      <c r="S41" s="216">
        <f t="shared" ref="S41:U41" si="38">SUM(S42:S43)</f>
        <v>0</v>
      </c>
      <c r="T41" s="216"/>
      <c r="U41" s="216">
        <f t="shared" si="38"/>
        <v>0</v>
      </c>
      <c r="V41" s="216">
        <f>SUM(Q41:U41)</f>
        <v>68370</v>
      </c>
      <c r="W41" s="216">
        <f>SUM(W42:W43)</f>
        <v>34829</v>
      </c>
      <c r="X41" s="216">
        <f>SUM(X42:X43)</f>
        <v>68001</v>
      </c>
      <c r="Y41" s="216">
        <f t="shared" ref="Y41:AA41" si="39">SUM(Y42:Y43)</f>
        <v>0</v>
      </c>
      <c r="Z41" s="216"/>
      <c r="AA41" s="216">
        <f t="shared" si="39"/>
        <v>0</v>
      </c>
      <c r="AB41" s="216">
        <f t="shared" si="28"/>
        <v>102830</v>
      </c>
      <c r="AC41" s="216">
        <f t="shared" si="4"/>
        <v>207811</v>
      </c>
      <c r="AD41" s="216">
        <f t="shared" si="5"/>
        <v>842453</v>
      </c>
    </row>
    <row r="42" spans="1:96" ht="72.75" customHeight="1" x14ac:dyDescent="0.25">
      <c r="A42" s="294"/>
      <c r="B42" s="227" t="s">
        <v>317</v>
      </c>
      <c r="C42" s="271" t="s">
        <v>772</v>
      </c>
      <c r="D42" s="301" t="s">
        <v>730</v>
      </c>
      <c r="E42" s="249">
        <v>41600</v>
      </c>
      <c r="F42" s="249">
        <v>123400</v>
      </c>
      <c r="G42" s="219"/>
      <c r="H42" s="219"/>
      <c r="I42" s="219"/>
      <c r="J42" s="219">
        <f t="shared" si="6"/>
        <v>165000</v>
      </c>
      <c r="K42" s="219">
        <v>60338</v>
      </c>
      <c r="L42" s="219">
        <v>244663</v>
      </c>
      <c r="M42" s="219"/>
      <c r="N42" s="219"/>
      <c r="O42" s="219"/>
      <c r="P42" s="219">
        <f t="shared" si="26"/>
        <v>305001</v>
      </c>
      <c r="Q42" s="219">
        <v>21000</v>
      </c>
      <c r="R42" s="219">
        <v>5000</v>
      </c>
      <c r="S42" s="219"/>
      <c r="T42" s="219"/>
      <c r="U42" s="219"/>
      <c r="V42" s="219">
        <f t="shared" si="27"/>
        <v>26000</v>
      </c>
      <c r="W42" s="218">
        <v>21000</v>
      </c>
      <c r="X42" s="218">
        <v>5000</v>
      </c>
      <c r="Y42" s="218"/>
      <c r="Z42" s="218"/>
      <c r="AA42" s="218"/>
      <c r="AB42" s="218">
        <f t="shared" si="28"/>
        <v>26000</v>
      </c>
      <c r="AC42" s="216">
        <f t="shared" si="4"/>
        <v>143938</v>
      </c>
      <c r="AD42" s="216">
        <f t="shared" si="5"/>
        <v>522001</v>
      </c>
    </row>
    <row r="43" spans="1:96" ht="58.5" customHeight="1" x14ac:dyDescent="0.25">
      <c r="A43" s="294"/>
      <c r="B43" s="227" t="s">
        <v>318</v>
      </c>
      <c r="C43" s="271" t="s">
        <v>61</v>
      </c>
      <c r="D43" s="302"/>
      <c r="E43" s="219">
        <f>23181</f>
        <v>23181</v>
      </c>
      <c r="F43" s="219">
        <f>64605+4000</f>
        <v>68605</v>
      </c>
      <c r="G43" s="219"/>
      <c r="H43" s="219"/>
      <c r="I43" s="219"/>
      <c r="J43" s="219">
        <f t="shared" si="6"/>
        <v>91786</v>
      </c>
      <c r="K43" s="219">
        <f>28236-9000</f>
        <v>19236</v>
      </c>
      <c r="L43" s="219">
        <v>90230</v>
      </c>
      <c r="M43" s="219"/>
      <c r="N43" s="219"/>
      <c r="O43" s="219"/>
      <c r="P43" s="219">
        <f t="shared" si="26"/>
        <v>109466</v>
      </c>
      <c r="Q43" s="219">
        <f>17627-10000</f>
        <v>7627</v>
      </c>
      <c r="R43" s="219">
        <v>34743</v>
      </c>
      <c r="S43" s="219"/>
      <c r="T43" s="219"/>
      <c r="U43" s="219"/>
      <c r="V43" s="219">
        <f t="shared" si="27"/>
        <v>42370</v>
      </c>
      <c r="W43" s="218">
        <f>18829-5000</f>
        <v>13829</v>
      </c>
      <c r="X43" s="218">
        <v>63001</v>
      </c>
      <c r="Y43" s="218"/>
      <c r="Z43" s="218"/>
      <c r="AA43" s="218"/>
      <c r="AB43" s="218">
        <f t="shared" si="28"/>
        <v>76830</v>
      </c>
      <c r="AC43" s="216">
        <f t="shared" si="4"/>
        <v>63873</v>
      </c>
      <c r="AD43" s="216">
        <f t="shared" si="5"/>
        <v>320452</v>
      </c>
    </row>
    <row r="44" spans="1:96" x14ac:dyDescent="0.25">
      <c r="A44" s="294" t="s">
        <v>291</v>
      </c>
      <c r="B44" s="214"/>
      <c r="C44" s="214"/>
      <c r="D44" s="275"/>
      <c r="E44" s="216">
        <f>SUM(E45:E48)</f>
        <v>24630</v>
      </c>
      <c r="F44" s="216">
        <f>SUM(F45:F48)</f>
        <v>0</v>
      </c>
      <c r="G44" s="216">
        <f>SUM(G45:G48)</f>
        <v>0</v>
      </c>
      <c r="H44" s="216">
        <f>SUM(H45:H48)</f>
        <v>0</v>
      </c>
      <c r="I44" s="216">
        <f>SUM(I45:I48)</f>
        <v>5829</v>
      </c>
      <c r="J44" s="216">
        <f>SUM(E44:I44)</f>
        <v>30459</v>
      </c>
      <c r="K44" s="216">
        <f>SUM(K45:K48)</f>
        <v>30007</v>
      </c>
      <c r="L44" s="216">
        <f>SUM(L45:L48)</f>
        <v>0</v>
      </c>
      <c r="M44" s="216">
        <f>SUM(M45:M48)</f>
        <v>0</v>
      </c>
      <c r="N44" s="216"/>
      <c r="O44" s="216">
        <f>SUM(O45:O48)</f>
        <v>0</v>
      </c>
      <c r="P44" s="216">
        <f t="shared" si="26"/>
        <v>30007</v>
      </c>
      <c r="Q44" s="216">
        <f>SUM(Q45:Q48)</f>
        <v>30147</v>
      </c>
      <c r="R44" s="216">
        <f>SUM(R45:R48)</f>
        <v>0</v>
      </c>
      <c r="S44" s="216">
        <f>SUM(S45:S48)</f>
        <v>0</v>
      </c>
      <c r="T44" s="216"/>
      <c r="U44" s="216">
        <f>SUM(U45:U48)</f>
        <v>0</v>
      </c>
      <c r="V44" s="216">
        <f>SUM(Q44:U44)</f>
        <v>30147</v>
      </c>
      <c r="W44" s="216">
        <f>SUM(W45:W48)</f>
        <v>30347</v>
      </c>
      <c r="X44" s="216">
        <f>SUM(X45:X48)</f>
        <v>0</v>
      </c>
      <c r="Y44" s="216">
        <f>SUM(Y45:Y48)</f>
        <v>0</v>
      </c>
      <c r="Z44" s="216"/>
      <c r="AA44" s="216">
        <f>SUM(AA45:AA48)</f>
        <v>0</v>
      </c>
      <c r="AB44" s="216">
        <f t="shared" si="28"/>
        <v>30347</v>
      </c>
      <c r="AC44" s="216">
        <f t="shared" si="4"/>
        <v>115131</v>
      </c>
      <c r="AD44" s="216">
        <f t="shared" si="5"/>
        <v>120960</v>
      </c>
    </row>
    <row r="45" spans="1:96" ht="45" x14ac:dyDescent="0.25">
      <c r="A45" s="294"/>
      <c r="B45" s="217" t="s">
        <v>604</v>
      </c>
      <c r="C45" s="271" t="s">
        <v>22</v>
      </c>
      <c r="D45" s="283" t="s">
        <v>731</v>
      </c>
      <c r="E45" s="219">
        <f>22001-2795</f>
        <v>19206</v>
      </c>
      <c r="F45" s="219"/>
      <c r="G45" s="219"/>
      <c r="H45" s="219"/>
      <c r="I45" s="219">
        <v>5829</v>
      </c>
      <c r="J45" s="219">
        <f t="shared" si="6"/>
        <v>25035</v>
      </c>
      <c r="K45" s="219">
        <v>20795</v>
      </c>
      <c r="L45" s="219"/>
      <c r="M45" s="219"/>
      <c r="N45" s="219"/>
      <c r="O45" s="219"/>
      <c r="P45" s="219">
        <f t="shared" si="26"/>
        <v>20795</v>
      </c>
      <c r="Q45" s="219">
        <v>20935</v>
      </c>
      <c r="R45" s="219"/>
      <c r="S45" s="219"/>
      <c r="T45" s="219"/>
      <c r="U45" s="219"/>
      <c r="V45" s="219">
        <f t="shared" si="27"/>
        <v>20935</v>
      </c>
      <c r="W45" s="218">
        <v>21135</v>
      </c>
      <c r="X45" s="218"/>
      <c r="Y45" s="218"/>
      <c r="Z45" s="218"/>
      <c r="AA45" s="218"/>
      <c r="AB45" s="218">
        <f t="shared" si="28"/>
        <v>21135</v>
      </c>
      <c r="AC45" s="216">
        <f t="shared" si="4"/>
        <v>82071</v>
      </c>
      <c r="AD45" s="216">
        <f t="shared" si="5"/>
        <v>87900</v>
      </c>
    </row>
    <row r="46" spans="1:96" ht="51.6" customHeight="1" x14ac:dyDescent="0.25">
      <c r="A46" s="294"/>
      <c r="B46" s="217" t="s">
        <v>605</v>
      </c>
      <c r="C46" s="271" t="s">
        <v>23</v>
      </c>
      <c r="D46" s="284"/>
      <c r="E46" s="219">
        <v>3904</v>
      </c>
      <c r="F46" s="233"/>
      <c r="G46" s="233"/>
      <c r="H46" s="233"/>
      <c r="I46" s="219"/>
      <c r="J46" s="219">
        <f t="shared" si="6"/>
        <v>3904</v>
      </c>
      <c r="K46" s="219">
        <v>7695</v>
      </c>
      <c r="L46" s="219"/>
      <c r="M46" s="219"/>
      <c r="N46" s="219"/>
      <c r="O46" s="219"/>
      <c r="P46" s="219">
        <f t="shared" si="26"/>
        <v>7695</v>
      </c>
      <c r="Q46" s="219">
        <v>7695</v>
      </c>
      <c r="R46" s="219"/>
      <c r="S46" s="219"/>
      <c r="T46" s="219"/>
      <c r="U46" s="219"/>
      <c r="V46" s="219">
        <f t="shared" si="27"/>
        <v>7695</v>
      </c>
      <c r="W46" s="218">
        <v>7695</v>
      </c>
      <c r="X46" s="218"/>
      <c r="Y46" s="218"/>
      <c r="Z46" s="218"/>
      <c r="AA46" s="218"/>
      <c r="AB46" s="218">
        <f t="shared" si="28"/>
        <v>7695</v>
      </c>
      <c r="AC46" s="216">
        <f t="shared" si="4"/>
        <v>26989</v>
      </c>
      <c r="AD46" s="216">
        <f t="shared" si="5"/>
        <v>26989</v>
      </c>
    </row>
    <row r="47" spans="1:96" ht="56.25" x14ac:dyDescent="0.25">
      <c r="A47" s="294"/>
      <c r="B47" s="226" t="s">
        <v>606</v>
      </c>
      <c r="C47" s="270" t="s">
        <v>759</v>
      </c>
      <c r="D47" s="284"/>
      <c r="E47" s="223"/>
      <c r="F47" s="223"/>
      <c r="G47" s="223"/>
      <c r="H47" s="223"/>
      <c r="I47" s="223"/>
      <c r="J47" s="223"/>
      <c r="K47" s="234"/>
      <c r="L47" s="223"/>
      <c r="M47" s="223"/>
      <c r="N47" s="223"/>
      <c r="O47" s="223"/>
      <c r="P47" s="223">
        <f t="shared" ref="P47:P48" si="40">SUM(K47:O47)</f>
        <v>0</v>
      </c>
      <c r="Q47" s="234"/>
      <c r="R47" s="223"/>
      <c r="S47" s="223"/>
      <c r="T47" s="223"/>
      <c r="U47" s="223"/>
      <c r="V47" s="223">
        <f t="shared" si="27"/>
        <v>0</v>
      </c>
      <c r="W47" s="234"/>
      <c r="X47" s="222"/>
      <c r="Y47" s="222"/>
      <c r="Z47" s="222"/>
      <c r="AA47" s="222"/>
      <c r="AB47" s="218">
        <f t="shared" si="28"/>
        <v>0</v>
      </c>
      <c r="AC47" s="216">
        <f t="shared" si="4"/>
        <v>0</v>
      </c>
      <c r="AD47" s="216">
        <f t="shared" si="5"/>
        <v>0</v>
      </c>
    </row>
    <row r="48" spans="1:96" ht="101.25" x14ac:dyDescent="0.25">
      <c r="A48" s="294"/>
      <c r="B48" s="217" t="s">
        <v>607</v>
      </c>
      <c r="C48" s="271" t="s">
        <v>215</v>
      </c>
      <c r="D48" s="285"/>
      <c r="E48" s="223">
        <v>1520</v>
      </c>
      <c r="F48" s="223"/>
      <c r="G48" s="223"/>
      <c r="H48" s="223"/>
      <c r="I48" s="223"/>
      <c r="J48" s="223">
        <f t="shared" ref="J48" si="41">SUM(E48:I48)</f>
        <v>1520</v>
      </c>
      <c r="K48" s="223">
        <v>1517</v>
      </c>
      <c r="L48" s="223"/>
      <c r="M48" s="223"/>
      <c r="N48" s="223"/>
      <c r="O48" s="223"/>
      <c r="P48" s="223">
        <f t="shared" si="40"/>
        <v>1517</v>
      </c>
      <c r="Q48" s="223">
        <v>1517</v>
      </c>
      <c r="R48" s="223"/>
      <c r="S48" s="223"/>
      <c r="T48" s="223"/>
      <c r="U48" s="223"/>
      <c r="V48" s="223">
        <f t="shared" si="27"/>
        <v>1517</v>
      </c>
      <c r="W48" s="222">
        <v>1517</v>
      </c>
      <c r="X48" s="222"/>
      <c r="Y48" s="222"/>
      <c r="Z48" s="222"/>
      <c r="AA48" s="222"/>
      <c r="AB48" s="218">
        <f t="shared" si="28"/>
        <v>1517</v>
      </c>
      <c r="AC48" s="216">
        <f t="shared" si="4"/>
        <v>6071</v>
      </c>
      <c r="AD48" s="216">
        <f t="shared" si="5"/>
        <v>6071</v>
      </c>
    </row>
    <row r="49" spans="1:114" x14ac:dyDescent="0.25">
      <c r="A49" s="294" t="s">
        <v>712</v>
      </c>
      <c r="B49" s="214"/>
      <c r="C49" s="214"/>
      <c r="D49" s="276"/>
      <c r="E49" s="216">
        <f>SUM(E50:E54)</f>
        <v>1668</v>
      </c>
      <c r="F49" s="216">
        <f>SUM(F50:F54)</f>
        <v>9580</v>
      </c>
      <c r="G49" s="216">
        <f>SUM(G50:G54)</f>
        <v>0</v>
      </c>
      <c r="H49" s="216"/>
      <c r="I49" s="216">
        <f>SUM(I50:I54)</f>
        <v>0</v>
      </c>
      <c r="J49" s="216">
        <f t="shared" si="6"/>
        <v>11248</v>
      </c>
      <c r="K49" s="216">
        <f>SUM(K50:K54)</f>
        <v>875</v>
      </c>
      <c r="L49" s="216">
        <f>SUM(L50:L54)</f>
        <v>7490</v>
      </c>
      <c r="M49" s="216">
        <f>SUM(M50:M54)</f>
        <v>0</v>
      </c>
      <c r="N49" s="216"/>
      <c r="O49" s="216">
        <f>SUM(O50:O54)</f>
        <v>0</v>
      </c>
      <c r="P49" s="216">
        <f>SUM(K49:O49)</f>
        <v>8365</v>
      </c>
      <c r="Q49" s="216">
        <f>SUM(Q50:Q54)</f>
        <v>750</v>
      </c>
      <c r="R49" s="216">
        <f>SUM(R50:R54)</f>
        <v>6000</v>
      </c>
      <c r="S49" s="216">
        <f>SUM(S50:S54)</f>
        <v>0</v>
      </c>
      <c r="T49" s="216"/>
      <c r="U49" s="216">
        <f>SUM(U50:U54)</f>
        <v>0</v>
      </c>
      <c r="V49" s="216">
        <f>SUM(Q49:U49)</f>
        <v>6750</v>
      </c>
      <c r="W49" s="216">
        <f>SUM(W50:W54)</f>
        <v>5450</v>
      </c>
      <c r="X49" s="216">
        <f>SUM(X50:X54)</f>
        <v>6000</v>
      </c>
      <c r="Y49" s="216">
        <f>SUM(Y50:Y54)</f>
        <v>0</v>
      </c>
      <c r="Z49" s="216"/>
      <c r="AA49" s="216">
        <f>SUM(AA50:AA54)</f>
        <v>0</v>
      </c>
      <c r="AB49" s="216">
        <f>SUM(W49:AA49)</f>
        <v>11450</v>
      </c>
      <c r="AC49" s="216">
        <f t="shared" si="4"/>
        <v>8743</v>
      </c>
      <c r="AD49" s="216">
        <f t="shared" si="5"/>
        <v>37813</v>
      </c>
    </row>
    <row r="50" spans="1:114" ht="33.75" x14ac:dyDescent="0.25">
      <c r="A50" s="294"/>
      <c r="B50" s="217" t="s">
        <v>319</v>
      </c>
      <c r="C50" s="270" t="s">
        <v>52</v>
      </c>
      <c r="D50" s="283" t="s">
        <v>732</v>
      </c>
      <c r="E50" s="219">
        <v>100</v>
      </c>
      <c r="F50" s="219"/>
      <c r="G50" s="219"/>
      <c r="H50" s="219"/>
      <c r="I50" s="219"/>
      <c r="J50" s="219">
        <f t="shared" si="6"/>
        <v>100</v>
      </c>
      <c r="K50" s="219">
        <v>150</v>
      </c>
      <c r="L50" s="219"/>
      <c r="M50" s="219"/>
      <c r="N50" s="219"/>
      <c r="O50" s="219"/>
      <c r="P50" s="219">
        <f t="shared" si="26"/>
        <v>150</v>
      </c>
      <c r="Q50" s="219">
        <v>150</v>
      </c>
      <c r="R50" s="219"/>
      <c r="S50" s="219"/>
      <c r="T50" s="219"/>
      <c r="U50" s="219"/>
      <c r="V50" s="219">
        <f t="shared" si="27"/>
        <v>150</v>
      </c>
      <c r="W50" s="218">
        <v>150</v>
      </c>
      <c r="X50" s="218"/>
      <c r="Y50" s="218"/>
      <c r="Z50" s="218"/>
      <c r="AA50" s="218"/>
      <c r="AB50" s="218">
        <f t="shared" si="28"/>
        <v>150</v>
      </c>
      <c r="AC50" s="216">
        <f t="shared" si="4"/>
        <v>550</v>
      </c>
      <c r="AD50" s="216">
        <f t="shared" si="5"/>
        <v>550</v>
      </c>
    </row>
    <row r="51" spans="1:114" ht="33.75" x14ac:dyDescent="0.25">
      <c r="A51" s="294"/>
      <c r="B51" s="217" t="s">
        <v>320</v>
      </c>
      <c r="C51" s="271" t="s">
        <v>208</v>
      </c>
      <c r="D51" s="284"/>
      <c r="E51" s="219">
        <f>6250-4700-100</f>
        <v>1450</v>
      </c>
      <c r="F51" s="219">
        <f>8393-1223</f>
        <v>7170</v>
      </c>
      <c r="G51" s="219"/>
      <c r="H51" s="219"/>
      <c r="I51" s="219"/>
      <c r="J51" s="219">
        <f t="shared" si="6"/>
        <v>8620</v>
      </c>
      <c r="K51" s="219">
        <v>600</v>
      </c>
      <c r="L51" s="219">
        <v>6000</v>
      </c>
      <c r="M51" s="219"/>
      <c r="N51" s="219"/>
      <c r="O51" s="219"/>
      <c r="P51" s="219">
        <f t="shared" si="26"/>
        <v>6600</v>
      </c>
      <c r="Q51" s="219">
        <v>600</v>
      </c>
      <c r="R51" s="219">
        <v>6000</v>
      </c>
      <c r="S51" s="219"/>
      <c r="T51" s="219"/>
      <c r="U51" s="219"/>
      <c r="V51" s="219">
        <f t="shared" si="27"/>
        <v>6600</v>
      </c>
      <c r="W51" s="218">
        <v>5300</v>
      </c>
      <c r="X51" s="218">
        <v>6000</v>
      </c>
      <c r="Y51" s="218"/>
      <c r="Z51" s="218"/>
      <c r="AA51" s="218"/>
      <c r="AB51" s="218">
        <f t="shared" si="28"/>
        <v>11300</v>
      </c>
      <c r="AC51" s="216">
        <f t="shared" si="4"/>
        <v>7950</v>
      </c>
      <c r="AD51" s="216">
        <f t="shared" si="5"/>
        <v>33120</v>
      </c>
    </row>
    <row r="52" spans="1:114" ht="105.75" customHeight="1" x14ac:dyDescent="0.25">
      <c r="A52" s="294"/>
      <c r="B52" s="217" t="s">
        <v>593</v>
      </c>
      <c r="C52" s="271" t="s">
        <v>760</v>
      </c>
      <c r="D52" s="284"/>
      <c r="E52" s="219">
        <v>0</v>
      </c>
      <c r="F52" s="219">
        <v>1087</v>
      </c>
      <c r="G52" s="219">
        <v>0</v>
      </c>
      <c r="H52" s="219"/>
      <c r="I52" s="219">
        <v>0</v>
      </c>
      <c r="J52" s="219">
        <f t="shared" si="6"/>
        <v>1087</v>
      </c>
      <c r="K52" s="219">
        <v>0</v>
      </c>
      <c r="L52" s="219">
        <v>143</v>
      </c>
      <c r="M52" s="219">
        <v>0</v>
      </c>
      <c r="N52" s="219"/>
      <c r="O52" s="219">
        <v>0</v>
      </c>
      <c r="P52" s="219">
        <f t="shared" ref="P52" si="42">SUM(K52:O52)</f>
        <v>143</v>
      </c>
      <c r="Q52" s="219">
        <v>0</v>
      </c>
      <c r="R52" s="219">
        <v>0</v>
      </c>
      <c r="S52" s="219">
        <v>0</v>
      </c>
      <c r="T52" s="219"/>
      <c r="U52" s="219">
        <v>0</v>
      </c>
      <c r="V52" s="219">
        <f t="shared" ref="V52" si="43">SUM(Q52:U52)</f>
        <v>0</v>
      </c>
      <c r="W52" s="218">
        <v>0</v>
      </c>
      <c r="X52" s="218">
        <v>0</v>
      </c>
      <c r="Y52" s="218">
        <v>0</v>
      </c>
      <c r="Z52" s="218"/>
      <c r="AA52" s="218">
        <v>0</v>
      </c>
      <c r="AB52" s="218">
        <f t="shared" ref="AB52" si="44">W52+X52+Y52+AA52</f>
        <v>0</v>
      </c>
      <c r="AC52" s="216">
        <f t="shared" si="4"/>
        <v>0</v>
      </c>
      <c r="AD52" s="216">
        <f t="shared" si="5"/>
        <v>1230</v>
      </c>
    </row>
    <row r="53" spans="1:114" ht="96" customHeight="1" x14ac:dyDescent="0.25">
      <c r="A53" s="294"/>
      <c r="B53" s="217" t="s">
        <v>594</v>
      </c>
      <c r="C53" s="271" t="s">
        <v>760</v>
      </c>
      <c r="D53" s="284"/>
      <c r="E53" s="219">
        <v>18</v>
      </c>
      <c r="F53" s="219">
        <v>100</v>
      </c>
      <c r="G53" s="219">
        <v>0</v>
      </c>
      <c r="H53" s="219"/>
      <c r="I53" s="219">
        <v>0</v>
      </c>
      <c r="J53" s="219">
        <f t="shared" ref="J53" si="45">SUM(E53:I53)</f>
        <v>118</v>
      </c>
      <c r="K53" s="219">
        <v>0</v>
      </c>
      <c r="L53" s="219">
        <v>0</v>
      </c>
      <c r="M53" s="219">
        <v>0</v>
      </c>
      <c r="N53" s="219"/>
      <c r="O53" s="219">
        <v>0</v>
      </c>
      <c r="P53" s="219">
        <f t="shared" ref="P53" si="46">SUM(K53:O53)</f>
        <v>0</v>
      </c>
      <c r="Q53" s="219">
        <v>0</v>
      </c>
      <c r="R53" s="219">
        <v>0</v>
      </c>
      <c r="S53" s="219">
        <v>0</v>
      </c>
      <c r="T53" s="219"/>
      <c r="U53" s="219">
        <v>0</v>
      </c>
      <c r="V53" s="219">
        <f t="shared" ref="V53" si="47">SUM(Q53:U53)</f>
        <v>0</v>
      </c>
      <c r="W53" s="218">
        <v>0</v>
      </c>
      <c r="X53" s="218">
        <v>0</v>
      </c>
      <c r="Y53" s="218">
        <v>0</v>
      </c>
      <c r="Z53" s="218"/>
      <c r="AA53" s="218">
        <v>0</v>
      </c>
      <c r="AB53" s="218">
        <f t="shared" ref="AB53" si="48">W53+X53+Y53+AA53</f>
        <v>0</v>
      </c>
      <c r="AC53" s="216">
        <f t="shared" si="4"/>
        <v>18</v>
      </c>
      <c r="AD53" s="216">
        <f t="shared" si="5"/>
        <v>118</v>
      </c>
    </row>
    <row r="54" spans="1:114" ht="33.75" x14ac:dyDescent="0.25">
      <c r="A54" s="294"/>
      <c r="B54" s="217" t="s">
        <v>592</v>
      </c>
      <c r="C54" s="271" t="s">
        <v>28</v>
      </c>
      <c r="D54" s="285"/>
      <c r="E54" s="219">
        <v>100</v>
      </c>
      <c r="F54" s="219">
        <v>1223</v>
      </c>
      <c r="G54" s="219"/>
      <c r="H54" s="219"/>
      <c r="I54" s="219"/>
      <c r="J54" s="219">
        <f t="shared" si="6"/>
        <v>1323</v>
      </c>
      <c r="K54" s="219">
        <v>125</v>
      </c>
      <c r="L54" s="219">
        <v>1347</v>
      </c>
      <c r="M54" s="219"/>
      <c r="N54" s="219"/>
      <c r="O54" s="219"/>
      <c r="P54" s="219">
        <f t="shared" si="26"/>
        <v>1472</v>
      </c>
      <c r="Q54" s="219"/>
      <c r="R54" s="219"/>
      <c r="S54" s="219"/>
      <c r="T54" s="219"/>
      <c r="U54" s="219"/>
      <c r="V54" s="219">
        <f t="shared" si="27"/>
        <v>0</v>
      </c>
      <c r="W54" s="218"/>
      <c r="X54" s="218"/>
      <c r="Y54" s="218"/>
      <c r="Z54" s="218"/>
      <c r="AA54" s="218"/>
      <c r="AB54" s="218">
        <f t="shared" si="28"/>
        <v>0</v>
      </c>
      <c r="AC54" s="216">
        <f t="shared" si="4"/>
        <v>225</v>
      </c>
      <c r="AD54" s="216">
        <f t="shared" si="5"/>
        <v>2795</v>
      </c>
    </row>
    <row r="55" spans="1:114" x14ac:dyDescent="0.25">
      <c r="A55" s="294" t="s">
        <v>222</v>
      </c>
      <c r="B55" s="214"/>
      <c r="C55" s="214"/>
      <c r="D55" s="276"/>
      <c r="E55" s="216">
        <f>SUM(E56:E60)</f>
        <v>64947</v>
      </c>
      <c r="F55" s="216">
        <f t="shared" ref="F55:I55" si="49">SUM(F56:F60)</f>
        <v>9460</v>
      </c>
      <c r="G55" s="216">
        <f t="shared" si="49"/>
        <v>0</v>
      </c>
      <c r="H55" s="216">
        <f t="shared" si="49"/>
        <v>150501</v>
      </c>
      <c r="I55" s="216">
        <f t="shared" si="49"/>
        <v>0</v>
      </c>
      <c r="J55" s="216">
        <f>SUM(E55:I55)</f>
        <v>224908</v>
      </c>
      <c r="K55" s="216">
        <f>SUM(K56:K60)</f>
        <v>0</v>
      </c>
      <c r="L55" s="216">
        <f t="shared" ref="L55:O55" si="50">SUM(L56:L60)</f>
        <v>0</v>
      </c>
      <c r="M55" s="216">
        <f t="shared" si="50"/>
        <v>0</v>
      </c>
      <c r="N55" s="216">
        <f t="shared" si="50"/>
        <v>0</v>
      </c>
      <c r="O55" s="216">
        <f t="shared" si="50"/>
        <v>0</v>
      </c>
      <c r="P55" s="216">
        <f>SUM(K55:O55)</f>
        <v>0</v>
      </c>
      <c r="Q55" s="216">
        <f>SUM(Q56:Q60)</f>
        <v>0</v>
      </c>
      <c r="R55" s="216">
        <f t="shared" ref="R55:U55" si="51">SUM(R56:R60)</f>
        <v>0</v>
      </c>
      <c r="S55" s="216">
        <f t="shared" si="51"/>
        <v>0</v>
      </c>
      <c r="T55" s="216">
        <f t="shared" si="51"/>
        <v>0</v>
      </c>
      <c r="U55" s="216">
        <f t="shared" si="51"/>
        <v>0</v>
      </c>
      <c r="V55" s="216">
        <f>SUM(Q55:U55)</f>
        <v>0</v>
      </c>
      <c r="W55" s="216">
        <f>SUM(W56:W60)</f>
        <v>0</v>
      </c>
      <c r="X55" s="216">
        <f t="shared" ref="X55:AA55" si="52">SUM(X56:X60)</f>
        <v>0</v>
      </c>
      <c r="Y55" s="216">
        <f t="shared" si="52"/>
        <v>0</v>
      </c>
      <c r="Z55" s="216">
        <f t="shared" si="52"/>
        <v>0</v>
      </c>
      <c r="AA55" s="216">
        <f t="shared" si="52"/>
        <v>0</v>
      </c>
      <c r="AB55" s="216">
        <f>SUM(W55:AA55)</f>
        <v>0</v>
      </c>
      <c r="AC55" s="216">
        <f t="shared" si="4"/>
        <v>64947</v>
      </c>
      <c r="AD55" s="216">
        <f>SUM(J55,P55,V55,AB55)</f>
        <v>224908</v>
      </c>
    </row>
    <row r="56" spans="1:114" ht="67.5" x14ac:dyDescent="0.25">
      <c r="A56" s="294"/>
      <c r="B56" s="217" t="s">
        <v>608</v>
      </c>
      <c r="C56" s="273" t="s">
        <v>773</v>
      </c>
      <c r="D56" s="283" t="s">
        <v>745</v>
      </c>
      <c r="E56" s="219">
        <f>10872</f>
        <v>10872</v>
      </c>
      <c r="F56" s="219"/>
      <c r="G56" s="219"/>
      <c r="H56" s="219"/>
      <c r="I56" s="219"/>
      <c r="J56" s="219">
        <f t="shared" si="6"/>
        <v>10872</v>
      </c>
      <c r="K56" s="219"/>
      <c r="L56" s="219"/>
      <c r="M56" s="219"/>
      <c r="N56" s="219"/>
      <c r="O56" s="219"/>
      <c r="P56" s="219">
        <f t="shared" si="26"/>
        <v>0</v>
      </c>
      <c r="Q56" s="219"/>
      <c r="R56" s="219"/>
      <c r="S56" s="219"/>
      <c r="T56" s="219"/>
      <c r="U56" s="219"/>
      <c r="V56" s="219">
        <f t="shared" si="27"/>
        <v>0</v>
      </c>
      <c r="W56" s="218"/>
      <c r="X56" s="218"/>
      <c r="Y56" s="218"/>
      <c r="Z56" s="218"/>
      <c r="AA56" s="218"/>
      <c r="AB56" s="218">
        <f t="shared" si="28"/>
        <v>0</v>
      </c>
      <c r="AC56" s="228">
        <f t="shared" si="4"/>
        <v>10872</v>
      </c>
      <c r="AD56" s="228">
        <f t="shared" si="5"/>
        <v>10872</v>
      </c>
    </row>
    <row r="57" spans="1:114" ht="84" customHeight="1" x14ac:dyDescent="0.25">
      <c r="A57" s="294"/>
      <c r="B57" s="217" t="s">
        <v>609</v>
      </c>
      <c r="C57" s="273" t="s">
        <v>770</v>
      </c>
      <c r="D57" s="284"/>
      <c r="E57" s="228"/>
      <c r="F57" s="219">
        <f>9100+360</f>
        <v>9460</v>
      </c>
      <c r="G57" s="219"/>
      <c r="H57" s="219"/>
      <c r="I57" s="219"/>
      <c r="J57" s="219">
        <f>SUM(F57:I57)</f>
        <v>9460</v>
      </c>
      <c r="K57" s="219"/>
      <c r="L57" s="219"/>
      <c r="M57" s="219"/>
      <c r="N57" s="219"/>
      <c r="O57" s="219"/>
      <c r="P57" s="219">
        <f t="shared" si="26"/>
        <v>0</v>
      </c>
      <c r="Q57" s="219"/>
      <c r="R57" s="219"/>
      <c r="S57" s="219"/>
      <c r="T57" s="219"/>
      <c r="U57" s="219"/>
      <c r="V57" s="219">
        <f t="shared" si="27"/>
        <v>0</v>
      </c>
      <c r="W57" s="218"/>
      <c r="X57" s="218"/>
      <c r="Y57" s="218"/>
      <c r="Z57" s="218"/>
      <c r="AA57" s="218"/>
      <c r="AB57" s="218">
        <f t="shared" si="28"/>
        <v>0</v>
      </c>
      <c r="AC57" s="228">
        <f t="shared" si="4"/>
        <v>0</v>
      </c>
      <c r="AD57" s="228">
        <f t="shared" si="5"/>
        <v>9460</v>
      </c>
    </row>
    <row r="58" spans="1:114" ht="146.25" x14ac:dyDescent="0.25">
      <c r="A58" s="294"/>
      <c r="B58" s="235" t="s">
        <v>610</v>
      </c>
      <c r="C58" s="270"/>
      <c r="D58" s="284"/>
      <c r="E58" s="219"/>
      <c r="F58" s="219"/>
      <c r="G58" s="219"/>
      <c r="H58" s="219">
        <f>62878</f>
        <v>62878</v>
      </c>
      <c r="I58" s="219"/>
      <c r="J58" s="219">
        <f t="shared" si="6"/>
        <v>62878</v>
      </c>
      <c r="K58" s="219"/>
      <c r="L58" s="219"/>
      <c r="M58" s="219"/>
      <c r="N58" s="219"/>
      <c r="O58" s="219"/>
      <c r="P58" s="219">
        <f t="shared" si="26"/>
        <v>0</v>
      </c>
      <c r="Q58" s="219"/>
      <c r="R58" s="219"/>
      <c r="S58" s="219"/>
      <c r="T58" s="219"/>
      <c r="U58" s="219"/>
      <c r="V58" s="219">
        <f t="shared" si="27"/>
        <v>0</v>
      </c>
      <c r="W58" s="218"/>
      <c r="X58" s="218"/>
      <c r="Y58" s="218"/>
      <c r="Z58" s="218"/>
      <c r="AA58" s="218"/>
      <c r="AB58" s="218">
        <f t="shared" si="28"/>
        <v>0</v>
      </c>
      <c r="AC58" s="228">
        <f t="shared" si="4"/>
        <v>0</v>
      </c>
      <c r="AD58" s="263">
        <f>SUM(J58,P58,V58,AB58)</f>
        <v>62878</v>
      </c>
    </row>
    <row r="59" spans="1:114" ht="78.75" x14ac:dyDescent="0.25">
      <c r="A59" s="294"/>
      <c r="B59" s="217" t="s">
        <v>611</v>
      </c>
      <c r="C59" s="273" t="s">
        <v>187</v>
      </c>
      <c r="D59" s="284"/>
      <c r="E59" s="219">
        <v>54075</v>
      </c>
      <c r="F59" s="219"/>
      <c r="G59" s="219"/>
      <c r="H59" s="219">
        <f>386+2197.6+1891.5+1893.2+58893.7</f>
        <v>65262</v>
      </c>
      <c r="I59" s="219"/>
      <c r="J59" s="219">
        <f t="shared" si="6"/>
        <v>119337</v>
      </c>
      <c r="K59" s="219"/>
      <c r="L59" s="219"/>
      <c r="M59" s="219"/>
      <c r="N59" s="219"/>
      <c r="O59" s="219"/>
      <c r="P59" s="219">
        <f t="shared" si="26"/>
        <v>0</v>
      </c>
      <c r="Q59" s="219"/>
      <c r="R59" s="219"/>
      <c r="S59" s="219"/>
      <c r="T59" s="219"/>
      <c r="U59" s="219"/>
      <c r="V59" s="219">
        <f t="shared" si="27"/>
        <v>0</v>
      </c>
      <c r="W59" s="218"/>
      <c r="X59" s="218"/>
      <c r="Y59" s="218"/>
      <c r="Z59" s="218"/>
      <c r="AA59" s="218"/>
      <c r="AB59" s="218">
        <f t="shared" si="28"/>
        <v>0</v>
      </c>
      <c r="AC59" s="228">
        <f t="shared" si="4"/>
        <v>54075</v>
      </c>
      <c r="AD59" s="228">
        <f t="shared" si="5"/>
        <v>119337</v>
      </c>
    </row>
    <row r="60" spans="1:114" ht="123.75" x14ac:dyDescent="0.25">
      <c r="A60" s="294"/>
      <c r="B60" s="217" t="s">
        <v>612</v>
      </c>
      <c r="C60" s="270" t="s">
        <v>774</v>
      </c>
      <c r="D60" s="285"/>
      <c r="E60" s="219"/>
      <c r="F60" s="219"/>
      <c r="G60" s="219"/>
      <c r="H60" s="219">
        <v>22361</v>
      </c>
      <c r="I60" s="219"/>
      <c r="J60" s="219">
        <f t="shared" si="6"/>
        <v>22361</v>
      </c>
      <c r="K60" s="219"/>
      <c r="L60" s="219"/>
      <c r="M60" s="219"/>
      <c r="N60" s="219"/>
      <c r="O60" s="219"/>
      <c r="P60" s="219">
        <f t="shared" si="26"/>
        <v>0</v>
      </c>
      <c r="Q60" s="219"/>
      <c r="R60" s="219"/>
      <c r="S60" s="219"/>
      <c r="T60" s="219"/>
      <c r="U60" s="219"/>
      <c r="V60" s="219">
        <f t="shared" si="27"/>
        <v>0</v>
      </c>
      <c r="W60" s="218"/>
      <c r="X60" s="218"/>
      <c r="Y60" s="218"/>
      <c r="Z60" s="218"/>
      <c r="AA60" s="218"/>
      <c r="AB60" s="218">
        <f t="shared" si="28"/>
        <v>0</v>
      </c>
      <c r="AC60" s="228">
        <f t="shared" si="4"/>
        <v>0</v>
      </c>
      <c r="AD60" s="228">
        <f t="shared" si="5"/>
        <v>22361</v>
      </c>
    </row>
    <row r="61" spans="1:114" ht="90.75" customHeight="1" x14ac:dyDescent="0.25">
      <c r="A61" s="236" t="s">
        <v>321</v>
      </c>
      <c r="B61" s="237"/>
      <c r="C61" s="237"/>
      <c r="D61" s="277"/>
      <c r="E61" s="238">
        <f>E62+E69+E78+E85+E90+E100</f>
        <v>208167</v>
      </c>
      <c r="F61" s="238">
        <f>F62+F69+F78+F85+F90+F100</f>
        <v>10000</v>
      </c>
      <c r="G61" s="238">
        <f>G62+G69+G78+G85+G90+G100</f>
        <v>46607.9</v>
      </c>
      <c r="H61" s="238">
        <f>SUM(H62,H69,H78,H85,H90,H100)</f>
        <v>0</v>
      </c>
      <c r="I61" s="238">
        <f>I62+I69+I78+I85+I90+I100</f>
        <v>1300</v>
      </c>
      <c r="J61" s="238">
        <f>J62+J69+J78+J85+J90+J100</f>
        <v>259639.9</v>
      </c>
      <c r="K61" s="238">
        <f>K62+K69+K78+K85+K90+K100</f>
        <v>212240</v>
      </c>
      <c r="L61" s="238">
        <f>L62+L69+L78+L85+L90+L100</f>
        <v>20000</v>
      </c>
      <c r="M61" s="238">
        <f>M62+M69+M78+M85+M90+M100</f>
        <v>6393</v>
      </c>
      <c r="N61" s="238"/>
      <c r="O61" s="238">
        <f>O62+O69+O78+O85+O90+O100</f>
        <v>1500</v>
      </c>
      <c r="P61" s="238">
        <f>P62+P69+P78+P85+P90+P100</f>
        <v>233740</v>
      </c>
      <c r="Q61" s="238">
        <f>Q62+Q69+Q78+Q85+Q90+Q100</f>
        <v>184284</v>
      </c>
      <c r="R61" s="238">
        <f>R62+R69+R78+R85+R90+R100</f>
        <v>20000</v>
      </c>
      <c r="S61" s="238">
        <f>S62+S69+S78+S85+S90+S100</f>
        <v>0</v>
      </c>
      <c r="T61" s="238"/>
      <c r="U61" s="238">
        <f>U62+U69+U78+U85+U90+U100</f>
        <v>0</v>
      </c>
      <c r="V61" s="238">
        <f>V62+V69+V78+V85+V90+V100</f>
        <v>204284</v>
      </c>
      <c r="W61" s="238">
        <f>W62+W69+W78+W85+W90+W100</f>
        <v>183059</v>
      </c>
      <c r="X61" s="238">
        <f>X62+X69+X78+X85+X90+X100</f>
        <v>20000</v>
      </c>
      <c r="Y61" s="238">
        <f>Y62+Y69+Y78+Y85+Y90+Y100</f>
        <v>0</v>
      </c>
      <c r="Z61" s="238"/>
      <c r="AA61" s="238">
        <f>AA62+AA69+AA78+AA85+AA90+AA100</f>
        <v>0</v>
      </c>
      <c r="AB61" s="238">
        <f>AB62+AB69+AB78+AB85+AB90+AB100</f>
        <v>203059</v>
      </c>
      <c r="AC61" s="213">
        <f t="shared" si="4"/>
        <v>787750</v>
      </c>
      <c r="AD61" s="213">
        <f t="shared" si="5"/>
        <v>900722.9</v>
      </c>
    </row>
    <row r="62" spans="1:114" ht="15" customHeight="1" x14ac:dyDescent="0.25">
      <c r="A62" s="289" t="s">
        <v>713</v>
      </c>
      <c r="B62" s="214"/>
      <c r="C62" s="214"/>
      <c r="D62" s="276"/>
      <c r="E62" s="216">
        <f>SUM(E63:E68)</f>
        <v>28085</v>
      </c>
      <c r="F62" s="216">
        <f t="shared" ref="F62:AB62" si="53">SUM(F63:F68)</f>
        <v>0</v>
      </c>
      <c r="G62" s="216">
        <f t="shared" si="53"/>
        <v>7563.9</v>
      </c>
      <c r="H62" s="216">
        <f t="shared" si="53"/>
        <v>0</v>
      </c>
      <c r="I62" s="216">
        <f t="shared" si="53"/>
        <v>0</v>
      </c>
      <c r="J62" s="216">
        <f t="shared" si="53"/>
        <v>29255.9</v>
      </c>
      <c r="K62" s="216">
        <f t="shared" si="53"/>
        <v>30200</v>
      </c>
      <c r="L62" s="216">
        <f t="shared" si="53"/>
        <v>0</v>
      </c>
      <c r="M62" s="216">
        <f t="shared" si="53"/>
        <v>6393</v>
      </c>
      <c r="N62" s="216">
        <f t="shared" si="53"/>
        <v>0</v>
      </c>
      <c r="O62" s="216">
        <f t="shared" si="53"/>
        <v>0</v>
      </c>
      <c r="P62" s="216">
        <f t="shared" si="53"/>
        <v>30200</v>
      </c>
      <c r="Q62" s="216">
        <f t="shared" si="53"/>
        <v>30200</v>
      </c>
      <c r="R62" s="216">
        <f t="shared" si="53"/>
        <v>0</v>
      </c>
      <c r="S62" s="216">
        <f t="shared" si="53"/>
        <v>0</v>
      </c>
      <c r="T62" s="216">
        <f t="shared" si="53"/>
        <v>0</v>
      </c>
      <c r="U62" s="216">
        <f t="shared" si="53"/>
        <v>0</v>
      </c>
      <c r="V62" s="216">
        <f t="shared" si="53"/>
        <v>30200</v>
      </c>
      <c r="W62" s="216">
        <f t="shared" si="53"/>
        <v>30200</v>
      </c>
      <c r="X62" s="216">
        <f t="shared" si="53"/>
        <v>0</v>
      </c>
      <c r="Y62" s="216">
        <f t="shared" si="53"/>
        <v>0</v>
      </c>
      <c r="Z62" s="216">
        <f t="shared" si="53"/>
        <v>0</v>
      </c>
      <c r="AA62" s="216">
        <f t="shared" si="53"/>
        <v>0</v>
      </c>
      <c r="AB62" s="216">
        <f t="shared" si="53"/>
        <v>30200</v>
      </c>
      <c r="AC62" s="216">
        <f t="shared" si="4"/>
        <v>118685</v>
      </c>
      <c r="AD62" s="216">
        <f t="shared" si="5"/>
        <v>119855.9</v>
      </c>
    </row>
    <row r="63" spans="1:114" ht="106.5" customHeight="1" x14ac:dyDescent="0.25">
      <c r="A63" s="290"/>
      <c r="B63" s="227" t="s">
        <v>681</v>
      </c>
      <c r="C63" s="271" t="s">
        <v>761</v>
      </c>
      <c r="D63" s="283" t="s">
        <v>733</v>
      </c>
      <c r="E63" s="219">
        <v>15000</v>
      </c>
      <c r="F63" s="219"/>
      <c r="G63" s="219"/>
      <c r="H63" s="219"/>
      <c r="I63" s="219"/>
      <c r="J63" s="219">
        <f t="shared" ref="J63:J118" si="54">SUM(E63:I63)</f>
        <v>15000</v>
      </c>
      <c r="K63" s="219">
        <v>16500</v>
      </c>
      <c r="L63" s="219"/>
      <c r="M63" s="219"/>
      <c r="N63" s="219"/>
      <c r="O63" s="219"/>
      <c r="P63" s="219">
        <f>SUM(K63:O63)</f>
        <v>16500</v>
      </c>
      <c r="Q63" s="219">
        <v>16500</v>
      </c>
      <c r="R63" s="219"/>
      <c r="S63" s="219"/>
      <c r="T63" s="219"/>
      <c r="U63" s="219"/>
      <c r="V63" s="219">
        <f>SUM(Q63:U63)</f>
        <v>16500</v>
      </c>
      <c r="W63" s="218">
        <v>16500</v>
      </c>
      <c r="X63" s="218"/>
      <c r="Y63" s="218"/>
      <c r="Z63" s="218"/>
      <c r="AA63" s="218"/>
      <c r="AB63" s="218">
        <f>SUM(W63:AA63)</f>
        <v>16500</v>
      </c>
      <c r="AC63" s="216">
        <f t="shared" si="4"/>
        <v>64500</v>
      </c>
      <c r="AD63" s="216">
        <f t="shared" si="5"/>
        <v>64500</v>
      </c>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row>
    <row r="64" spans="1:114" ht="140.25" customHeight="1" x14ac:dyDescent="0.25">
      <c r="A64" s="290"/>
      <c r="B64" s="227" t="s">
        <v>682</v>
      </c>
      <c r="C64" s="271" t="s">
        <v>761</v>
      </c>
      <c r="D64" s="284"/>
      <c r="E64" s="219">
        <v>10500</v>
      </c>
      <c r="F64" s="219"/>
      <c r="G64" s="219"/>
      <c r="H64" s="219"/>
      <c r="I64" s="219"/>
      <c r="J64" s="219">
        <f t="shared" si="54"/>
        <v>10500</v>
      </c>
      <c r="K64" s="219">
        <v>10500</v>
      </c>
      <c r="L64" s="219"/>
      <c r="M64" s="219"/>
      <c r="N64" s="219"/>
      <c r="O64" s="219"/>
      <c r="P64" s="219">
        <f t="shared" ref="P64:P132" si="55">SUM(K64:O64)</f>
        <v>10500</v>
      </c>
      <c r="Q64" s="219">
        <v>10500</v>
      </c>
      <c r="R64" s="219"/>
      <c r="S64" s="219"/>
      <c r="T64" s="219"/>
      <c r="U64" s="219"/>
      <c r="V64" s="219">
        <f t="shared" ref="V64:V67" si="56">SUM(Q64:U64)</f>
        <v>10500</v>
      </c>
      <c r="W64" s="218">
        <v>10500</v>
      </c>
      <c r="X64" s="218"/>
      <c r="Y64" s="218"/>
      <c r="Z64" s="218"/>
      <c r="AA64" s="218"/>
      <c r="AB64" s="218">
        <f t="shared" ref="AB64:AB65" si="57">SUM(W64:AA64)</f>
        <v>10500</v>
      </c>
      <c r="AC64" s="216">
        <f t="shared" si="4"/>
        <v>42000</v>
      </c>
      <c r="AD64" s="216">
        <f t="shared" si="5"/>
        <v>42000</v>
      </c>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row>
    <row r="65" spans="1:30" ht="104.25" customHeight="1" x14ac:dyDescent="0.25">
      <c r="A65" s="290"/>
      <c r="B65" s="227" t="s">
        <v>683</v>
      </c>
      <c r="C65" s="271" t="s">
        <v>761</v>
      </c>
      <c r="D65" s="284"/>
      <c r="E65" s="219">
        <v>200</v>
      </c>
      <c r="F65" s="219"/>
      <c r="G65" s="219"/>
      <c r="H65" s="219"/>
      <c r="I65" s="219"/>
      <c r="J65" s="219">
        <f t="shared" si="54"/>
        <v>200</v>
      </c>
      <c r="K65" s="219">
        <v>200</v>
      </c>
      <c r="L65" s="219"/>
      <c r="M65" s="219"/>
      <c r="N65" s="219"/>
      <c r="O65" s="219"/>
      <c r="P65" s="219">
        <f t="shared" si="55"/>
        <v>200</v>
      </c>
      <c r="Q65" s="219">
        <v>200</v>
      </c>
      <c r="R65" s="219"/>
      <c r="S65" s="219"/>
      <c r="T65" s="219"/>
      <c r="U65" s="219"/>
      <c r="V65" s="219">
        <f t="shared" si="56"/>
        <v>200</v>
      </c>
      <c r="W65" s="218">
        <v>200</v>
      </c>
      <c r="X65" s="218"/>
      <c r="Y65" s="218"/>
      <c r="Z65" s="218"/>
      <c r="AA65" s="218"/>
      <c r="AB65" s="218">
        <f t="shared" si="57"/>
        <v>200</v>
      </c>
      <c r="AC65" s="216">
        <f t="shared" si="4"/>
        <v>800</v>
      </c>
      <c r="AD65" s="216">
        <f t="shared" si="5"/>
        <v>800</v>
      </c>
    </row>
    <row r="66" spans="1:30" ht="28.5" customHeight="1" x14ac:dyDescent="0.25">
      <c r="A66" s="290"/>
      <c r="B66" s="226" t="s">
        <v>684</v>
      </c>
      <c r="C66" s="271" t="s">
        <v>24</v>
      </c>
      <c r="D66" s="284"/>
      <c r="E66" s="240">
        <v>2385</v>
      </c>
      <c r="F66" s="240"/>
      <c r="G66" s="240"/>
      <c r="H66" s="240"/>
      <c r="I66" s="240"/>
      <c r="J66" s="240">
        <f t="shared" ref="J66" si="58">SUM(E66:I66)</f>
        <v>2385</v>
      </c>
      <c r="K66" s="240">
        <v>3000</v>
      </c>
      <c r="L66" s="240"/>
      <c r="M66" s="240"/>
      <c r="N66" s="240"/>
      <c r="O66" s="240"/>
      <c r="P66" s="240">
        <f t="shared" ref="P66" si="59">SUM(K66:O66)</f>
        <v>3000</v>
      </c>
      <c r="Q66" s="240">
        <v>3000</v>
      </c>
      <c r="R66" s="240"/>
      <c r="S66" s="240"/>
      <c r="T66" s="240"/>
      <c r="U66" s="240"/>
      <c r="V66" s="240">
        <f t="shared" ref="V66" si="60">SUM(Q66:U66)</f>
        <v>3000</v>
      </c>
      <c r="W66" s="240">
        <v>3000</v>
      </c>
      <c r="X66" s="240"/>
      <c r="Y66" s="240"/>
      <c r="Z66" s="240"/>
      <c r="AA66" s="240"/>
      <c r="AB66" s="240">
        <f t="shared" ref="AB66" si="61">W66+X66+Y66+AA66</f>
        <v>3000</v>
      </c>
      <c r="AC66" s="216">
        <f t="shared" si="4"/>
        <v>11385</v>
      </c>
      <c r="AD66" s="216">
        <f t="shared" si="5"/>
        <v>11385</v>
      </c>
    </row>
    <row r="67" spans="1:30" ht="93.75" customHeight="1" x14ac:dyDescent="0.25">
      <c r="A67" s="290"/>
      <c r="B67" s="261" t="s">
        <v>714</v>
      </c>
      <c r="C67" s="271"/>
      <c r="D67" s="284"/>
      <c r="E67" s="223"/>
      <c r="F67" s="223"/>
      <c r="G67" s="228">
        <v>1170.9000000000001</v>
      </c>
      <c r="H67" s="209"/>
      <c r="I67" s="223"/>
      <c r="J67" s="223">
        <f t="shared" ref="J67" si="62">SUM(E67:I67)</f>
        <v>1170.9000000000001</v>
      </c>
      <c r="K67" s="223"/>
      <c r="L67" s="223"/>
      <c r="M67" s="228"/>
      <c r="N67" s="228"/>
      <c r="O67" s="223"/>
      <c r="P67" s="223">
        <f t="shared" si="55"/>
        <v>0</v>
      </c>
      <c r="Q67" s="223"/>
      <c r="R67" s="223"/>
      <c r="S67" s="223"/>
      <c r="T67" s="223"/>
      <c r="U67" s="223"/>
      <c r="V67" s="223">
        <f t="shared" si="56"/>
        <v>0</v>
      </c>
      <c r="W67" s="222"/>
      <c r="X67" s="222"/>
      <c r="Y67" s="222"/>
      <c r="Z67" s="222"/>
      <c r="AA67" s="222"/>
      <c r="AB67" s="218"/>
      <c r="AC67" s="216">
        <f t="shared" si="4"/>
        <v>0</v>
      </c>
      <c r="AD67" s="216">
        <f t="shared" si="5"/>
        <v>1170.9000000000001</v>
      </c>
    </row>
    <row r="68" spans="1:30" ht="56.25" x14ac:dyDescent="0.25">
      <c r="A68" s="290"/>
      <c r="B68" s="253" t="s">
        <v>715</v>
      </c>
      <c r="C68" s="271"/>
      <c r="D68" s="285"/>
      <c r="E68" s="254"/>
      <c r="F68" s="223"/>
      <c r="G68" s="223">
        <f>12786/2</f>
        <v>6393</v>
      </c>
      <c r="H68" s="223"/>
      <c r="I68" s="223"/>
      <c r="J68" s="223"/>
      <c r="K68" s="223"/>
      <c r="L68" s="223"/>
      <c r="M68" s="223">
        <f>12786/2</f>
        <v>6393</v>
      </c>
      <c r="N68" s="223"/>
      <c r="O68" s="223"/>
      <c r="P68" s="223"/>
      <c r="Q68" s="223"/>
      <c r="R68" s="223"/>
      <c r="S68" s="223"/>
      <c r="T68" s="223"/>
      <c r="U68" s="223"/>
      <c r="V68" s="223"/>
      <c r="W68" s="222"/>
      <c r="X68" s="222"/>
      <c r="Y68" s="222"/>
      <c r="Z68" s="222"/>
      <c r="AA68" s="222"/>
      <c r="AB68" s="218"/>
      <c r="AC68" s="216">
        <f t="shared" si="4"/>
        <v>0</v>
      </c>
      <c r="AD68" s="216">
        <f t="shared" si="5"/>
        <v>0</v>
      </c>
    </row>
    <row r="69" spans="1:30" ht="15" customHeight="1" x14ac:dyDescent="0.25">
      <c r="A69" s="289" t="s">
        <v>323</v>
      </c>
      <c r="B69" s="214"/>
      <c r="C69" s="214"/>
      <c r="D69" s="278">
        <f t="shared" ref="D69:K69" si="63">SUM(D70,D74)</f>
        <v>0</v>
      </c>
      <c r="E69" s="216">
        <f t="shared" si="63"/>
        <v>10315</v>
      </c>
      <c r="F69" s="216">
        <f t="shared" si="63"/>
        <v>0</v>
      </c>
      <c r="G69" s="216">
        <f t="shared" si="63"/>
        <v>0</v>
      </c>
      <c r="H69" s="216">
        <f t="shared" si="63"/>
        <v>0</v>
      </c>
      <c r="I69" s="216">
        <f t="shared" si="63"/>
        <v>0</v>
      </c>
      <c r="J69" s="216">
        <f t="shared" si="63"/>
        <v>10315</v>
      </c>
      <c r="K69" s="216">
        <f t="shared" si="63"/>
        <v>28200</v>
      </c>
      <c r="L69" s="216">
        <f t="shared" ref="L69:AB69" si="64">SUM(L70,L74)</f>
        <v>0</v>
      </c>
      <c r="M69" s="216">
        <f t="shared" si="64"/>
        <v>0</v>
      </c>
      <c r="N69" s="216">
        <f t="shared" si="64"/>
        <v>0</v>
      </c>
      <c r="O69" s="216">
        <f t="shared" si="64"/>
        <v>0</v>
      </c>
      <c r="P69" s="216">
        <f t="shared" si="64"/>
        <v>28200</v>
      </c>
      <c r="Q69" s="216">
        <f t="shared" si="64"/>
        <v>27200</v>
      </c>
      <c r="R69" s="216">
        <f t="shared" si="64"/>
        <v>0</v>
      </c>
      <c r="S69" s="216">
        <f t="shared" si="64"/>
        <v>0</v>
      </c>
      <c r="T69" s="216">
        <f t="shared" si="64"/>
        <v>0</v>
      </c>
      <c r="U69" s="216">
        <f t="shared" si="64"/>
        <v>0</v>
      </c>
      <c r="V69" s="216">
        <f t="shared" si="64"/>
        <v>27200</v>
      </c>
      <c r="W69" s="216">
        <f t="shared" si="64"/>
        <v>26475</v>
      </c>
      <c r="X69" s="216">
        <f t="shared" si="64"/>
        <v>0</v>
      </c>
      <c r="Y69" s="216">
        <f t="shared" si="64"/>
        <v>0</v>
      </c>
      <c r="Z69" s="216">
        <f t="shared" si="64"/>
        <v>0</v>
      </c>
      <c r="AA69" s="216">
        <f t="shared" si="64"/>
        <v>0</v>
      </c>
      <c r="AB69" s="216">
        <f t="shared" si="64"/>
        <v>26475</v>
      </c>
      <c r="AC69" s="216">
        <f t="shared" si="4"/>
        <v>92190</v>
      </c>
      <c r="AD69" s="216">
        <f t="shared" si="5"/>
        <v>92190</v>
      </c>
    </row>
    <row r="70" spans="1:30" ht="47.25" customHeight="1" x14ac:dyDescent="0.25">
      <c r="A70" s="290"/>
      <c r="B70" s="217" t="s">
        <v>666</v>
      </c>
      <c r="C70" s="303" t="s">
        <v>27</v>
      </c>
      <c r="D70" s="283" t="s">
        <v>746</v>
      </c>
      <c r="E70" s="219">
        <f>SUM(E71:E73)</f>
        <v>3720</v>
      </c>
      <c r="F70" s="219">
        <f t="shared" ref="F70:AD70" si="65">SUM(F71:F73)</f>
        <v>0</v>
      </c>
      <c r="G70" s="219">
        <f t="shared" si="65"/>
        <v>0</v>
      </c>
      <c r="H70" s="219">
        <f t="shared" si="65"/>
        <v>0</v>
      </c>
      <c r="I70" s="219">
        <f t="shared" si="65"/>
        <v>0</v>
      </c>
      <c r="J70" s="219">
        <f t="shared" si="65"/>
        <v>3720</v>
      </c>
      <c r="K70" s="219">
        <f t="shared" si="65"/>
        <v>6900</v>
      </c>
      <c r="L70" s="219">
        <f t="shared" si="65"/>
        <v>0</v>
      </c>
      <c r="M70" s="219">
        <f t="shared" si="65"/>
        <v>0</v>
      </c>
      <c r="N70" s="219">
        <f t="shared" si="65"/>
        <v>0</v>
      </c>
      <c r="O70" s="219">
        <f t="shared" si="65"/>
        <v>0</v>
      </c>
      <c r="P70" s="219">
        <f t="shared" si="65"/>
        <v>6900</v>
      </c>
      <c r="Q70" s="219">
        <f t="shared" si="65"/>
        <v>5900</v>
      </c>
      <c r="R70" s="219">
        <f t="shared" si="65"/>
        <v>0</v>
      </c>
      <c r="S70" s="219">
        <f t="shared" si="65"/>
        <v>0</v>
      </c>
      <c r="T70" s="219">
        <f t="shared" si="65"/>
        <v>0</v>
      </c>
      <c r="U70" s="219">
        <f t="shared" si="65"/>
        <v>0</v>
      </c>
      <c r="V70" s="219">
        <f t="shared" si="65"/>
        <v>5900</v>
      </c>
      <c r="W70" s="219">
        <f t="shared" si="65"/>
        <v>5175</v>
      </c>
      <c r="X70" s="219">
        <f t="shared" si="65"/>
        <v>0</v>
      </c>
      <c r="Y70" s="219">
        <f t="shared" si="65"/>
        <v>0</v>
      </c>
      <c r="Z70" s="219">
        <f t="shared" si="65"/>
        <v>0</v>
      </c>
      <c r="AA70" s="219">
        <f t="shared" si="65"/>
        <v>0</v>
      </c>
      <c r="AB70" s="219">
        <f t="shared" si="65"/>
        <v>5175</v>
      </c>
      <c r="AC70" s="216">
        <f t="shared" si="65"/>
        <v>21695</v>
      </c>
      <c r="AD70" s="216">
        <f t="shared" si="65"/>
        <v>21695</v>
      </c>
    </row>
    <row r="71" spans="1:30" ht="24" customHeight="1" x14ac:dyDescent="0.25">
      <c r="A71" s="290"/>
      <c r="B71" s="217" t="s">
        <v>667</v>
      </c>
      <c r="C71" s="303"/>
      <c r="D71" s="284"/>
      <c r="E71" s="219">
        <v>2920</v>
      </c>
      <c r="F71" s="219"/>
      <c r="G71" s="219"/>
      <c r="H71" s="219"/>
      <c r="I71" s="219"/>
      <c r="J71" s="219">
        <f t="shared" ref="J71:J73" si="66">SUM(E71:I71)</f>
        <v>2920</v>
      </c>
      <c r="K71" s="219">
        <v>5000</v>
      </c>
      <c r="L71" s="219"/>
      <c r="M71" s="219"/>
      <c r="N71" s="219"/>
      <c r="O71" s="219"/>
      <c r="P71" s="219">
        <f t="shared" ref="P71:P73" si="67">SUM(K71:O71)</f>
        <v>5000</v>
      </c>
      <c r="Q71" s="219">
        <v>4000</v>
      </c>
      <c r="R71" s="219"/>
      <c r="S71" s="219"/>
      <c r="T71" s="219"/>
      <c r="U71" s="219"/>
      <c r="V71" s="219">
        <f t="shared" ref="V71:V73" si="68">SUM(Q71:U71)</f>
        <v>4000</v>
      </c>
      <c r="W71" s="218">
        <v>4000</v>
      </c>
      <c r="X71" s="218"/>
      <c r="Y71" s="218"/>
      <c r="Z71" s="218"/>
      <c r="AA71" s="218"/>
      <c r="AB71" s="218">
        <f t="shared" ref="AB71:AB73" si="69">SUM(W71:AA71)</f>
        <v>4000</v>
      </c>
      <c r="AC71" s="216">
        <f t="shared" ref="AC71:AC73" si="70">SUM(E71,K71,Q71,W71)</f>
        <v>15920</v>
      </c>
      <c r="AD71" s="216">
        <f t="shared" ref="AD71:AD73" si="71">SUM(J71,P71,V71,AB71)</f>
        <v>15920</v>
      </c>
    </row>
    <row r="72" spans="1:30" ht="33.75" x14ac:dyDescent="0.25">
      <c r="A72" s="290"/>
      <c r="B72" s="217" t="s">
        <v>668</v>
      </c>
      <c r="C72" s="303"/>
      <c r="D72" s="284"/>
      <c r="E72" s="219">
        <v>300</v>
      </c>
      <c r="F72" s="219"/>
      <c r="G72" s="219"/>
      <c r="H72" s="219"/>
      <c r="I72" s="219"/>
      <c r="J72" s="219">
        <f t="shared" si="66"/>
        <v>300</v>
      </c>
      <c r="K72" s="219">
        <v>1200</v>
      </c>
      <c r="L72" s="219"/>
      <c r="M72" s="219"/>
      <c r="N72" s="219"/>
      <c r="O72" s="219"/>
      <c r="P72" s="219">
        <f t="shared" si="67"/>
        <v>1200</v>
      </c>
      <c r="Q72" s="219">
        <v>1200</v>
      </c>
      <c r="R72" s="219"/>
      <c r="S72" s="219"/>
      <c r="T72" s="219"/>
      <c r="U72" s="219"/>
      <c r="V72" s="219">
        <f t="shared" si="68"/>
        <v>1200</v>
      </c>
      <c r="W72" s="218">
        <v>900</v>
      </c>
      <c r="X72" s="218"/>
      <c r="Y72" s="218"/>
      <c r="Z72" s="218"/>
      <c r="AA72" s="218"/>
      <c r="AB72" s="218">
        <f t="shared" si="69"/>
        <v>900</v>
      </c>
      <c r="AC72" s="216">
        <f t="shared" si="70"/>
        <v>3600</v>
      </c>
      <c r="AD72" s="216">
        <f t="shared" si="71"/>
        <v>3600</v>
      </c>
    </row>
    <row r="73" spans="1:30" ht="45" x14ac:dyDescent="0.25">
      <c r="A73" s="290"/>
      <c r="B73" s="217" t="s">
        <v>669</v>
      </c>
      <c r="C73" s="303"/>
      <c r="D73" s="284"/>
      <c r="E73" s="219">
        <v>500</v>
      </c>
      <c r="F73" s="219"/>
      <c r="G73" s="219"/>
      <c r="H73" s="219"/>
      <c r="I73" s="219"/>
      <c r="J73" s="219">
        <f t="shared" si="66"/>
        <v>500</v>
      </c>
      <c r="K73" s="219">
        <v>700</v>
      </c>
      <c r="L73" s="219"/>
      <c r="M73" s="219"/>
      <c r="N73" s="219"/>
      <c r="O73" s="219"/>
      <c r="P73" s="219">
        <f t="shared" si="67"/>
        <v>700</v>
      </c>
      <c r="Q73" s="219">
        <v>700</v>
      </c>
      <c r="R73" s="219"/>
      <c r="S73" s="219"/>
      <c r="T73" s="219"/>
      <c r="U73" s="219"/>
      <c r="V73" s="219">
        <f t="shared" si="68"/>
        <v>700</v>
      </c>
      <c r="W73" s="218">
        <v>275</v>
      </c>
      <c r="X73" s="218"/>
      <c r="Y73" s="218"/>
      <c r="Z73" s="218"/>
      <c r="AA73" s="218"/>
      <c r="AB73" s="218">
        <f t="shared" si="69"/>
        <v>275</v>
      </c>
      <c r="AC73" s="216">
        <f t="shared" si="70"/>
        <v>2175</v>
      </c>
      <c r="AD73" s="216">
        <f t="shared" si="71"/>
        <v>2175</v>
      </c>
    </row>
    <row r="74" spans="1:30" ht="45" x14ac:dyDescent="0.25">
      <c r="A74" s="290"/>
      <c r="B74" s="217" t="s">
        <v>687</v>
      </c>
      <c r="C74" s="303" t="s">
        <v>7</v>
      </c>
      <c r="D74" s="284"/>
      <c r="E74" s="219">
        <f>SUM(E75:E77)</f>
        <v>6595</v>
      </c>
      <c r="F74" s="219">
        <f t="shared" ref="F74" si="72">SUM(F75:F77)</f>
        <v>0</v>
      </c>
      <c r="G74" s="219">
        <f t="shared" ref="G74" si="73">SUM(G75:G77)</f>
        <v>0</v>
      </c>
      <c r="H74" s="219">
        <f t="shared" ref="H74" si="74">SUM(H75:H77)</f>
        <v>0</v>
      </c>
      <c r="I74" s="219">
        <f t="shared" ref="I74" si="75">SUM(I75:I77)</f>
        <v>0</v>
      </c>
      <c r="J74" s="219">
        <f t="shared" ref="J74" si="76">SUM(J75:J77)</f>
        <v>6595</v>
      </c>
      <c r="K74" s="219">
        <f t="shared" ref="K74" si="77">SUM(K75:K77)</f>
        <v>21300</v>
      </c>
      <c r="L74" s="219">
        <f t="shared" ref="L74" si="78">SUM(L75:L77)</f>
        <v>0</v>
      </c>
      <c r="M74" s="219">
        <f t="shared" ref="M74" si="79">SUM(M75:M77)</f>
        <v>0</v>
      </c>
      <c r="N74" s="219">
        <f t="shared" ref="N74" si="80">SUM(N75:N77)</f>
        <v>0</v>
      </c>
      <c r="O74" s="219">
        <f t="shared" ref="O74" si="81">SUM(O75:O77)</f>
        <v>0</v>
      </c>
      <c r="P74" s="219">
        <f t="shared" ref="P74" si="82">SUM(P75:P77)</f>
        <v>21300</v>
      </c>
      <c r="Q74" s="219">
        <f t="shared" ref="Q74" si="83">SUM(Q75:Q77)</f>
        <v>21300</v>
      </c>
      <c r="R74" s="219">
        <f t="shared" ref="R74" si="84">SUM(R75:R77)</f>
        <v>0</v>
      </c>
      <c r="S74" s="219">
        <f t="shared" ref="S74" si="85">SUM(S75:S77)</f>
        <v>0</v>
      </c>
      <c r="T74" s="219">
        <f t="shared" ref="T74" si="86">SUM(T75:T77)</f>
        <v>0</v>
      </c>
      <c r="U74" s="219">
        <f t="shared" ref="U74" si="87">SUM(U75:U77)</f>
        <v>0</v>
      </c>
      <c r="V74" s="219">
        <f t="shared" ref="V74" si="88">SUM(V75:V77)</f>
        <v>21300</v>
      </c>
      <c r="W74" s="219">
        <f t="shared" ref="W74" si="89">SUM(W75:W77)</f>
        <v>21300</v>
      </c>
      <c r="X74" s="219">
        <f t="shared" ref="X74" si="90">SUM(X75:X77)</f>
        <v>0</v>
      </c>
      <c r="Y74" s="219">
        <f t="shared" ref="Y74" si="91">SUM(Y75:Y77)</f>
        <v>0</v>
      </c>
      <c r="Z74" s="219">
        <f t="shared" ref="Z74" si="92">SUM(Z75:Z77)</f>
        <v>0</v>
      </c>
      <c r="AA74" s="219">
        <f t="shared" ref="AA74" si="93">SUM(AA75:AA77)</f>
        <v>0</v>
      </c>
      <c r="AB74" s="219">
        <f t="shared" ref="AB74" si="94">SUM(AB75:AB77)</f>
        <v>21300</v>
      </c>
      <c r="AC74" s="216">
        <f t="shared" ref="AC74" si="95">SUM(AC75:AC77)</f>
        <v>70495</v>
      </c>
      <c r="AD74" s="216">
        <f t="shared" ref="AD74" si="96">SUM(AD75:AD77)</f>
        <v>70495</v>
      </c>
    </row>
    <row r="75" spans="1:30" ht="191.25" x14ac:dyDescent="0.25">
      <c r="A75" s="290"/>
      <c r="B75" s="217" t="s">
        <v>688</v>
      </c>
      <c r="C75" s="303"/>
      <c r="D75" s="284"/>
      <c r="E75" s="219">
        <v>2320</v>
      </c>
      <c r="F75" s="219"/>
      <c r="G75" s="219"/>
      <c r="H75" s="219"/>
      <c r="I75" s="219"/>
      <c r="J75" s="219">
        <f t="shared" ref="J75:J77" si="97">SUM(E75:I75)</f>
        <v>2320</v>
      </c>
      <c r="K75" s="219">
        <v>9800</v>
      </c>
      <c r="L75" s="219"/>
      <c r="M75" s="219"/>
      <c r="N75" s="219"/>
      <c r="O75" s="219"/>
      <c r="P75" s="219">
        <f t="shared" ref="P75:P77" si="98">SUM(K75:O75)</f>
        <v>9800</v>
      </c>
      <c r="Q75" s="219">
        <v>9800</v>
      </c>
      <c r="R75" s="219"/>
      <c r="S75" s="219"/>
      <c r="T75" s="219"/>
      <c r="U75" s="219"/>
      <c r="V75" s="219">
        <f t="shared" ref="V75:V77" si="99">SUM(Q75:U75)</f>
        <v>9800</v>
      </c>
      <c r="W75" s="218">
        <v>9800</v>
      </c>
      <c r="X75" s="218"/>
      <c r="Y75" s="218"/>
      <c r="Z75" s="218"/>
      <c r="AA75" s="218"/>
      <c r="AB75" s="218">
        <f t="shared" ref="AB75:AB77" si="100">SUM(W75:AA75)</f>
        <v>9800</v>
      </c>
      <c r="AC75" s="216">
        <f t="shared" ref="AC75:AC77" si="101">SUM(E75,K75,Q75,W75)</f>
        <v>31720</v>
      </c>
      <c r="AD75" s="216">
        <f t="shared" ref="AD75:AD77" si="102">SUM(J75,P75,V75,AB75)</f>
        <v>31720</v>
      </c>
    </row>
    <row r="76" spans="1:30" ht="30.75" customHeight="1" x14ac:dyDescent="0.25">
      <c r="A76" s="290"/>
      <c r="B76" s="217" t="s">
        <v>670</v>
      </c>
      <c r="C76" s="303"/>
      <c r="D76" s="284"/>
      <c r="E76" s="219">
        <v>555</v>
      </c>
      <c r="F76" s="219"/>
      <c r="G76" s="219"/>
      <c r="H76" s="219"/>
      <c r="I76" s="219"/>
      <c r="J76" s="219">
        <f t="shared" si="97"/>
        <v>555</v>
      </c>
      <c r="K76" s="219">
        <v>9000</v>
      </c>
      <c r="L76" s="219"/>
      <c r="M76" s="219"/>
      <c r="N76" s="219"/>
      <c r="O76" s="219"/>
      <c r="P76" s="219">
        <f t="shared" si="98"/>
        <v>9000</v>
      </c>
      <c r="Q76" s="219">
        <v>9000</v>
      </c>
      <c r="R76" s="219"/>
      <c r="S76" s="219"/>
      <c r="T76" s="219"/>
      <c r="U76" s="219"/>
      <c r="V76" s="219">
        <f t="shared" si="99"/>
        <v>9000</v>
      </c>
      <c r="W76" s="218">
        <v>9000</v>
      </c>
      <c r="X76" s="218"/>
      <c r="Y76" s="218"/>
      <c r="Z76" s="218"/>
      <c r="AA76" s="218"/>
      <c r="AB76" s="218">
        <f t="shared" si="100"/>
        <v>9000</v>
      </c>
      <c r="AC76" s="216">
        <f t="shared" si="101"/>
        <v>27555</v>
      </c>
      <c r="AD76" s="216">
        <f t="shared" si="102"/>
        <v>27555</v>
      </c>
    </row>
    <row r="77" spans="1:30" ht="96" customHeight="1" x14ac:dyDescent="0.25">
      <c r="A77" s="290"/>
      <c r="B77" s="217" t="s">
        <v>677</v>
      </c>
      <c r="C77" s="303"/>
      <c r="D77" s="285"/>
      <c r="E77" s="219">
        <v>3720</v>
      </c>
      <c r="F77" s="219"/>
      <c r="G77" s="219"/>
      <c r="H77" s="219"/>
      <c r="I77" s="219"/>
      <c r="J77" s="219">
        <f t="shared" si="97"/>
        <v>3720</v>
      </c>
      <c r="K77" s="219">
        <v>2500</v>
      </c>
      <c r="L77" s="219"/>
      <c r="M77" s="219"/>
      <c r="N77" s="219"/>
      <c r="O77" s="219"/>
      <c r="P77" s="219">
        <f t="shared" si="98"/>
        <v>2500</v>
      </c>
      <c r="Q77" s="219">
        <v>2500</v>
      </c>
      <c r="R77" s="219"/>
      <c r="S77" s="219"/>
      <c r="T77" s="219"/>
      <c r="U77" s="219"/>
      <c r="V77" s="219">
        <f t="shared" si="99"/>
        <v>2500</v>
      </c>
      <c r="W77" s="218">
        <v>2500</v>
      </c>
      <c r="X77" s="218"/>
      <c r="Y77" s="218"/>
      <c r="Z77" s="218"/>
      <c r="AA77" s="218"/>
      <c r="AB77" s="218">
        <f t="shared" si="100"/>
        <v>2500</v>
      </c>
      <c r="AC77" s="216">
        <f t="shared" si="101"/>
        <v>11220</v>
      </c>
      <c r="AD77" s="216">
        <f t="shared" si="102"/>
        <v>11220</v>
      </c>
    </row>
    <row r="78" spans="1:30" x14ac:dyDescent="0.25">
      <c r="A78" s="294" t="s">
        <v>324</v>
      </c>
      <c r="B78" s="214"/>
      <c r="C78" s="214"/>
      <c r="D78" s="276"/>
      <c r="E78" s="249">
        <f>SUM(E79:E84)</f>
        <v>49675</v>
      </c>
      <c r="F78" s="216">
        <f t="shared" ref="F78:AA78" si="103">SUM(F79:F84)</f>
        <v>0</v>
      </c>
      <c r="G78" s="216">
        <f t="shared" si="103"/>
        <v>0</v>
      </c>
      <c r="H78" s="216">
        <f>SUM(H79:H84)</f>
        <v>0</v>
      </c>
      <c r="I78" s="216">
        <f t="shared" si="103"/>
        <v>0</v>
      </c>
      <c r="J78" s="249">
        <f t="shared" si="54"/>
        <v>49675</v>
      </c>
      <c r="K78" s="216">
        <f t="shared" si="103"/>
        <v>39000</v>
      </c>
      <c r="L78" s="216">
        <f t="shared" si="103"/>
        <v>0</v>
      </c>
      <c r="M78" s="216">
        <f t="shared" si="103"/>
        <v>0</v>
      </c>
      <c r="N78" s="216"/>
      <c r="O78" s="216">
        <f t="shared" si="103"/>
        <v>0</v>
      </c>
      <c r="P78" s="216">
        <f t="shared" si="55"/>
        <v>39000</v>
      </c>
      <c r="Q78" s="216">
        <f t="shared" si="103"/>
        <v>21684</v>
      </c>
      <c r="R78" s="216">
        <f t="shared" si="103"/>
        <v>0</v>
      </c>
      <c r="S78" s="216">
        <f t="shared" si="103"/>
        <v>0</v>
      </c>
      <c r="T78" s="216"/>
      <c r="U78" s="216">
        <f t="shared" si="103"/>
        <v>0</v>
      </c>
      <c r="V78" s="216">
        <f t="shared" si="27"/>
        <v>21684</v>
      </c>
      <c r="W78" s="216">
        <f t="shared" si="103"/>
        <v>21684</v>
      </c>
      <c r="X78" s="216">
        <f t="shared" si="103"/>
        <v>0</v>
      </c>
      <c r="Y78" s="216">
        <f t="shared" si="103"/>
        <v>0</v>
      </c>
      <c r="Z78" s="216"/>
      <c r="AA78" s="216">
        <f t="shared" si="103"/>
        <v>0</v>
      </c>
      <c r="AB78" s="216">
        <f t="shared" si="28"/>
        <v>21684</v>
      </c>
      <c r="AC78" s="249">
        <f t="shared" ref="AC78:AC141" si="104">SUM(E78,K78,Q78,W78)</f>
        <v>132043</v>
      </c>
      <c r="AD78" s="249">
        <f t="shared" ref="AD78:AD141" si="105">SUM(J78,P78,V78,AB78)</f>
        <v>132043</v>
      </c>
    </row>
    <row r="79" spans="1:30" ht="45" x14ac:dyDescent="0.25">
      <c r="A79" s="294"/>
      <c r="B79" s="217" t="s">
        <v>613</v>
      </c>
      <c r="C79" s="271" t="s">
        <v>30</v>
      </c>
      <c r="D79" s="283" t="s">
        <v>734</v>
      </c>
      <c r="E79" s="219">
        <v>5000</v>
      </c>
      <c r="F79" s="219"/>
      <c r="G79" s="219"/>
      <c r="H79" s="219"/>
      <c r="I79" s="219"/>
      <c r="J79" s="219">
        <f>SUM(E79:I79)</f>
        <v>5000</v>
      </c>
      <c r="K79" s="219">
        <v>5000</v>
      </c>
      <c r="L79" s="219"/>
      <c r="M79" s="219"/>
      <c r="N79" s="219"/>
      <c r="O79" s="219"/>
      <c r="P79" s="219">
        <f>SUM(K79:O79)</f>
        <v>5000</v>
      </c>
      <c r="Q79" s="219">
        <v>4000</v>
      </c>
      <c r="R79" s="219"/>
      <c r="S79" s="219"/>
      <c r="T79" s="219"/>
      <c r="U79" s="219"/>
      <c r="V79" s="219">
        <f>SUM(Q79:U79)</f>
        <v>4000</v>
      </c>
      <c r="W79" s="218">
        <v>4000</v>
      </c>
      <c r="X79" s="218"/>
      <c r="Y79" s="218"/>
      <c r="Z79" s="218"/>
      <c r="AA79" s="218"/>
      <c r="AB79" s="218">
        <f>SUM(W79:AA79)</f>
        <v>4000</v>
      </c>
      <c r="AC79" s="216">
        <f t="shared" si="104"/>
        <v>18000</v>
      </c>
      <c r="AD79" s="216">
        <f t="shared" si="105"/>
        <v>18000</v>
      </c>
    </row>
    <row r="80" spans="1:30" ht="33.75" x14ac:dyDescent="0.25">
      <c r="A80" s="294"/>
      <c r="B80" s="217" t="s">
        <v>614</v>
      </c>
      <c r="C80" s="271" t="s">
        <v>30</v>
      </c>
      <c r="D80" s="284"/>
      <c r="E80" s="249">
        <v>23285</v>
      </c>
      <c r="F80" s="219"/>
      <c r="G80" s="219"/>
      <c r="H80" s="219"/>
      <c r="I80" s="219"/>
      <c r="J80" s="219">
        <f t="shared" si="54"/>
        <v>23285</v>
      </c>
      <c r="K80" s="219">
        <v>27000</v>
      </c>
      <c r="L80" s="219"/>
      <c r="M80" s="219"/>
      <c r="N80" s="219"/>
      <c r="O80" s="219"/>
      <c r="P80" s="219">
        <f t="shared" si="55"/>
        <v>27000</v>
      </c>
      <c r="Q80" s="219">
        <v>15684</v>
      </c>
      <c r="R80" s="219"/>
      <c r="S80" s="219"/>
      <c r="T80" s="219"/>
      <c r="U80" s="219"/>
      <c r="V80" s="219">
        <f t="shared" si="27"/>
        <v>15684</v>
      </c>
      <c r="W80" s="218">
        <v>15684</v>
      </c>
      <c r="X80" s="218"/>
      <c r="Y80" s="218"/>
      <c r="Z80" s="218"/>
      <c r="AA80" s="218"/>
      <c r="AB80" s="218">
        <f t="shared" si="28"/>
        <v>15684</v>
      </c>
      <c r="AC80" s="216">
        <f t="shared" si="104"/>
        <v>81653</v>
      </c>
      <c r="AD80" s="216">
        <f t="shared" si="105"/>
        <v>81653</v>
      </c>
    </row>
    <row r="81" spans="1:30" ht="22.5" x14ac:dyDescent="0.25">
      <c r="A81" s="294"/>
      <c r="B81" s="217" t="s">
        <v>615</v>
      </c>
      <c r="C81" s="271" t="s">
        <v>30</v>
      </c>
      <c r="D81" s="284"/>
      <c r="E81" s="249">
        <v>170</v>
      </c>
      <c r="F81" s="219"/>
      <c r="G81" s="219"/>
      <c r="H81" s="219"/>
      <c r="I81" s="219"/>
      <c r="J81" s="219">
        <f t="shared" si="54"/>
        <v>170</v>
      </c>
      <c r="K81" s="219">
        <v>350</v>
      </c>
      <c r="L81" s="219"/>
      <c r="M81" s="219"/>
      <c r="N81" s="219"/>
      <c r="O81" s="219"/>
      <c r="P81" s="219">
        <f t="shared" si="55"/>
        <v>350</v>
      </c>
      <c r="Q81" s="219">
        <v>350</v>
      </c>
      <c r="R81" s="219"/>
      <c r="S81" s="219"/>
      <c r="T81" s="219"/>
      <c r="U81" s="219"/>
      <c r="V81" s="219">
        <f t="shared" si="27"/>
        <v>350</v>
      </c>
      <c r="W81" s="218">
        <v>350</v>
      </c>
      <c r="X81" s="218"/>
      <c r="Y81" s="218"/>
      <c r="Z81" s="218"/>
      <c r="AA81" s="218"/>
      <c r="AB81" s="218">
        <f t="shared" si="28"/>
        <v>350</v>
      </c>
      <c r="AC81" s="216">
        <f t="shared" si="104"/>
        <v>1220</v>
      </c>
      <c r="AD81" s="216">
        <f t="shared" si="105"/>
        <v>1220</v>
      </c>
    </row>
    <row r="82" spans="1:30" ht="22.5" x14ac:dyDescent="0.25">
      <c r="A82" s="294"/>
      <c r="B82" s="217" t="s">
        <v>616</v>
      </c>
      <c r="C82" s="271" t="s">
        <v>30</v>
      </c>
      <c r="D82" s="284"/>
      <c r="E82" s="249">
        <v>870</v>
      </c>
      <c r="F82" s="219"/>
      <c r="G82" s="219"/>
      <c r="H82" s="219"/>
      <c r="I82" s="219"/>
      <c r="J82" s="219">
        <f t="shared" si="54"/>
        <v>870</v>
      </c>
      <c r="K82" s="219">
        <v>1250</v>
      </c>
      <c r="L82" s="219"/>
      <c r="M82" s="219"/>
      <c r="N82" s="219"/>
      <c r="O82" s="219"/>
      <c r="P82" s="219">
        <f t="shared" si="55"/>
        <v>1250</v>
      </c>
      <c r="Q82" s="219">
        <v>1250</v>
      </c>
      <c r="R82" s="219"/>
      <c r="S82" s="219"/>
      <c r="T82" s="219"/>
      <c r="U82" s="219"/>
      <c r="V82" s="219">
        <f t="shared" si="27"/>
        <v>1250</v>
      </c>
      <c r="W82" s="218">
        <v>1250</v>
      </c>
      <c r="X82" s="218"/>
      <c r="Y82" s="218"/>
      <c r="Z82" s="218"/>
      <c r="AA82" s="218"/>
      <c r="AB82" s="218">
        <f t="shared" si="28"/>
        <v>1250</v>
      </c>
      <c r="AC82" s="216">
        <f t="shared" si="104"/>
        <v>4620</v>
      </c>
      <c r="AD82" s="216">
        <f t="shared" si="105"/>
        <v>4620</v>
      </c>
    </row>
    <row r="83" spans="1:30" ht="22.5" x14ac:dyDescent="0.25">
      <c r="A83" s="294"/>
      <c r="B83" s="217" t="s">
        <v>617</v>
      </c>
      <c r="C83" s="271" t="s">
        <v>30</v>
      </c>
      <c r="D83" s="284"/>
      <c r="E83" s="219">
        <v>350</v>
      </c>
      <c r="F83" s="219"/>
      <c r="G83" s="219"/>
      <c r="H83" s="219"/>
      <c r="I83" s="219"/>
      <c r="J83" s="219">
        <f t="shared" si="54"/>
        <v>350</v>
      </c>
      <c r="K83" s="219">
        <v>400</v>
      </c>
      <c r="L83" s="219"/>
      <c r="M83" s="219"/>
      <c r="N83" s="219"/>
      <c r="O83" s="219"/>
      <c r="P83" s="219">
        <f t="shared" si="55"/>
        <v>400</v>
      </c>
      <c r="Q83" s="219">
        <v>400</v>
      </c>
      <c r="R83" s="219"/>
      <c r="S83" s="219"/>
      <c r="T83" s="219"/>
      <c r="U83" s="219"/>
      <c r="V83" s="219">
        <f t="shared" si="27"/>
        <v>400</v>
      </c>
      <c r="W83" s="218">
        <v>400</v>
      </c>
      <c r="X83" s="218"/>
      <c r="Y83" s="218"/>
      <c r="Z83" s="218"/>
      <c r="AA83" s="218"/>
      <c r="AB83" s="218">
        <f t="shared" si="28"/>
        <v>400</v>
      </c>
      <c r="AC83" s="216">
        <f t="shared" si="104"/>
        <v>1550</v>
      </c>
      <c r="AD83" s="216">
        <f t="shared" si="105"/>
        <v>1550</v>
      </c>
    </row>
    <row r="84" spans="1:30" ht="22.5" x14ac:dyDescent="0.25">
      <c r="A84" s="294"/>
      <c r="B84" s="217" t="s">
        <v>689</v>
      </c>
      <c r="C84" s="271" t="s">
        <v>30</v>
      </c>
      <c r="D84" s="285"/>
      <c r="E84" s="219">
        <v>20000</v>
      </c>
      <c r="F84" s="219"/>
      <c r="G84" s="219"/>
      <c r="H84" s="219"/>
      <c r="I84" s="219"/>
      <c r="J84" s="219">
        <f t="shared" si="54"/>
        <v>20000</v>
      </c>
      <c r="K84" s="219">
        <v>5000</v>
      </c>
      <c r="L84" s="219"/>
      <c r="M84" s="219"/>
      <c r="N84" s="219"/>
      <c r="O84" s="219"/>
      <c r="P84" s="219">
        <f t="shared" si="55"/>
        <v>5000</v>
      </c>
      <c r="Q84" s="219">
        <v>0</v>
      </c>
      <c r="R84" s="219"/>
      <c r="S84" s="219"/>
      <c r="T84" s="219"/>
      <c r="U84" s="219"/>
      <c r="V84" s="219">
        <f t="shared" si="27"/>
        <v>0</v>
      </c>
      <c r="W84" s="218">
        <v>0</v>
      </c>
      <c r="X84" s="218"/>
      <c r="Y84" s="218"/>
      <c r="Z84" s="218"/>
      <c r="AA84" s="218"/>
      <c r="AB84" s="218">
        <f t="shared" si="28"/>
        <v>0</v>
      </c>
      <c r="AC84" s="216">
        <f t="shared" si="104"/>
        <v>25000</v>
      </c>
      <c r="AD84" s="216">
        <f t="shared" si="105"/>
        <v>25000</v>
      </c>
    </row>
    <row r="85" spans="1:30" x14ac:dyDescent="0.25">
      <c r="A85" s="294" t="s">
        <v>325</v>
      </c>
      <c r="B85" s="214"/>
      <c r="C85" s="214"/>
      <c r="D85" s="276"/>
      <c r="E85" s="216">
        <f>SUM(E86:E89)</f>
        <v>92520</v>
      </c>
      <c r="F85" s="216">
        <f t="shared" ref="F85:I85" si="106">SUM(F86:F89)</f>
        <v>10000</v>
      </c>
      <c r="G85" s="216">
        <f t="shared" si="106"/>
        <v>39044</v>
      </c>
      <c r="H85" s="216">
        <f>SUM(H86:H89)</f>
        <v>0</v>
      </c>
      <c r="I85" s="216">
        <f t="shared" si="106"/>
        <v>1300</v>
      </c>
      <c r="J85" s="216">
        <f t="shared" si="54"/>
        <v>142864</v>
      </c>
      <c r="K85" s="216">
        <f>SUM(K86:K89)</f>
        <v>87810</v>
      </c>
      <c r="L85" s="216">
        <f t="shared" ref="L85:O85" si="107">SUM(L86:L89)</f>
        <v>20000</v>
      </c>
      <c r="M85" s="216">
        <f t="shared" si="107"/>
        <v>0</v>
      </c>
      <c r="N85" s="216"/>
      <c r="O85" s="216">
        <f t="shared" si="107"/>
        <v>1500</v>
      </c>
      <c r="P85" s="216">
        <f t="shared" si="55"/>
        <v>109310</v>
      </c>
      <c r="Q85" s="216">
        <f>SUM(Q86:Q89)</f>
        <v>79170</v>
      </c>
      <c r="R85" s="216">
        <f t="shared" ref="R85:U85" si="108">SUM(R86:R89)</f>
        <v>20000</v>
      </c>
      <c r="S85" s="216">
        <f t="shared" si="108"/>
        <v>0</v>
      </c>
      <c r="T85" s="216"/>
      <c r="U85" s="216">
        <f t="shared" si="108"/>
        <v>0</v>
      </c>
      <c r="V85" s="216">
        <f t="shared" ref="V85:W142" si="109">SUM(Q85:U85)</f>
        <v>99170</v>
      </c>
      <c r="W85" s="216">
        <f>SUM(W86:W89)</f>
        <v>78670</v>
      </c>
      <c r="X85" s="216">
        <f t="shared" ref="X85:AA85" si="110">SUM(X86:X89)</f>
        <v>20000</v>
      </c>
      <c r="Y85" s="216">
        <f t="shared" si="110"/>
        <v>0</v>
      </c>
      <c r="Z85" s="216"/>
      <c r="AA85" s="216">
        <f t="shared" si="110"/>
        <v>0</v>
      </c>
      <c r="AB85" s="216">
        <f t="shared" ref="AB85:AB144" si="111">W85+X85+Y85+AA85</f>
        <v>98670</v>
      </c>
      <c r="AC85" s="216">
        <f t="shared" si="104"/>
        <v>338170</v>
      </c>
      <c r="AD85" s="216">
        <f t="shared" si="105"/>
        <v>450014</v>
      </c>
    </row>
    <row r="86" spans="1:30" ht="190.5" customHeight="1" x14ac:dyDescent="0.25">
      <c r="A86" s="294"/>
      <c r="B86" s="217" t="s">
        <v>618</v>
      </c>
      <c r="C86" s="271" t="s">
        <v>50</v>
      </c>
      <c r="D86" s="283" t="s">
        <v>735</v>
      </c>
      <c r="E86" s="223">
        <f>45000+10000+9000+5000</f>
        <v>69000</v>
      </c>
      <c r="F86" s="241">
        <v>10000</v>
      </c>
      <c r="G86" s="223">
        <f>37585-1589</f>
        <v>35996</v>
      </c>
      <c r="H86" s="223"/>
      <c r="I86" s="223">
        <v>1300</v>
      </c>
      <c r="J86" s="223">
        <f t="shared" ref="J86:J89" si="112">SUM(E86:I86)</f>
        <v>116296</v>
      </c>
      <c r="K86" s="223">
        <v>67000</v>
      </c>
      <c r="L86" s="223">
        <v>20000</v>
      </c>
      <c r="M86" s="223"/>
      <c r="N86" s="223"/>
      <c r="O86" s="223">
        <v>1500</v>
      </c>
      <c r="P86" s="223">
        <f t="shared" si="55"/>
        <v>88500</v>
      </c>
      <c r="Q86" s="223">
        <v>56500</v>
      </c>
      <c r="R86" s="223">
        <v>20000</v>
      </c>
      <c r="S86" s="223"/>
      <c r="T86" s="223"/>
      <c r="U86" s="223"/>
      <c r="V86" s="223">
        <f t="shared" si="109"/>
        <v>76500</v>
      </c>
      <c r="W86" s="222">
        <v>57000</v>
      </c>
      <c r="X86" s="222">
        <v>20000</v>
      </c>
      <c r="Y86" s="222"/>
      <c r="Z86" s="222"/>
      <c r="AA86" s="222"/>
      <c r="AB86" s="218">
        <f t="shared" si="111"/>
        <v>77000</v>
      </c>
      <c r="AC86" s="216">
        <f t="shared" si="104"/>
        <v>249500</v>
      </c>
      <c r="AD86" s="216">
        <f t="shared" si="105"/>
        <v>358296</v>
      </c>
    </row>
    <row r="87" spans="1:30" ht="71.25" customHeight="1" x14ac:dyDescent="0.25">
      <c r="A87" s="294"/>
      <c r="B87" s="217" t="s">
        <v>619</v>
      </c>
      <c r="C87" s="271" t="s">
        <v>209</v>
      </c>
      <c r="D87" s="284"/>
      <c r="E87" s="223">
        <f>7750-950-1190</f>
        <v>5610</v>
      </c>
      <c r="F87" s="223"/>
      <c r="G87" s="223">
        <f>2027-414</f>
        <v>1613</v>
      </c>
      <c r="H87" s="223"/>
      <c r="I87" s="223"/>
      <c r="J87" s="223">
        <f t="shared" si="112"/>
        <v>7223</v>
      </c>
      <c r="K87" s="223">
        <v>7750</v>
      </c>
      <c r="L87" s="223"/>
      <c r="M87" s="223"/>
      <c r="N87" s="223"/>
      <c r="O87" s="223"/>
      <c r="P87" s="223">
        <f t="shared" si="55"/>
        <v>7750</v>
      </c>
      <c r="Q87" s="223">
        <v>6450</v>
      </c>
      <c r="R87" s="223"/>
      <c r="S87" s="223"/>
      <c r="T87" s="223"/>
      <c r="U87" s="223"/>
      <c r="V87" s="223">
        <f t="shared" si="109"/>
        <v>6450</v>
      </c>
      <c r="W87" s="222">
        <v>5450</v>
      </c>
      <c r="X87" s="222"/>
      <c r="Y87" s="222"/>
      <c r="Z87" s="222"/>
      <c r="AA87" s="222"/>
      <c r="AB87" s="218">
        <f t="shared" si="111"/>
        <v>5450</v>
      </c>
      <c r="AC87" s="216">
        <f t="shared" si="104"/>
        <v>25260</v>
      </c>
      <c r="AD87" s="216">
        <f t="shared" si="105"/>
        <v>26873</v>
      </c>
    </row>
    <row r="88" spans="1:30" ht="22.5" x14ac:dyDescent="0.25">
      <c r="A88" s="294"/>
      <c r="B88" s="217" t="s">
        <v>620</v>
      </c>
      <c r="C88" s="271" t="s">
        <v>210</v>
      </c>
      <c r="D88" s="284"/>
      <c r="E88" s="223">
        <f>25060-1700-200-6000-150</f>
        <v>17010</v>
      </c>
      <c r="F88" s="223"/>
      <c r="G88" s="223"/>
      <c r="H88" s="223"/>
      <c r="I88" s="223"/>
      <c r="J88" s="223">
        <f t="shared" si="112"/>
        <v>17010</v>
      </c>
      <c r="K88" s="223">
        <v>13060</v>
      </c>
      <c r="L88" s="223"/>
      <c r="M88" s="223"/>
      <c r="N88" s="223"/>
      <c r="O88" s="223"/>
      <c r="P88" s="223">
        <f t="shared" si="55"/>
        <v>13060</v>
      </c>
      <c r="Q88" s="223">
        <v>16220</v>
      </c>
      <c r="R88" s="223"/>
      <c r="S88" s="223"/>
      <c r="T88" s="223"/>
      <c r="U88" s="223"/>
      <c r="V88" s="223">
        <f t="shared" si="109"/>
        <v>16220</v>
      </c>
      <c r="W88" s="222">
        <v>16220</v>
      </c>
      <c r="X88" s="222"/>
      <c r="Y88" s="222"/>
      <c r="Z88" s="222"/>
      <c r="AA88" s="222"/>
      <c r="AB88" s="218">
        <f t="shared" si="111"/>
        <v>16220</v>
      </c>
      <c r="AC88" s="216">
        <f t="shared" si="104"/>
        <v>62510</v>
      </c>
      <c r="AD88" s="216">
        <f t="shared" si="105"/>
        <v>62510</v>
      </c>
    </row>
    <row r="89" spans="1:30" ht="72.75" customHeight="1" x14ac:dyDescent="0.25">
      <c r="A89" s="294"/>
      <c r="B89" s="217" t="s">
        <v>621</v>
      </c>
      <c r="C89" s="271" t="s">
        <v>51</v>
      </c>
      <c r="D89" s="285"/>
      <c r="E89" s="223">
        <v>900</v>
      </c>
      <c r="F89" s="242"/>
      <c r="G89" s="223">
        <v>1435</v>
      </c>
      <c r="H89" s="223"/>
      <c r="I89" s="223"/>
      <c r="J89" s="223">
        <f t="shared" si="112"/>
        <v>2335</v>
      </c>
      <c r="K89" s="223"/>
      <c r="L89" s="223"/>
      <c r="M89" s="223"/>
      <c r="N89" s="223"/>
      <c r="O89" s="223"/>
      <c r="P89" s="223">
        <f t="shared" si="55"/>
        <v>0</v>
      </c>
      <c r="Q89" s="223"/>
      <c r="R89" s="223"/>
      <c r="S89" s="223"/>
      <c r="T89" s="223"/>
      <c r="U89" s="223"/>
      <c r="V89" s="223">
        <f t="shared" si="109"/>
        <v>0</v>
      </c>
      <c r="W89" s="222"/>
      <c r="X89" s="222"/>
      <c r="Y89" s="222"/>
      <c r="Z89" s="222"/>
      <c r="AA89" s="222"/>
      <c r="AB89" s="218">
        <f t="shared" si="111"/>
        <v>0</v>
      </c>
      <c r="AC89" s="216">
        <f t="shared" si="104"/>
        <v>900</v>
      </c>
      <c r="AD89" s="216">
        <f t="shared" si="105"/>
        <v>2335</v>
      </c>
    </row>
    <row r="90" spans="1:30" ht="15" customHeight="1" x14ac:dyDescent="0.25">
      <c r="A90" s="289" t="s">
        <v>326</v>
      </c>
      <c r="B90" s="214"/>
      <c r="C90" s="214"/>
      <c r="D90" s="276"/>
      <c r="E90" s="216">
        <f>SUM(E91:E99)</f>
        <v>10072</v>
      </c>
      <c r="F90" s="216">
        <f t="shared" ref="F90:AB90" si="113">SUM(F91:F99)</f>
        <v>0</v>
      </c>
      <c r="G90" s="216">
        <f t="shared" si="113"/>
        <v>0</v>
      </c>
      <c r="H90" s="216">
        <f t="shared" si="113"/>
        <v>0</v>
      </c>
      <c r="I90" s="216">
        <f t="shared" si="113"/>
        <v>0</v>
      </c>
      <c r="J90" s="216">
        <f t="shared" si="113"/>
        <v>10030</v>
      </c>
      <c r="K90" s="216">
        <f t="shared" si="113"/>
        <v>9030</v>
      </c>
      <c r="L90" s="216">
        <f t="shared" si="113"/>
        <v>0</v>
      </c>
      <c r="M90" s="216">
        <f t="shared" si="113"/>
        <v>0</v>
      </c>
      <c r="N90" s="216">
        <f t="shared" si="113"/>
        <v>0</v>
      </c>
      <c r="O90" s="216">
        <f t="shared" si="113"/>
        <v>0</v>
      </c>
      <c r="P90" s="216">
        <f t="shared" si="113"/>
        <v>9030</v>
      </c>
      <c r="Q90" s="216">
        <f t="shared" si="113"/>
        <v>8030</v>
      </c>
      <c r="R90" s="216">
        <f t="shared" si="113"/>
        <v>0</v>
      </c>
      <c r="S90" s="216">
        <f t="shared" si="113"/>
        <v>0</v>
      </c>
      <c r="T90" s="216">
        <f t="shared" si="113"/>
        <v>0</v>
      </c>
      <c r="U90" s="216">
        <f t="shared" si="113"/>
        <v>0</v>
      </c>
      <c r="V90" s="216">
        <f t="shared" si="113"/>
        <v>8030</v>
      </c>
      <c r="W90" s="216">
        <f t="shared" si="113"/>
        <v>8030</v>
      </c>
      <c r="X90" s="216">
        <f t="shared" si="113"/>
        <v>0</v>
      </c>
      <c r="Y90" s="216">
        <f t="shared" si="113"/>
        <v>0</v>
      </c>
      <c r="Z90" s="216">
        <f t="shared" si="113"/>
        <v>0</v>
      </c>
      <c r="AA90" s="216">
        <f t="shared" si="113"/>
        <v>0</v>
      </c>
      <c r="AB90" s="216">
        <f t="shared" si="113"/>
        <v>8030</v>
      </c>
      <c r="AC90" s="216">
        <f t="shared" si="104"/>
        <v>35162</v>
      </c>
      <c r="AD90" s="216">
        <f t="shared" si="105"/>
        <v>35120</v>
      </c>
    </row>
    <row r="91" spans="1:30" ht="60" customHeight="1" x14ac:dyDescent="0.25">
      <c r="A91" s="290"/>
      <c r="B91" s="255" t="s">
        <v>622</v>
      </c>
      <c r="C91" s="271"/>
      <c r="D91" s="283" t="s">
        <v>736</v>
      </c>
      <c r="E91" s="219"/>
      <c r="F91" s="219"/>
      <c r="G91" s="219"/>
      <c r="H91" s="219"/>
      <c r="I91" s="219"/>
      <c r="J91" s="219"/>
      <c r="K91" s="219"/>
      <c r="L91" s="219"/>
      <c r="M91" s="219"/>
      <c r="N91" s="219"/>
      <c r="O91" s="219"/>
      <c r="P91" s="219"/>
      <c r="Q91" s="219"/>
      <c r="R91" s="219"/>
      <c r="S91" s="219"/>
      <c r="T91" s="219"/>
      <c r="U91" s="219"/>
      <c r="V91" s="219"/>
      <c r="W91" s="218"/>
      <c r="X91" s="218"/>
      <c r="Y91" s="218"/>
      <c r="Z91" s="218"/>
      <c r="AA91" s="218"/>
      <c r="AB91" s="218"/>
      <c r="AC91" s="216">
        <f t="shared" si="104"/>
        <v>0</v>
      </c>
      <c r="AD91" s="216">
        <f t="shared" si="105"/>
        <v>0</v>
      </c>
    </row>
    <row r="92" spans="1:30" ht="33.75" x14ac:dyDescent="0.25">
      <c r="A92" s="290"/>
      <c r="B92" s="217" t="s">
        <v>623</v>
      </c>
      <c r="C92" s="271" t="s">
        <v>761</v>
      </c>
      <c r="D92" s="284"/>
      <c r="E92" s="219">
        <v>1830</v>
      </c>
      <c r="F92" s="219"/>
      <c r="G92" s="219"/>
      <c r="H92" s="219"/>
      <c r="I92" s="219"/>
      <c r="J92" s="219">
        <f t="shared" ref="J92:J98" si="114">SUM(E92:I92)</f>
        <v>1830</v>
      </c>
      <c r="K92" s="219">
        <v>1830</v>
      </c>
      <c r="L92" s="219"/>
      <c r="M92" s="219"/>
      <c r="N92" s="219"/>
      <c r="O92" s="219"/>
      <c r="P92" s="219">
        <f t="shared" si="55"/>
        <v>1830</v>
      </c>
      <c r="Q92" s="219">
        <v>1830</v>
      </c>
      <c r="R92" s="219"/>
      <c r="S92" s="219"/>
      <c r="T92" s="219"/>
      <c r="U92" s="219"/>
      <c r="V92" s="219">
        <f t="shared" si="109"/>
        <v>1830</v>
      </c>
      <c r="W92" s="218">
        <v>1830</v>
      </c>
      <c r="X92" s="218"/>
      <c r="Y92" s="218"/>
      <c r="Z92" s="218"/>
      <c r="AA92" s="218"/>
      <c r="AB92" s="218">
        <f t="shared" ref="AB92:AB98" si="115">SUM(W92:AA92)</f>
        <v>1830</v>
      </c>
      <c r="AC92" s="216">
        <f t="shared" si="104"/>
        <v>7320</v>
      </c>
      <c r="AD92" s="216">
        <f t="shared" si="105"/>
        <v>7320</v>
      </c>
    </row>
    <row r="93" spans="1:30" ht="33.75" x14ac:dyDescent="0.25">
      <c r="A93" s="290"/>
      <c r="B93" s="217" t="s">
        <v>624</v>
      </c>
      <c r="C93" s="271" t="s">
        <v>25</v>
      </c>
      <c r="D93" s="284"/>
      <c r="E93" s="219">
        <v>1000</v>
      </c>
      <c r="F93" s="219"/>
      <c r="G93" s="219"/>
      <c r="H93" s="219"/>
      <c r="I93" s="219"/>
      <c r="J93" s="219">
        <f t="shared" si="114"/>
        <v>1000</v>
      </c>
      <c r="K93" s="219">
        <v>1000</v>
      </c>
      <c r="L93" s="219"/>
      <c r="M93" s="219"/>
      <c r="N93" s="219"/>
      <c r="O93" s="219"/>
      <c r="P93" s="219">
        <f t="shared" si="55"/>
        <v>1000</v>
      </c>
      <c r="Q93" s="219"/>
      <c r="R93" s="219"/>
      <c r="S93" s="219"/>
      <c r="T93" s="219"/>
      <c r="U93" s="219"/>
      <c r="V93" s="219">
        <f t="shared" si="109"/>
        <v>0</v>
      </c>
      <c r="W93" s="218"/>
      <c r="X93" s="218"/>
      <c r="Y93" s="218"/>
      <c r="Z93" s="218"/>
      <c r="AA93" s="218"/>
      <c r="AB93" s="218">
        <f t="shared" si="115"/>
        <v>0</v>
      </c>
      <c r="AC93" s="216">
        <f t="shared" si="104"/>
        <v>2000</v>
      </c>
      <c r="AD93" s="216">
        <f t="shared" si="105"/>
        <v>2000</v>
      </c>
    </row>
    <row r="94" spans="1:30" ht="60" customHeight="1" x14ac:dyDescent="0.25">
      <c r="A94" s="290"/>
      <c r="B94" s="217" t="s">
        <v>625</v>
      </c>
      <c r="C94" s="271" t="s">
        <v>25</v>
      </c>
      <c r="D94" s="284"/>
      <c r="E94" s="219">
        <v>1000</v>
      </c>
      <c r="F94" s="219"/>
      <c r="G94" s="219"/>
      <c r="H94" s="219"/>
      <c r="I94" s="219"/>
      <c r="J94" s="219">
        <f t="shared" si="114"/>
        <v>1000</v>
      </c>
      <c r="K94" s="219"/>
      <c r="L94" s="219"/>
      <c r="M94" s="219"/>
      <c r="N94" s="219"/>
      <c r="O94" s="219"/>
      <c r="P94" s="219">
        <f t="shared" si="55"/>
        <v>0</v>
      </c>
      <c r="Q94" s="219"/>
      <c r="R94" s="219"/>
      <c r="S94" s="219"/>
      <c r="T94" s="219"/>
      <c r="U94" s="219"/>
      <c r="V94" s="219">
        <f t="shared" si="109"/>
        <v>0</v>
      </c>
      <c r="W94" s="218"/>
      <c r="X94" s="218"/>
      <c r="Y94" s="218"/>
      <c r="Z94" s="218"/>
      <c r="AA94" s="218"/>
      <c r="AB94" s="218">
        <f t="shared" si="115"/>
        <v>0</v>
      </c>
      <c r="AC94" s="216">
        <f t="shared" si="104"/>
        <v>1000</v>
      </c>
      <c r="AD94" s="216">
        <f t="shared" si="105"/>
        <v>1000</v>
      </c>
    </row>
    <row r="95" spans="1:30" ht="48" customHeight="1" x14ac:dyDescent="0.25">
      <c r="A95" s="290"/>
      <c r="B95" s="255" t="s">
        <v>678</v>
      </c>
      <c r="C95" s="271" t="s">
        <v>43</v>
      </c>
      <c r="D95" s="284"/>
      <c r="E95" s="219">
        <f>6000+150</f>
        <v>6150</v>
      </c>
      <c r="F95" s="219"/>
      <c r="G95" s="219"/>
      <c r="H95" s="219"/>
      <c r="I95" s="219"/>
      <c r="J95" s="219">
        <f t="shared" si="114"/>
        <v>6150</v>
      </c>
      <c r="K95" s="219">
        <v>6150</v>
      </c>
      <c r="L95" s="219"/>
      <c r="M95" s="219"/>
      <c r="N95" s="219"/>
      <c r="O95" s="219"/>
      <c r="P95" s="219">
        <f t="shared" si="55"/>
        <v>6150</v>
      </c>
      <c r="Q95" s="219">
        <v>6150</v>
      </c>
      <c r="R95" s="219"/>
      <c r="S95" s="219"/>
      <c r="T95" s="219"/>
      <c r="U95" s="219"/>
      <c r="V95" s="219">
        <f t="shared" si="109"/>
        <v>6150</v>
      </c>
      <c r="W95" s="218">
        <v>6150</v>
      </c>
      <c r="X95" s="218"/>
      <c r="Y95" s="218"/>
      <c r="Z95" s="218"/>
      <c r="AA95" s="218"/>
      <c r="AB95" s="218">
        <f t="shared" si="115"/>
        <v>6150</v>
      </c>
      <c r="AC95" s="216">
        <f t="shared" si="104"/>
        <v>24600</v>
      </c>
      <c r="AD95" s="216">
        <f t="shared" si="105"/>
        <v>24600</v>
      </c>
    </row>
    <row r="96" spans="1:30" ht="76.5" customHeight="1" x14ac:dyDescent="0.25">
      <c r="A96" s="290"/>
      <c r="B96" s="217" t="s">
        <v>679</v>
      </c>
      <c r="C96" s="271" t="s">
        <v>25</v>
      </c>
      <c r="D96" s="284"/>
      <c r="E96" s="219"/>
      <c r="F96" s="219"/>
      <c r="G96" s="219"/>
      <c r="H96" s="219"/>
      <c r="I96" s="219"/>
      <c r="J96" s="219">
        <f t="shared" si="114"/>
        <v>0</v>
      </c>
      <c r="K96" s="219"/>
      <c r="L96" s="219"/>
      <c r="M96" s="219"/>
      <c r="N96" s="219"/>
      <c r="O96" s="219"/>
      <c r="P96" s="219">
        <f t="shared" si="55"/>
        <v>0</v>
      </c>
      <c r="Q96" s="219"/>
      <c r="R96" s="219"/>
      <c r="S96" s="219"/>
      <c r="T96" s="219"/>
      <c r="U96" s="219"/>
      <c r="V96" s="219">
        <f t="shared" si="109"/>
        <v>0</v>
      </c>
      <c r="W96" s="218"/>
      <c r="X96" s="218"/>
      <c r="Y96" s="218"/>
      <c r="Z96" s="218"/>
      <c r="AA96" s="218"/>
      <c r="AB96" s="218">
        <f t="shared" si="115"/>
        <v>0</v>
      </c>
      <c r="AC96" s="216">
        <f t="shared" si="104"/>
        <v>0</v>
      </c>
      <c r="AD96" s="216">
        <f t="shared" si="105"/>
        <v>0</v>
      </c>
    </row>
    <row r="97" spans="1:30" ht="62.25" customHeight="1" x14ac:dyDescent="0.25">
      <c r="A97" s="290"/>
      <c r="B97" s="217" t="s">
        <v>704</v>
      </c>
      <c r="C97" s="271"/>
      <c r="D97" s="284"/>
      <c r="E97" s="219"/>
      <c r="F97" s="219"/>
      <c r="G97" s="219"/>
      <c r="H97" s="219"/>
      <c r="I97" s="219"/>
      <c r="J97" s="219"/>
      <c r="K97" s="219"/>
      <c r="L97" s="219"/>
      <c r="M97" s="219"/>
      <c r="N97" s="219"/>
      <c r="O97" s="219"/>
      <c r="P97" s="219"/>
      <c r="Q97" s="219"/>
      <c r="R97" s="219"/>
      <c r="S97" s="219"/>
      <c r="T97" s="219"/>
      <c r="U97" s="219"/>
      <c r="V97" s="219"/>
      <c r="W97" s="218"/>
      <c r="X97" s="218"/>
      <c r="Y97" s="218"/>
      <c r="Z97" s="218"/>
      <c r="AA97" s="218"/>
      <c r="AB97" s="218"/>
      <c r="AC97" s="216"/>
      <c r="AD97" s="216"/>
    </row>
    <row r="98" spans="1:30" ht="29.25" customHeight="1" x14ac:dyDescent="0.25">
      <c r="A98" s="290"/>
      <c r="B98" s="226" t="s">
        <v>680</v>
      </c>
      <c r="C98" s="271" t="s">
        <v>24</v>
      </c>
      <c r="D98" s="284"/>
      <c r="E98" s="219">
        <v>50</v>
      </c>
      <c r="F98" s="219"/>
      <c r="G98" s="219"/>
      <c r="H98" s="219"/>
      <c r="I98" s="219"/>
      <c r="J98" s="219">
        <f t="shared" si="114"/>
        <v>50</v>
      </c>
      <c r="K98" s="219">
        <v>50</v>
      </c>
      <c r="L98" s="219"/>
      <c r="M98" s="219"/>
      <c r="N98" s="219"/>
      <c r="O98" s="219"/>
      <c r="P98" s="219">
        <f t="shared" si="55"/>
        <v>50</v>
      </c>
      <c r="Q98" s="219">
        <v>50</v>
      </c>
      <c r="R98" s="219"/>
      <c r="S98" s="219"/>
      <c r="T98" s="219"/>
      <c r="U98" s="219"/>
      <c r="V98" s="219">
        <f t="shared" si="109"/>
        <v>50</v>
      </c>
      <c r="W98" s="218">
        <v>50</v>
      </c>
      <c r="X98" s="218"/>
      <c r="Y98" s="218"/>
      <c r="Z98" s="218"/>
      <c r="AA98" s="218"/>
      <c r="AB98" s="218">
        <f t="shared" si="115"/>
        <v>50</v>
      </c>
      <c r="AC98" s="216">
        <f t="shared" si="104"/>
        <v>200</v>
      </c>
      <c r="AD98" s="216">
        <f t="shared" si="105"/>
        <v>200</v>
      </c>
    </row>
    <row r="99" spans="1:30" ht="51" customHeight="1" x14ac:dyDescent="0.25">
      <c r="A99" s="300"/>
      <c r="B99" s="226" t="s">
        <v>705</v>
      </c>
      <c r="C99" s="271"/>
      <c r="D99" s="285"/>
      <c r="E99" s="249">
        <v>42</v>
      </c>
      <c r="F99" s="219"/>
      <c r="G99" s="219"/>
      <c r="H99" s="219"/>
      <c r="I99" s="219"/>
      <c r="J99" s="219"/>
      <c r="K99" s="219"/>
      <c r="L99" s="219"/>
      <c r="M99" s="219"/>
      <c r="N99" s="219"/>
      <c r="O99" s="219"/>
      <c r="P99" s="219"/>
      <c r="Q99" s="219"/>
      <c r="R99" s="219"/>
      <c r="S99" s="219"/>
      <c r="T99" s="219"/>
      <c r="U99" s="219"/>
      <c r="V99" s="219"/>
      <c r="W99" s="218"/>
      <c r="X99" s="218"/>
      <c r="Y99" s="218"/>
      <c r="Z99" s="218"/>
      <c r="AA99" s="218"/>
      <c r="AB99" s="218"/>
      <c r="AC99" s="216"/>
      <c r="AD99" s="216"/>
    </row>
    <row r="100" spans="1:30" x14ac:dyDescent="0.25">
      <c r="A100" s="294" t="s">
        <v>327</v>
      </c>
      <c r="B100" s="214"/>
      <c r="C100" s="214"/>
      <c r="D100" s="276"/>
      <c r="E100" s="216">
        <f>SUM(E101:E104)</f>
        <v>17500</v>
      </c>
      <c r="F100" s="216">
        <f t="shared" ref="F100:I100" si="116">SUM(F101:F104)</f>
        <v>0</v>
      </c>
      <c r="G100" s="216">
        <f t="shared" si="116"/>
        <v>0</v>
      </c>
      <c r="H100" s="216">
        <f>SUM(H101:H104)</f>
        <v>0</v>
      </c>
      <c r="I100" s="216">
        <f t="shared" si="116"/>
        <v>0</v>
      </c>
      <c r="J100" s="216">
        <f t="shared" si="54"/>
        <v>17500</v>
      </c>
      <c r="K100" s="216">
        <f>SUM(K101:K104)</f>
        <v>18000</v>
      </c>
      <c r="L100" s="216">
        <f t="shared" ref="L100:O100" si="117">SUM(L101:L104)</f>
        <v>0</v>
      </c>
      <c r="M100" s="216">
        <f t="shared" si="117"/>
        <v>0</v>
      </c>
      <c r="N100" s="216"/>
      <c r="O100" s="216">
        <f t="shared" si="117"/>
        <v>0</v>
      </c>
      <c r="P100" s="216">
        <f t="shared" si="55"/>
        <v>18000</v>
      </c>
      <c r="Q100" s="216">
        <f>SUM(Q101:Q104)</f>
        <v>18000</v>
      </c>
      <c r="R100" s="216">
        <f t="shared" ref="R100:U100" si="118">SUM(R101:R104)</f>
        <v>0</v>
      </c>
      <c r="S100" s="216">
        <f t="shared" si="118"/>
        <v>0</v>
      </c>
      <c r="T100" s="216"/>
      <c r="U100" s="216">
        <f t="shared" si="118"/>
        <v>0</v>
      </c>
      <c r="V100" s="216">
        <f t="shared" si="109"/>
        <v>18000</v>
      </c>
      <c r="W100" s="216">
        <f>SUM(W101:W104)</f>
        <v>18000</v>
      </c>
      <c r="X100" s="216">
        <f t="shared" ref="X100:AA100" si="119">SUM(X101:X104)</f>
        <v>0</v>
      </c>
      <c r="Y100" s="216">
        <f t="shared" si="119"/>
        <v>0</v>
      </c>
      <c r="Z100" s="216"/>
      <c r="AA100" s="216">
        <f t="shared" si="119"/>
        <v>0</v>
      </c>
      <c r="AB100" s="216">
        <f t="shared" si="111"/>
        <v>18000</v>
      </c>
      <c r="AC100" s="216">
        <f t="shared" si="104"/>
        <v>71500</v>
      </c>
      <c r="AD100" s="216">
        <f t="shared" si="105"/>
        <v>71500</v>
      </c>
    </row>
    <row r="101" spans="1:30" ht="204" customHeight="1" x14ac:dyDescent="0.25">
      <c r="A101" s="294"/>
      <c r="B101" s="239" t="s">
        <v>626</v>
      </c>
      <c r="C101" s="271"/>
      <c r="D101" s="283" t="s">
        <v>737</v>
      </c>
      <c r="E101" s="219"/>
      <c r="F101" s="219"/>
      <c r="G101" s="219"/>
      <c r="H101" s="219"/>
      <c r="I101" s="219"/>
      <c r="J101" s="219">
        <f t="shared" si="54"/>
        <v>0</v>
      </c>
      <c r="K101" s="219"/>
      <c r="L101" s="219"/>
      <c r="M101" s="219"/>
      <c r="N101" s="219"/>
      <c r="O101" s="219"/>
      <c r="P101" s="219">
        <f t="shared" si="55"/>
        <v>0</v>
      </c>
      <c r="Q101" s="219"/>
      <c r="R101" s="219"/>
      <c r="S101" s="219"/>
      <c r="T101" s="219"/>
      <c r="U101" s="219"/>
      <c r="V101" s="219">
        <f t="shared" si="109"/>
        <v>0</v>
      </c>
      <c r="W101" s="218"/>
      <c r="X101" s="218"/>
      <c r="Y101" s="218"/>
      <c r="Z101" s="218"/>
      <c r="AA101" s="218"/>
      <c r="AB101" s="218">
        <f t="shared" si="111"/>
        <v>0</v>
      </c>
      <c r="AC101" s="228">
        <f t="shared" si="104"/>
        <v>0</v>
      </c>
      <c r="AD101" s="228">
        <f t="shared" si="105"/>
        <v>0</v>
      </c>
    </row>
    <row r="102" spans="1:30" ht="202.5" x14ac:dyDescent="0.25">
      <c r="A102" s="294"/>
      <c r="B102" s="239" t="s">
        <v>627</v>
      </c>
      <c r="C102" s="271" t="s">
        <v>24</v>
      </c>
      <c r="D102" s="284"/>
      <c r="E102" s="219">
        <v>15000</v>
      </c>
      <c r="F102" s="219"/>
      <c r="G102" s="219"/>
      <c r="H102" s="219"/>
      <c r="I102" s="219"/>
      <c r="J102" s="219">
        <f t="shared" si="54"/>
        <v>15000</v>
      </c>
      <c r="K102" s="219">
        <v>15000</v>
      </c>
      <c r="L102" s="219"/>
      <c r="M102" s="219"/>
      <c r="N102" s="219"/>
      <c r="O102" s="219"/>
      <c r="P102" s="219">
        <f t="shared" si="55"/>
        <v>15000</v>
      </c>
      <c r="Q102" s="219">
        <v>15000</v>
      </c>
      <c r="R102" s="219"/>
      <c r="S102" s="219"/>
      <c r="T102" s="219"/>
      <c r="U102" s="219"/>
      <c r="V102" s="219">
        <f t="shared" si="109"/>
        <v>15000</v>
      </c>
      <c r="W102" s="218">
        <v>15000</v>
      </c>
      <c r="X102" s="218"/>
      <c r="Y102" s="218"/>
      <c r="Z102" s="218"/>
      <c r="AA102" s="218"/>
      <c r="AB102" s="218">
        <f t="shared" si="111"/>
        <v>15000</v>
      </c>
      <c r="AC102" s="228">
        <f t="shared" si="104"/>
        <v>60000</v>
      </c>
      <c r="AD102" s="228">
        <f t="shared" si="105"/>
        <v>60000</v>
      </c>
    </row>
    <row r="103" spans="1:30" ht="180" x14ac:dyDescent="0.25">
      <c r="A103" s="294"/>
      <c r="B103" s="243" t="s">
        <v>628</v>
      </c>
      <c r="C103" s="271" t="s">
        <v>24</v>
      </c>
      <c r="D103" s="284"/>
      <c r="E103" s="219">
        <v>1500</v>
      </c>
      <c r="F103" s="219"/>
      <c r="G103" s="219"/>
      <c r="H103" s="219"/>
      <c r="I103" s="219"/>
      <c r="J103" s="219">
        <f t="shared" si="54"/>
        <v>1500</v>
      </c>
      <c r="K103" s="219">
        <v>1500</v>
      </c>
      <c r="L103" s="219"/>
      <c r="M103" s="219"/>
      <c r="N103" s="219"/>
      <c r="O103" s="219"/>
      <c r="P103" s="219">
        <f t="shared" si="55"/>
        <v>1500</v>
      </c>
      <c r="Q103" s="219">
        <v>1500</v>
      </c>
      <c r="R103" s="219"/>
      <c r="S103" s="219"/>
      <c r="T103" s="219"/>
      <c r="U103" s="219"/>
      <c r="V103" s="219">
        <f t="shared" si="109"/>
        <v>1500</v>
      </c>
      <c r="W103" s="218">
        <v>1500</v>
      </c>
      <c r="X103" s="218"/>
      <c r="Y103" s="218"/>
      <c r="Z103" s="218"/>
      <c r="AA103" s="218"/>
      <c r="AB103" s="218">
        <f t="shared" si="111"/>
        <v>1500</v>
      </c>
      <c r="AC103" s="228">
        <f t="shared" si="104"/>
        <v>6000</v>
      </c>
      <c r="AD103" s="228">
        <f t="shared" si="105"/>
        <v>6000</v>
      </c>
    </row>
    <row r="104" spans="1:30" ht="62.25" customHeight="1" x14ac:dyDescent="0.25">
      <c r="A104" s="294"/>
      <c r="B104" s="243" t="s">
        <v>629</v>
      </c>
      <c r="C104" s="271" t="s">
        <v>24</v>
      </c>
      <c r="D104" s="285"/>
      <c r="E104" s="219">
        <v>1000</v>
      </c>
      <c r="F104" s="219"/>
      <c r="G104" s="219"/>
      <c r="H104" s="219"/>
      <c r="I104" s="219"/>
      <c r="J104" s="219">
        <f t="shared" si="54"/>
        <v>1000</v>
      </c>
      <c r="K104" s="219">
        <v>1500</v>
      </c>
      <c r="L104" s="219"/>
      <c r="M104" s="219"/>
      <c r="N104" s="219"/>
      <c r="O104" s="219"/>
      <c r="P104" s="219">
        <f t="shared" si="55"/>
        <v>1500</v>
      </c>
      <c r="Q104" s="219">
        <v>1500</v>
      </c>
      <c r="R104" s="219"/>
      <c r="S104" s="219"/>
      <c r="T104" s="219"/>
      <c r="U104" s="219"/>
      <c r="V104" s="219">
        <f t="shared" si="109"/>
        <v>1500</v>
      </c>
      <c r="W104" s="218">
        <v>1500</v>
      </c>
      <c r="X104" s="218"/>
      <c r="Y104" s="218"/>
      <c r="Z104" s="218"/>
      <c r="AA104" s="218"/>
      <c r="AB104" s="218">
        <f t="shared" si="111"/>
        <v>1500</v>
      </c>
      <c r="AC104" s="228">
        <f t="shared" si="104"/>
        <v>5500</v>
      </c>
      <c r="AD104" s="228">
        <f t="shared" si="105"/>
        <v>5500</v>
      </c>
    </row>
    <row r="105" spans="1:30" ht="48.75" customHeight="1" x14ac:dyDescent="0.25">
      <c r="A105" s="244" t="s">
        <v>328</v>
      </c>
      <c r="B105" s="237"/>
      <c r="C105" s="237"/>
      <c r="D105" s="277"/>
      <c r="E105" s="245">
        <f t="shared" ref="E105:U105" si="120">E106+E112+E118+E121+E127+E131+E138</f>
        <v>1347615</v>
      </c>
      <c r="F105" s="245">
        <f t="shared" si="120"/>
        <v>10380</v>
      </c>
      <c r="G105" s="245">
        <f t="shared" si="120"/>
        <v>8049.36</v>
      </c>
      <c r="H105" s="245">
        <f>SUM(H106,H112,H118,H121,H127,H131,H138)</f>
        <v>0</v>
      </c>
      <c r="I105" s="245">
        <f t="shared" si="120"/>
        <v>40226</v>
      </c>
      <c r="J105" s="245">
        <f t="shared" si="120"/>
        <v>1406270.3599999999</v>
      </c>
      <c r="K105" s="245">
        <f t="shared" si="120"/>
        <v>1451720</v>
      </c>
      <c r="L105" s="245">
        <f t="shared" si="120"/>
        <v>14000</v>
      </c>
      <c r="M105" s="245">
        <f t="shared" si="120"/>
        <v>5710.63</v>
      </c>
      <c r="N105" s="245"/>
      <c r="O105" s="245">
        <f t="shared" si="120"/>
        <v>33101</v>
      </c>
      <c r="P105" s="245">
        <f t="shared" si="120"/>
        <v>1504531.63</v>
      </c>
      <c r="Q105" s="245">
        <f t="shared" si="120"/>
        <v>1458560</v>
      </c>
      <c r="R105" s="245">
        <f t="shared" si="120"/>
        <v>14000</v>
      </c>
      <c r="S105" s="245">
        <f t="shared" si="120"/>
        <v>5308</v>
      </c>
      <c r="T105" s="245"/>
      <c r="U105" s="245">
        <f t="shared" si="120"/>
        <v>34081</v>
      </c>
      <c r="V105" s="245">
        <f>SUM(Q105:U105)</f>
        <v>1511949</v>
      </c>
      <c r="W105" s="245">
        <f>W106+W112+W118+W121+W127+W131+W138</f>
        <v>1470415</v>
      </c>
      <c r="X105" s="245">
        <f>X106+X112+X118+X121+X127+X131+X138</f>
        <v>14000</v>
      </c>
      <c r="Y105" s="245">
        <f>Y106+Y112+Y118+Y121+Y127+Y131+Y138</f>
        <v>0</v>
      </c>
      <c r="Z105" s="245"/>
      <c r="AA105" s="245">
        <f>AA106+AA112+AA118+AA121+AA127+AA131+AA138</f>
        <v>34081</v>
      </c>
      <c r="AB105" s="245">
        <f>SUM(W105:AA105)</f>
        <v>1518496</v>
      </c>
      <c r="AC105" s="245">
        <f t="shared" si="104"/>
        <v>5728310</v>
      </c>
      <c r="AD105" s="245">
        <f t="shared" si="105"/>
        <v>5941246.9900000002</v>
      </c>
    </row>
    <row r="106" spans="1:30" x14ac:dyDescent="0.25">
      <c r="A106" s="294" t="s">
        <v>329</v>
      </c>
      <c r="B106" s="214"/>
      <c r="C106" s="214"/>
      <c r="D106" s="276"/>
      <c r="E106" s="216">
        <f>SUM(E107:E111)</f>
        <v>97080</v>
      </c>
      <c r="F106" s="216">
        <f>SUM(F107:F111)</f>
        <v>10000</v>
      </c>
      <c r="G106" s="216">
        <f>SUM(G107:G111)</f>
        <v>0</v>
      </c>
      <c r="H106" s="216">
        <f>SUM(H107:H111)</f>
        <v>0</v>
      </c>
      <c r="I106" s="216">
        <f>SUM(I107:I111)</f>
        <v>5840</v>
      </c>
      <c r="J106" s="216">
        <f>SUM(E106:I106)</f>
        <v>112920</v>
      </c>
      <c r="K106" s="216">
        <f>SUM(K107:K111)</f>
        <v>117680</v>
      </c>
      <c r="L106" s="216">
        <f>SUM(L107:L111)</f>
        <v>14000</v>
      </c>
      <c r="M106" s="216">
        <f>SUM(M107:M111)</f>
        <v>0</v>
      </c>
      <c r="N106" s="216"/>
      <c r="O106" s="216">
        <f>SUM(O107:O111)</f>
        <v>5794</v>
      </c>
      <c r="P106" s="216">
        <f>SUM(K106:O106)</f>
        <v>137474</v>
      </c>
      <c r="Q106" s="216">
        <f>SUM(Q107:Q111)</f>
        <v>119200</v>
      </c>
      <c r="R106" s="216">
        <f>SUM(R107:R111)</f>
        <v>14000</v>
      </c>
      <c r="S106" s="216">
        <f>SUM(S107:S111)</f>
        <v>0</v>
      </c>
      <c r="T106" s="216"/>
      <c r="U106" s="216">
        <f>SUM(U107:U111)</f>
        <v>494</v>
      </c>
      <c r="V106" s="216">
        <f>SUM(Q106:U106)</f>
        <v>133694</v>
      </c>
      <c r="W106" s="216">
        <f>SUM(W107:W111)</f>
        <v>120000</v>
      </c>
      <c r="X106" s="216">
        <f>SUM(X107:X111)</f>
        <v>14000</v>
      </c>
      <c r="Y106" s="216">
        <f>SUM(Y107:Y111)</f>
        <v>0</v>
      </c>
      <c r="Z106" s="216"/>
      <c r="AA106" s="216">
        <f>SUM(AA107:AA111)</f>
        <v>494</v>
      </c>
      <c r="AB106" s="216">
        <f>SUM(W106:AA106)</f>
        <v>134494</v>
      </c>
      <c r="AC106" s="216">
        <f t="shared" si="104"/>
        <v>453960</v>
      </c>
      <c r="AD106" s="216">
        <f t="shared" si="105"/>
        <v>518582</v>
      </c>
    </row>
    <row r="107" spans="1:30" ht="101.25" x14ac:dyDescent="0.25">
      <c r="A107" s="294"/>
      <c r="B107" s="217" t="s">
        <v>630</v>
      </c>
      <c r="C107" s="270" t="s">
        <v>124</v>
      </c>
      <c r="D107" s="283" t="s">
        <v>738</v>
      </c>
      <c r="E107" s="219">
        <v>60000</v>
      </c>
      <c r="F107" s="219"/>
      <c r="G107" s="219"/>
      <c r="H107" s="219"/>
      <c r="I107" s="219"/>
      <c r="J107" s="219">
        <v>79800</v>
      </c>
      <c r="K107" s="219">
        <v>79800</v>
      </c>
      <c r="L107" s="219"/>
      <c r="M107" s="219"/>
      <c r="N107" s="219"/>
      <c r="O107" s="219"/>
      <c r="P107" s="219">
        <f>SUM(K107:O107)</f>
        <v>79800</v>
      </c>
      <c r="Q107" s="219">
        <v>80800</v>
      </c>
      <c r="R107" s="219"/>
      <c r="S107" s="219"/>
      <c r="T107" s="219"/>
      <c r="U107" s="219"/>
      <c r="V107" s="219">
        <f>SUM(Q107:U107)</f>
        <v>80800</v>
      </c>
      <c r="W107" s="218">
        <v>81800</v>
      </c>
      <c r="X107" s="218"/>
      <c r="Y107" s="218"/>
      <c r="Z107" s="218"/>
      <c r="AA107" s="218"/>
      <c r="AB107" s="218">
        <f t="shared" si="111"/>
        <v>81800</v>
      </c>
      <c r="AC107" s="216">
        <f t="shared" si="104"/>
        <v>302400</v>
      </c>
      <c r="AD107" s="216">
        <f t="shared" si="105"/>
        <v>322200</v>
      </c>
    </row>
    <row r="108" spans="1:30" ht="45" x14ac:dyDescent="0.25">
      <c r="A108" s="294"/>
      <c r="B108" s="217" t="s">
        <v>631</v>
      </c>
      <c r="C108" s="270" t="s">
        <v>125</v>
      </c>
      <c r="D108" s="284"/>
      <c r="E108" s="219">
        <v>200</v>
      </c>
      <c r="F108" s="219">
        <v>10000</v>
      </c>
      <c r="G108" s="219"/>
      <c r="H108" s="219"/>
      <c r="I108" s="219"/>
      <c r="J108" s="219">
        <f t="shared" si="54"/>
        <v>10200</v>
      </c>
      <c r="K108" s="219">
        <v>500</v>
      </c>
      <c r="L108" s="219">
        <v>14000</v>
      </c>
      <c r="M108" s="219"/>
      <c r="N108" s="219"/>
      <c r="O108" s="219"/>
      <c r="P108" s="219">
        <f t="shared" si="55"/>
        <v>14500</v>
      </c>
      <c r="Q108" s="219">
        <v>700</v>
      </c>
      <c r="R108" s="219">
        <v>14000</v>
      </c>
      <c r="S108" s="219"/>
      <c r="T108" s="219"/>
      <c r="U108" s="219"/>
      <c r="V108" s="219">
        <f t="shared" si="109"/>
        <v>14700</v>
      </c>
      <c r="W108" s="218">
        <v>500</v>
      </c>
      <c r="X108" s="218">
        <v>14000</v>
      </c>
      <c r="Y108" s="218"/>
      <c r="Z108" s="218"/>
      <c r="AA108" s="218"/>
      <c r="AB108" s="218">
        <f t="shared" si="111"/>
        <v>14500</v>
      </c>
      <c r="AC108" s="216">
        <f t="shared" si="104"/>
        <v>1900</v>
      </c>
      <c r="AD108" s="216">
        <f t="shared" si="105"/>
        <v>53900</v>
      </c>
    </row>
    <row r="109" spans="1:30" ht="51.75" customHeight="1" x14ac:dyDescent="0.25">
      <c r="A109" s="294"/>
      <c r="B109" s="217" t="s">
        <v>632</v>
      </c>
      <c r="C109" s="270" t="s">
        <v>53</v>
      </c>
      <c r="D109" s="284"/>
      <c r="E109" s="219">
        <f>11895-1245+900</f>
        <v>11550</v>
      </c>
      <c r="F109" s="219"/>
      <c r="G109" s="219"/>
      <c r="H109" s="219"/>
      <c r="I109" s="219">
        <v>5446</v>
      </c>
      <c r="J109" s="219">
        <f t="shared" si="54"/>
        <v>16996</v>
      </c>
      <c r="K109" s="219">
        <f>11895-1245+1200</f>
        <v>11850</v>
      </c>
      <c r="L109" s="219"/>
      <c r="M109" s="219"/>
      <c r="N109" s="219"/>
      <c r="O109" s="219">
        <v>5480</v>
      </c>
      <c r="P109" s="219">
        <f t="shared" si="55"/>
        <v>17330</v>
      </c>
      <c r="Q109" s="219">
        <f>11895-1245+1300</f>
        <v>11950</v>
      </c>
      <c r="R109" s="219"/>
      <c r="S109" s="219"/>
      <c r="T109" s="219"/>
      <c r="U109" s="219">
        <v>180</v>
      </c>
      <c r="V109" s="219">
        <f t="shared" si="109"/>
        <v>12130</v>
      </c>
      <c r="W109" s="218">
        <f>11895-1245+1300</f>
        <v>11950</v>
      </c>
      <c r="X109" s="218"/>
      <c r="Y109" s="218"/>
      <c r="Z109" s="218"/>
      <c r="AA109" s="218">
        <v>180</v>
      </c>
      <c r="AB109" s="218">
        <f t="shared" si="111"/>
        <v>12130</v>
      </c>
      <c r="AC109" s="216">
        <f t="shared" si="104"/>
        <v>47300</v>
      </c>
      <c r="AD109" s="216">
        <f t="shared" si="105"/>
        <v>58586</v>
      </c>
    </row>
    <row r="110" spans="1:30" ht="45" x14ac:dyDescent="0.25">
      <c r="A110" s="294"/>
      <c r="B110" s="217" t="s">
        <v>633</v>
      </c>
      <c r="C110" s="270" t="s">
        <v>54</v>
      </c>
      <c r="D110" s="284"/>
      <c r="E110" s="219">
        <v>20100</v>
      </c>
      <c r="F110" s="219"/>
      <c r="G110" s="219"/>
      <c r="H110" s="219"/>
      <c r="I110" s="219"/>
      <c r="J110" s="219">
        <f>SUM(E110:I110)</f>
        <v>20100</v>
      </c>
      <c r="K110" s="219">
        <v>20100</v>
      </c>
      <c r="L110" s="219"/>
      <c r="M110" s="219"/>
      <c r="N110" s="219"/>
      <c r="O110" s="219"/>
      <c r="P110" s="219">
        <f>SUM(K110:O110)</f>
        <v>20100</v>
      </c>
      <c r="Q110" s="219">
        <v>20100</v>
      </c>
      <c r="R110" s="219"/>
      <c r="S110" s="219"/>
      <c r="T110" s="219"/>
      <c r="U110" s="219"/>
      <c r="V110" s="219">
        <f>SUM(Q110:U110)</f>
        <v>20100</v>
      </c>
      <c r="W110" s="218">
        <v>20100</v>
      </c>
      <c r="X110" s="218"/>
      <c r="Y110" s="218"/>
      <c r="Z110" s="218"/>
      <c r="AA110" s="218"/>
      <c r="AB110" s="218">
        <f>SUM(W110:AA110)</f>
        <v>20100</v>
      </c>
      <c r="AC110" s="216">
        <f t="shared" si="104"/>
        <v>80400</v>
      </c>
      <c r="AD110" s="216">
        <f t="shared" si="105"/>
        <v>80400</v>
      </c>
    </row>
    <row r="111" spans="1:30" ht="59.25" customHeight="1" x14ac:dyDescent="0.25">
      <c r="A111" s="294"/>
      <c r="B111" s="217" t="s">
        <v>634</v>
      </c>
      <c r="C111" s="270" t="s">
        <v>130</v>
      </c>
      <c r="D111" s="285"/>
      <c r="E111" s="219">
        <f>730+240+2800+1460</f>
        <v>5230</v>
      </c>
      <c r="F111" s="219"/>
      <c r="G111" s="219"/>
      <c r="H111" s="219"/>
      <c r="I111" s="219">
        <v>394</v>
      </c>
      <c r="J111" s="219">
        <f t="shared" si="54"/>
        <v>5624</v>
      </c>
      <c r="K111" s="219">
        <f>730+240+3000+1460</f>
        <v>5430</v>
      </c>
      <c r="L111" s="219"/>
      <c r="M111" s="219"/>
      <c r="N111" s="219"/>
      <c r="O111" s="219">
        <v>314</v>
      </c>
      <c r="P111" s="219">
        <v>5744</v>
      </c>
      <c r="Q111" s="219">
        <v>5650</v>
      </c>
      <c r="R111" s="219"/>
      <c r="S111" s="219"/>
      <c r="T111" s="219"/>
      <c r="U111" s="219">
        <v>314</v>
      </c>
      <c r="V111" s="219">
        <f t="shared" si="109"/>
        <v>5964</v>
      </c>
      <c r="W111" s="219">
        <v>5650</v>
      </c>
      <c r="X111" s="218"/>
      <c r="Y111" s="218"/>
      <c r="Z111" s="218"/>
      <c r="AA111" s="218">
        <v>314</v>
      </c>
      <c r="AB111" s="218">
        <f t="shared" si="111"/>
        <v>5964</v>
      </c>
      <c r="AC111" s="216">
        <f t="shared" si="104"/>
        <v>21960</v>
      </c>
      <c r="AD111" s="216">
        <f t="shared" si="105"/>
        <v>23296</v>
      </c>
    </row>
    <row r="112" spans="1:30" x14ac:dyDescent="0.25">
      <c r="A112" s="294" t="s">
        <v>330</v>
      </c>
      <c r="B112" s="214"/>
      <c r="C112" s="214"/>
      <c r="D112" s="276"/>
      <c r="E112" s="216">
        <f>SUM(E113:E117)</f>
        <v>44200</v>
      </c>
      <c r="F112" s="216">
        <f t="shared" ref="F112:I112" si="121">SUM(F113:F117)</f>
        <v>0</v>
      </c>
      <c r="G112" s="216">
        <f t="shared" si="121"/>
        <v>3288</v>
      </c>
      <c r="H112" s="216">
        <f>SUM(H113:H117)</f>
        <v>0</v>
      </c>
      <c r="I112" s="216">
        <f t="shared" si="121"/>
        <v>31629</v>
      </c>
      <c r="J112" s="216">
        <f t="shared" si="54"/>
        <v>79117</v>
      </c>
      <c r="K112" s="216">
        <f t="shared" ref="K112:L112" si="122">SUM(K113:K117)</f>
        <v>59935</v>
      </c>
      <c r="L112" s="216">
        <f t="shared" si="122"/>
        <v>0</v>
      </c>
      <c r="M112" s="216">
        <f>SUM(M113:M117)</f>
        <v>3288</v>
      </c>
      <c r="N112" s="216"/>
      <c r="O112" s="216">
        <f>SUM(O113:O117)</f>
        <v>25317</v>
      </c>
      <c r="P112" s="216">
        <f t="shared" si="55"/>
        <v>88540</v>
      </c>
      <c r="Q112" s="216">
        <f>SUM(Q113:Q117)</f>
        <v>54555</v>
      </c>
      <c r="R112" s="216">
        <f t="shared" ref="R112:U112" si="123">SUM(R113:R117)</f>
        <v>0</v>
      </c>
      <c r="S112" s="216">
        <f t="shared" si="123"/>
        <v>3288</v>
      </c>
      <c r="T112" s="216"/>
      <c r="U112" s="216">
        <f t="shared" si="123"/>
        <v>31597</v>
      </c>
      <c r="V112" s="216">
        <f t="shared" si="109"/>
        <v>89440</v>
      </c>
      <c r="W112" s="216">
        <f>SUM(W113:W117)</f>
        <v>55555</v>
      </c>
      <c r="X112" s="216">
        <f t="shared" ref="X112:AA112" si="124">SUM(X113:X117)</f>
        <v>0</v>
      </c>
      <c r="Y112" s="216">
        <f t="shared" si="124"/>
        <v>0</v>
      </c>
      <c r="Z112" s="216"/>
      <c r="AA112" s="216">
        <f t="shared" si="124"/>
        <v>31597</v>
      </c>
      <c r="AB112" s="216">
        <f>SUM(W112:AA112)</f>
        <v>87152</v>
      </c>
      <c r="AC112" s="216">
        <f t="shared" si="104"/>
        <v>214245</v>
      </c>
      <c r="AD112" s="216">
        <f t="shared" si="105"/>
        <v>344249</v>
      </c>
    </row>
    <row r="113" spans="1:30" ht="112.5" x14ac:dyDescent="0.25">
      <c r="A113" s="294"/>
      <c r="B113" s="217" t="s">
        <v>635</v>
      </c>
      <c r="C113" s="270" t="s">
        <v>32</v>
      </c>
      <c r="D113" s="283" t="s">
        <v>716</v>
      </c>
      <c r="E113" s="219">
        <v>5000</v>
      </c>
      <c r="F113" s="219"/>
      <c r="G113" s="219"/>
      <c r="H113" s="219"/>
      <c r="I113" s="219"/>
      <c r="J113" s="219">
        <f t="shared" si="54"/>
        <v>5000</v>
      </c>
      <c r="K113" s="219">
        <v>16000</v>
      </c>
      <c r="L113" s="219"/>
      <c r="M113" s="219"/>
      <c r="N113" s="219"/>
      <c r="O113" s="219"/>
      <c r="P113" s="219">
        <f t="shared" si="55"/>
        <v>16000</v>
      </c>
      <c r="Q113" s="219">
        <v>16000</v>
      </c>
      <c r="R113" s="219"/>
      <c r="S113" s="219"/>
      <c r="T113" s="219"/>
      <c r="U113" s="219"/>
      <c r="V113" s="219">
        <f t="shared" si="109"/>
        <v>16000</v>
      </c>
      <c r="W113" s="218">
        <v>16000</v>
      </c>
      <c r="X113" s="218"/>
      <c r="Y113" s="218"/>
      <c r="Z113" s="218"/>
      <c r="AA113" s="218"/>
      <c r="AB113" s="218">
        <f t="shared" si="111"/>
        <v>16000</v>
      </c>
      <c r="AC113" s="216">
        <f t="shared" si="104"/>
        <v>53000</v>
      </c>
      <c r="AD113" s="216">
        <f t="shared" si="105"/>
        <v>53000</v>
      </c>
    </row>
    <row r="114" spans="1:30" ht="61.5" customHeight="1" x14ac:dyDescent="0.25">
      <c r="A114" s="294"/>
      <c r="B114" s="217" t="s">
        <v>636</v>
      </c>
      <c r="C114" s="271" t="s">
        <v>132</v>
      </c>
      <c r="D114" s="284"/>
      <c r="E114" s="219">
        <v>36695</v>
      </c>
      <c r="F114" s="219"/>
      <c r="G114" s="219"/>
      <c r="H114" s="219"/>
      <c r="I114" s="219">
        <v>24312</v>
      </c>
      <c r="J114" s="219">
        <f t="shared" si="54"/>
        <v>61007</v>
      </c>
      <c r="K114" s="219">
        <v>36530</v>
      </c>
      <c r="L114" s="219"/>
      <c r="M114" s="219"/>
      <c r="N114" s="219"/>
      <c r="O114" s="219">
        <v>25317</v>
      </c>
      <c r="P114" s="219">
        <f t="shared" si="55"/>
        <v>61847</v>
      </c>
      <c r="Q114" s="219">
        <v>36430</v>
      </c>
      <c r="R114" s="219"/>
      <c r="S114" s="219"/>
      <c r="T114" s="219"/>
      <c r="U114" s="219">
        <v>26317</v>
      </c>
      <c r="V114" s="219">
        <f t="shared" si="109"/>
        <v>62747</v>
      </c>
      <c r="W114" s="218">
        <v>37430</v>
      </c>
      <c r="X114" s="218"/>
      <c r="Y114" s="218"/>
      <c r="Z114" s="218"/>
      <c r="AA114" s="218">
        <v>26317</v>
      </c>
      <c r="AB114" s="218">
        <f t="shared" si="111"/>
        <v>63747</v>
      </c>
      <c r="AC114" s="216">
        <f t="shared" si="104"/>
        <v>147085</v>
      </c>
      <c r="AD114" s="216">
        <f t="shared" si="105"/>
        <v>249348</v>
      </c>
    </row>
    <row r="115" spans="1:30" ht="90" x14ac:dyDescent="0.25">
      <c r="A115" s="294"/>
      <c r="B115" s="217" t="s">
        <v>637</v>
      </c>
      <c r="C115" s="271" t="s">
        <v>42</v>
      </c>
      <c r="D115" s="284"/>
      <c r="E115" s="223">
        <v>380</v>
      </c>
      <c r="F115" s="223"/>
      <c r="G115" s="223">
        <v>3288</v>
      </c>
      <c r="H115" s="223"/>
      <c r="I115" s="223">
        <v>7317</v>
      </c>
      <c r="J115" s="223">
        <f t="shared" ref="J115" si="125">SUM(E115:I115)</f>
        <v>10985</v>
      </c>
      <c r="K115" s="223">
        <v>5280</v>
      </c>
      <c r="L115" s="223"/>
      <c r="M115" s="223">
        <v>3288</v>
      </c>
      <c r="N115" s="223"/>
      <c r="O115" s="223"/>
      <c r="P115" s="223">
        <f t="shared" si="55"/>
        <v>8568</v>
      </c>
      <c r="Q115" s="223"/>
      <c r="R115" s="223"/>
      <c r="S115" s="223">
        <v>3288</v>
      </c>
      <c r="T115" s="223"/>
      <c r="U115" s="223">
        <v>5280</v>
      </c>
      <c r="V115" s="223">
        <f t="shared" si="109"/>
        <v>8568</v>
      </c>
      <c r="W115" s="222"/>
      <c r="X115" s="222"/>
      <c r="Y115" s="222"/>
      <c r="Z115" s="222"/>
      <c r="AA115" s="222">
        <v>5280</v>
      </c>
      <c r="AB115" s="218">
        <f t="shared" si="111"/>
        <v>5280</v>
      </c>
      <c r="AC115" s="216">
        <f t="shared" si="104"/>
        <v>5660</v>
      </c>
      <c r="AD115" s="216">
        <f t="shared" si="105"/>
        <v>33401</v>
      </c>
    </row>
    <row r="116" spans="1:30" ht="67.5" x14ac:dyDescent="0.25">
      <c r="A116" s="294"/>
      <c r="B116" s="217" t="s">
        <v>638</v>
      </c>
      <c r="C116" s="270"/>
      <c r="D116" s="284"/>
      <c r="E116" s="219">
        <v>125</v>
      </c>
      <c r="F116" s="219"/>
      <c r="G116" s="219"/>
      <c r="H116" s="219"/>
      <c r="I116" s="219"/>
      <c r="J116" s="219">
        <f t="shared" si="54"/>
        <v>125</v>
      </c>
      <c r="K116" s="219">
        <v>125</v>
      </c>
      <c r="L116" s="219"/>
      <c r="M116" s="219"/>
      <c r="N116" s="219"/>
      <c r="O116" s="219"/>
      <c r="P116" s="219">
        <f t="shared" si="55"/>
        <v>125</v>
      </c>
      <c r="Q116" s="219">
        <v>125</v>
      </c>
      <c r="R116" s="219"/>
      <c r="S116" s="219"/>
      <c r="T116" s="219"/>
      <c r="U116" s="219"/>
      <c r="V116" s="219">
        <f t="shared" si="109"/>
        <v>125</v>
      </c>
      <c r="W116" s="218">
        <v>125</v>
      </c>
      <c r="X116" s="218"/>
      <c r="Y116" s="218"/>
      <c r="Z116" s="218"/>
      <c r="AA116" s="218"/>
      <c r="AB116" s="218">
        <f t="shared" si="111"/>
        <v>125</v>
      </c>
      <c r="AC116" s="216">
        <f t="shared" si="104"/>
        <v>500</v>
      </c>
      <c r="AD116" s="216">
        <f t="shared" si="105"/>
        <v>500</v>
      </c>
    </row>
    <row r="117" spans="1:30" ht="45" x14ac:dyDescent="0.25">
      <c r="A117" s="294"/>
      <c r="B117" s="217" t="s">
        <v>639</v>
      </c>
      <c r="C117" s="270" t="s">
        <v>775</v>
      </c>
      <c r="D117" s="285"/>
      <c r="E117" s="219">
        <v>2000</v>
      </c>
      <c r="F117" s="219"/>
      <c r="G117" s="219"/>
      <c r="H117" s="219"/>
      <c r="I117" s="219"/>
      <c r="J117" s="219">
        <f t="shared" si="54"/>
        <v>2000</v>
      </c>
      <c r="K117" s="219">
        <v>2000</v>
      </c>
      <c r="L117" s="219"/>
      <c r="M117" s="219"/>
      <c r="N117" s="219"/>
      <c r="O117" s="219"/>
      <c r="P117" s="219">
        <f t="shared" si="55"/>
        <v>2000</v>
      </c>
      <c r="Q117" s="219">
        <v>2000</v>
      </c>
      <c r="R117" s="219"/>
      <c r="S117" s="219"/>
      <c r="T117" s="219"/>
      <c r="U117" s="219"/>
      <c r="V117" s="219">
        <f t="shared" si="109"/>
        <v>2000</v>
      </c>
      <c r="W117" s="218">
        <v>2000</v>
      </c>
      <c r="X117" s="218"/>
      <c r="Y117" s="218"/>
      <c r="Z117" s="218"/>
      <c r="AA117" s="218"/>
      <c r="AB117" s="218">
        <f t="shared" si="111"/>
        <v>2000</v>
      </c>
      <c r="AC117" s="216">
        <f t="shared" si="104"/>
        <v>8000</v>
      </c>
      <c r="AD117" s="216">
        <f t="shared" si="105"/>
        <v>8000</v>
      </c>
    </row>
    <row r="118" spans="1:30" x14ac:dyDescent="0.25">
      <c r="A118" s="294" t="s">
        <v>331</v>
      </c>
      <c r="B118" s="214"/>
      <c r="C118" s="214"/>
      <c r="D118" s="276"/>
      <c r="E118" s="216">
        <f>SUM(E119:E120)</f>
        <v>125220</v>
      </c>
      <c r="F118" s="216">
        <f>SUM(F119:F120)</f>
        <v>0</v>
      </c>
      <c r="G118" s="216">
        <f>SUM(G119:G120)</f>
        <v>0</v>
      </c>
      <c r="H118" s="216">
        <f>SUM(H119:H120)</f>
        <v>0</v>
      </c>
      <c r="I118" s="216">
        <f>SUM(I119:I120)</f>
        <v>2095</v>
      </c>
      <c r="J118" s="216">
        <f t="shared" si="54"/>
        <v>127315</v>
      </c>
      <c r="K118" s="216">
        <f>SUM(K119:K120)</f>
        <v>131520</v>
      </c>
      <c r="L118" s="216">
        <f>SUM(L119:L120)</f>
        <v>0</v>
      </c>
      <c r="M118" s="216">
        <f>SUM(M119:M120)</f>
        <v>0</v>
      </c>
      <c r="N118" s="216"/>
      <c r="O118" s="216">
        <f>SUM(O119:O120)</f>
        <v>1390</v>
      </c>
      <c r="P118" s="216">
        <f t="shared" si="55"/>
        <v>132910</v>
      </c>
      <c r="Q118" s="216">
        <f>SUM(Q119:Q120)</f>
        <v>128070</v>
      </c>
      <c r="R118" s="216">
        <f>SUM(R119:R120)</f>
        <v>0</v>
      </c>
      <c r="S118" s="216">
        <f>SUM(S119:S120)</f>
        <v>0</v>
      </c>
      <c r="T118" s="216"/>
      <c r="U118" s="216">
        <f>SUM(U119:U120)</f>
        <v>1390</v>
      </c>
      <c r="V118" s="216">
        <f t="shared" si="109"/>
        <v>129460</v>
      </c>
      <c r="W118" s="216">
        <f>SUM(W119:W120)</f>
        <v>126970</v>
      </c>
      <c r="X118" s="216">
        <f>SUM(X119:X120)</f>
        <v>0</v>
      </c>
      <c r="Y118" s="216">
        <f>SUM(Y119:Y120)</f>
        <v>0</v>
      </c>
      <c r="Z118" s="216"/>
      <c r="AA118" s="216">
        <f>SUM(AA119:AA120)</f>
        <v>1390</v>
      </c>
      <c r="AB118" s="216">
        <f>SUM(W118:AA118)</f>
        <v>128360</v>
      </c>
      <c r="AC118" s="216">
        <f t="shared" si="104"/>
        <v>511780</v>
      </c>
      <c r="AD118" s="216">
        <f t="shared" si="105"/>
        <v>518045</v>
      </c>
    </row>
    <row r="119" spans="1:30" ht="72.75" customHeight="1" x14ac:dyDescent="0.25">
      <c r="A119" s="294"/>
      <c r="B119" s="217" t="s">
        <v>640</v>
      </c>
      <c r="C119" s="270" t="s">
        <v>137</v>
      </c>
      <c r="D119" s="283" t="s">
        <v>717</v>
      </c>
      <c r="E119" s="223">
        <f>113620+2900+7200</f>
        <v>123720</v>
      </c>
      <c r="F119" s="223"/>
      <c r="G119" s="223"/>
      <c r="H119" s="223"/>
      <c r="I119" s="223">
        <v>2095</v>
      </c>
      <c r="J119" s="223">
        <f t="shared" ref="J119:J166" si="126">SUM(E119:I119)</f>
        <v>125815</v>
      </c>
      <c r="K119" s="223">
        <f>119970+2800+7200</f>
        <v>129970</v>
      </c>
      <c r="L119" s="223"/>
      <c r="M119" s="223"/>
      <c r="N119" s="223"/>
      <c r="O119" s="223">
        <v>1390</v>
      </c>
      <c r="P119" s="223">
        <f>SUM(K119:O119)</f>
        <v>131360</v>
      </c>
      <c r="Q119" s="223">
        <f>116520+2800+7200</f>
        <v>126520</v>
      </c>
      <c r="R119" s="223"/>
      <c r="S119" s="223"/>
      <c r="T119" s="223"/>
      <c r="U119" s="223">
        <v>1390</v>
      </c>
      <c r="V119" s="223">
        <f t="shared" si="109"/>
        <v>127910</v>
      </c>
      <c r="W119" s="222">
        <f>115420+2800+7200</f>
        <v>125420</v>
      </c>
      <c r="X119" s="222"/>
      <c r="Y119" s="222"/>
      <c r="Z119" s="222"/>
      <c r="AA119" s="222">
        <v>1390</v>
      </c>
      <c r="AB119" s="218">
        <f>SUM(W119:AA119)</f>
        <v>126810</v>
      </c>
      <c r="AC119" s="216">
        <f t="shared" si="104"/>
        <v>505630</v>
      </c>
      <c r="AD119" s="216">
        <f t="shared" si="105"/>
        <v>511895</v>
      </c>
    </row>
    <row r="120" spans="1:30" ht="42" customHeight="1" x14ac:dyDescent="0.25">
      <c r="A120" s="294"/>
      <c r="B120" s="217" t="s">
        <v>641</v>
      </c>
      <c r="C120" s="270" t="s">
        <v>138</v>
      </c>
      <c r="D120" s="285"/>
      <c r="E120" s="223">
        <f>150+1350</f>
        <v>1500</v>
      </c>
      <c r="F120" s="223"/>
      <c r="G120" s="223"/>
      <c r="H120" s="223"/>
      <c r="I120" s="223"/>
      <c r="J120" s="223">
        <f t="shared" si="126"/>
        <v>1500</v>
      </c>
      <c r="K120" s="223">
        <f>200+1350</f>
        <v>1550</v>
      </c>
      <c r="L120" s="223"/>
      <c r="M120" s="223"/>
      <c r="N120" s="223"/>
      <c r="O120" s="223"/>
      <c r="P120" s="223">
        <f t="shared" ref="P120" si="127">SUM(K120:O120)</f>
        <v>1550</v>
      </c>
      <c r="Q120" s="223">
        <f>200+1350</f>
        <v>1550</v>
      </c>
      <c r="R120" s="223"/>
      <c r="S120" s="223"/>
      <c r="T120" s="223"/>
      <c r="U120" s="223"/>
      <c r="V120" s="223">
        <f t="shared" si="109"/>
        <v>1550</v>
      </c>
      <c r="W120" s="222">
        <f>1350+200</f>
        <v>1550</v>
      </c>
      <c r="X120" s="222"/>
      <c r="Y120" s="222"/>
      <c r="Z120" s="222"/>
      <c r="AA120" s="222"/>
      <c r="AB120" s="218">
        <f t="shared" si="111"/>
        <v>1550</v>
      </c>
      <c r="AC120" s="216">
        <f t="shared" si="104"/>
        <v>6150</v>
      </c>
      <c r="AD120" s="216">
        <f t="shared" si="105"/>
        <v>6150</v>
      </c>
    </row>
    <row r="121" spans="1:30" x14ac:dyDescent="0.25">
      <c r="A121" s="294" t="s">
        <v>332</v>
      </c>
      <c r="B121" s="214"/>
      <c r="C121" s="214"/>
      <c r="D121" s="276"/>
      <c r="E121" s="216">
        <f>SUM(E122:E126)</f>
        <v>65440</v>
      </c>
      <c r="F121" s="216">
        <f t="shared" ref="F121:I121" si="128">SUM(F122:F126)</f>
        <v>0</v>
      </c>
      <c r="G121" s="216">
        <f t="shared" si="128"/>
        <v>0</v>
      </c>
      <c r="H121" s="216">
        <f>SUM(H122:H126)</f>
        <v>0</v>
      </c>
      <c r="I121" s="216">
        <f t="shared" si="128"/>
        <v>150</v>
      </c>
      <c r="J121" s="216">
        <f t="shared" si="126"/>
        <v>65590</v>
      </c>
      <c r="K121" s="216">
        <f>SUM(K122:K126)</f>
        <v>67290</v>
      </c>
      <c r="L121" s="216">
        <f t="shared" ref="L121:O121" si="129">SUM(L122:L126)</f>
        <v>0</v>
      </c>
      <c r="M121" s="216">
        <f t="shared" si="129"/>
        <v>0</v>
      </c>
      <c r="N121" s="216"/>
      <c r="O121" s="216">
        <f t="shared" si="129"/>
        <v>150</v>
      </c>
      <c r="P121" s="216">
        <f t="shared" si="55"/>
        <v>67440</v>
      </c>
      <c r="Q121" s="216">
        <f>SUM(Q122:Q126)</f>
        <v>66440</v>
      </c>
      <c r="R121" s="216">
        <f t="shared" ref="R121:U121" si="130">SUM(R122:R126)</f>
        <v>0</v>
      </c>
      <c r="S121" s="216">
        <f t="shared" si="130"/>
        <v>0</v>
      </c>
      <c r="T121" s="216"/>
      <c r="U121" s="216">
        <f t="shared" si="130"/>
        <v>150</v>
      </c>
      <c r="V121" s="216">
        <f t="shared" si="109"/>
        <v>66590</v>
      </c>
      <c r="W121" s="216">
        <f>SUM(W122:W126)</f>
        <v>30170</v>
      </c>
      <c r="X121" s="216">
        <f t="shared" ref="X121:AA121" si="131">SUM(X122:X126)</f>
        <v>0</v>
      </c>
      <c r="Y121" s="216">
        <f t="shared" si="131"/>
        <v>0</v>
      </c>
      <c r="Z121" s="216"/>
      <c r="AA121" s="216">
        <f t="shared" si="131"/>
        <v>150</v>
      </c>
      <c r="AB121" s="216">
        <f>SUM(W121:AA121)</f>
        <v>30320</v>
      </c>
      <c r="AC121" s="216">
        <f t="shared" si="104"/>
        <v>229340</v>
      </c>
      <c r="AD121" s="216">
        <f t="shared" si="105"/>
        <v>229940</v>
      </c>
    </row>
    <row r="122" spans="1:30" ht="45" x14ac:dyDescent="0.25">
      <c r="A122" s="294"/>
      <c r="B122" s="227" t="s">
        <v>642</v>
      </c>
      <c r="C122" s="271" t="s">
        <v>55</v>
      </c>
      <c r="D122" s="283" t="s">
        <v>718</v>
      </c>
      <c r="E122" s="219">
        <f>32280-1180</f>
        <v>31100</v>
      </c>
      <c r="F122" s="219"/>
      <c r="G122" s="219"/>
      <c r="H122" s="219"/>
      <c r="I122" s="219"/>
      <c r="J122" s="219">
        <f t="shared" si="126"/>
        <v>31100</v>
      </c>
      <c r="K122" s="219">
        <v>31100</v>
      </c>
      <c r="L122" s="219"/>
      <c r="M122" s="219"/>
      <c r="N122" s="219"/>
      <c r="O122" s="219"/>
      <c r="P122" s="219">
        <f t="shared" si="55"/>
        <v>31100</v>
      </c>
      <c r="Q122" s="219">
        <v>31100</v>
      </c>
      <c r="R122" s="219"/>
      <c r="S122" s="219"/>
      <c r="T122" s="219"/>
      <c r="U122" s="219"/>
      <c r="V122" s="219">
        <f t="shared" si="109"/>
        <v>31100</v>
      </c>
      <c r="W122" s="218"/>
      <c r="X122" s="218"/>
      <c r="Y122" s="218"/>
      <c r="Z122" s="218"/>
      <c r="AA122" s="218"/>
      <c r="AB122" s="218">
        <f t="shared" si="111"/>
        <v>0</v>
      </c>
      <c r="AC122" s="216">
        <f t="shared" si="104"/>
        <v>93300</v>
      </c>
      <c r="AD122" s="216">
        <f t="shared" si="105"/>
        <v>93300</v>
      </c>
    </row>
    <row r="123" spans="1:30" ht="33.75" x14ac:dyDescent="0.25">
      <c r="A123" s="294"/>
      <c r="B123" s="217" t="s">
        <v>643</v>
      </c>
      <c r="C123" s="271" t="s">
        <v>35</v>
      </c>
      <c r="D123" s="284"/>
      <c r="E123" s="219">
        <v>5170</v>
      </c>
      <c r="F123" s="219"/>
      <c r="G123" s="219"/>
      <c r="H123" s="219"/>
      <c r="I123" s="219"/>
      <c r="J123" s="219">
        <f t="shared" si="126"/>
        <v>5170</v>
      </c>
      <c r="K123" s="219">
        <v>5170</v>
      </c>
      <c r="L123" s="219"/>
      <c r="M123" s="219"/>
      <c r="N123" s="219"/>
      <c r="O123" s="219"/>
      <c r="P123" s="219">
        <f t="shared" si="55"/>
        <v>5170</v>
      </c>
      <c r="Q123" s="219">
        <v>5170</v>
      </c>
      <c r="R123" s="219"/>
      <c r="S123" s="219"/>
      <c r="T123" s="219"/>
      <c r="U123" s="219"/>
      <c r="V123" s="219">
        <f t="shared" si="109"/>
        <v>5170</v>
      </c>
      <c r="W123" s="218"/>
      <c r="X123" s="218"/>
      <c r="Y123" s="218"/>
      <c r="Z123" s="218"/>
      <c r="AA123" s="218"/>
      <c r="AB123" s="218">
        <f t="shared" si="111"/>
        <v>0</v>
      </c>
      <c r="AC123" s="216">
        <f t="shared" si="104"/>
        <v>15510</v>
      </c>
      <c r="AD123" s="216">
        <f t="shared" si="105"/>
        <v>15510</v>
      </c>
    </row>
    <row r="124" spans="1:30" ht="22.5" x14ac:dyDescent="0.25">
      <c r="A124" s="294"/>
      <c r="B124" s="217" t="s">
        <v>644</v>
      </c>
      <c r="C124" s="271" t="s">
        <v>145</v>
      </c>
      <c r="D124" s="284"/>
      <c r="E124" s="219">
        <v>400</v>
      </c>
      <c r="F124" s="219"/>
      <c r="G124" s="219"/>
      <c r="H124" s="219"/>
      <c r="I124" s="219"/>
      <c r="J124" s="219">
        <f t="shared" si="126"/>
        <v>400</v>
      </c>
      <c r="K124" s="219">
        <v>400</v>
      </c>
      <c r="L124" s="219"/>
      <c r="M124" s="219"/>
      <c r="N124" s="219"/>
      <c r="O124" s="219"/>
      <c r="P124" s="219">
        <f t="shared" si="55"/>
        <v>400</v>
      </c>
      <c r="Q124" s="219">
        <v>400</v>
      </c>
      <c r="R124" s="219"/>
      <c r="S124" s="219"/>
      <c r="T124" s="219"/>
      <c r="U124" s="219"/>
      <c r="V124" s="219">
        <f t="shared" si="109"/>
        <v>400</v>
      </c>
      <c r="W124" s="218">
        <v>400</v>
      </c>
      <c r="X124" s="218"/>
      <c r="Y124" s="218"/>
      <c r="Z124" s="218"/>
      <c r="AA124" s="218"/>
      <c r="AB124" s="218">
        <f t="shared" si="111"/>
        <v>400</v>
      </c>
      <c r="AC124" s="216">
        <f t="shared" si="104"/>
        <v>1600</v>
      </c>
      <c r="AD124" s="216">
        <f t="shared" si="105"/>
        <v>1600</v>
      </c>
    </row>
    <row r="125" spans="1:30" ht="22.5" x14ac:dyDescent="0.25">
      <c r="A125" s="294"/>
      <c r="B125" s="217" t="s">
        <v>645</v>
      </c>
      <c r="C125" s="271" t="s">
        <v>144</v>
      </c>
      <c r="D125" s="284"/>
      <c r="E125" s="219">
        <v>25570</v>
      </c>
      <c r="F125" s="219"/>
      <c r="G125" s="219"/>
      <c r="H125" s="219"/>
      <c r="I125" s="219"/>
      <c r="J125" s="219">
        <f t="shared" si="126"/>
        <v>25570</v>
      </c>
      <c r="K125" s="219">
        <v>25570</v>
      </c>
      <c r="L125" s="219"/>
      <c r="M125" s="219"/>
      <c r="N125" s="219"/>
      <c r="O125" s="219"/>
      <c r="P125" s="219">
        <f t="shared" si="55"/>
        <v>25570</v>
      </c>
      <c r="Q125" s="219">
        <v>25570</v>
      </c>
      <c r="R125" s="219"/>
      <c r="S125" s="219"/>
      <c r="T125" s="219"/>
      <c r="U125" s="219"/>
      <c r="V125" s="219">
        <f t="shared" si="109"/>
        <v>25570</v>
      </c>
      <c r="W125" s="218">
        <v>25570</v>
      </c>
      <c r="X125" s="218"/>
      <c r="Y125" s="218"/>
      <c r="Z125" s="218"/>
      <c r="AA125" s="218"/>
      <c r="AB125" s="218"/>
      <c r="AC125" s="216">
        <f t="shared" si="104"/>
        <v>102280</v>
      </c>
      <c r="AD125" s="216">
        <f t="shared" si="105"/>
        <v>76710</v>
      </c>
    </row>
    <row r="126" spans="1:30" ht="36" customHeight="1" x14ac:dyDescent="0.25">
      <c r="A126" s="294"/>
      <c r="B126" s="217" t="s">
        <v>646</v>
      </c>
      <c r="C126" s="270" t="s">
        <v>211</v>
      </c>
      <c r="D126" s="285"/>
      <c r="E126" s="219">
        <v>3200</v>
      </c>
      <c r="F126" s="219"/>
      <c r="G126" s="219"/>
      <c r="H126" s="219"/>
      <c r="I126" s="219">
        <v>150</v>
      </c>
      <c r="J126" s="219">
        <f t="shared" si="126"/>
        <v>3350</v>
      </c>
      <c r="K126" s="219">
        <f>1150+3900</f>
        <v>5050</v>
      </c>
      <c r="L126" s="219"/>
      <c r="M126" s="219"/>
      <c r="N126" s="219"/>
      <c r="O126" s="219">
        <v>150</v>
      </c>
      <c r="P126" s="219">
        <f t="shared" si="55"/>
        <v>5200</v>
      </c>
      <c r="Q126" s="219">
        <f>1150+3050</f>
        <v>4200</v>
      </c>
      <c r="R126" s="219"/>
      <c r="S126" s="219"/>
      <c r="T126" s="219"/>
      <c r="U126" s="219">
        <v>150</v>
      </c>
      <c r="V126" s="219">
        <f t="shared" si="109"/>
        <v>4350</v>
      </c>
      <c r="W126" s="218">
        <f>1150+3050</f>
        <v>4200</v>
      </c>
      <c r="X126" s="218"/>
      <c r="Y126" s="218"/>
      <c r="Z126" s="218"/>
      <c r="AA126" s="218">
        <v>150</v>
      </c>
      <c r="AB126" s="218">
        <f t="shared" si="111"/>
        <v>4350</v>
      </c>
      <c r="AC126" s="216">
        <f t="shared" si="104"/>
        <v>16650</v>
      </c>
      <c r="AD126" s="216">
        <f t="shared" si="105"/>
        <v>17250</v>
      </c>
    </row>
    <row r="127" spans="1:30" x14ac:dyDescent="0.25">
      <c r="A127" s="294" t="s">
        <v>333</v>
      </c>
      <c r="B127" s="214"/>
      <c r="C127" s="214"/>
      <c r="D127" s="276"/>
      <c r="E127" s="216">
        <f>SUM(E128:E130)</f>
        <v>3165</v>
      </c>
      <c r="F127" s="216">
        <f>SUM(F128:F130)</f>
        <v>0</v>
      </c>
      <c r="G127" s="216">
        <f>SUM(G128:G130)</f>
        <v>0</v>
      </c>
      <c r="H127" s="216">
        <f>SUM(H128:H130)</f>
        <v>0</v>
      </c>
      <c r="I127" s="216">
        <f>SUM(I128:I130)</f>
        <v>0</v>
      </c>
      <c r="J127" s="216">
        <f t="shared" si="126"/>
        <v>3165</v>
      </c>
      <c r="K127" s="216">
        <f>SUM(K128:K130)</f>
        <v>3165</v>
      </c>
      <c r="L127" s="216">
        <f>SUM(L128:L130)</f>
        <v>0</v>
      </c>
      <c r="M127" s="216">
        <f>SUM(M128:M130)</f>
        <v>0</v>
      </c>
      <c r="N127" s="216"/>
      <c r="O127" s="216">
        <f>SUM(O128:O130)</f>
        <v>0</v>
      </c>
      <c r="P127" s="216">
        <f t="shared" si="55"/>
        <v>3165</v>
      </c>
      <c r="Q127" s="216">
        <f>SUM(Q128:Q130)</f>
        <v>3165</v>
      </c>
      <c r="R127" s="216">
        <f>SUM(R128:R130)</f>
        <v>0</v>
      </c>
      <c r="S127" s="216">
        <f>SUM(S128:S130)</f>
        <v>0</v>
      </c>
      <c r="T127" s="216"/>
      <c r="U127" s="216">
        <f>SUM(U128:U130)</f>
        <v>0</v>
      </c>
      <c r="V127" s="216">
        <f t="shared" si="109"/>
        <v>3165</v>
      </c>
      <c r="W127" s="216">
        <f>SUM(W128:W130)</f>
        <v>2790</v>
      </c>
      <c r="X127" s="216">
        <f>SUM(X128:X130)</f>
        <v>0</v>
      </c>
      <c r="Y127" s="216">
        <f>SUM(Y128:Y130)</f>
        <v>0</v>
      </c>
      <c r="Z127" s="216"/>
      <c r="AA127" s="216">
        <f>SUM(AA128:AA130)</f>
        <v>0</v>
      </c>
      <c r="AB127" s="216">
        <f t="shared" si="111"/>
        <v>2790</v>
      </c>
      <c r="AC127" s="216">
        <f t="shared" si="104"/>
        <v>12285</v>
      </c>
      <c r="AD127" s="216">
        <f t="shared" si="105"/>
        <v>12285</v>
      </c>
    </row>
    <row r="128" spans="1:30" ht="45" x14ac:dyDescent="0.25">
      <c r="A128" s="294"/>
      <c r="B128" s="217" t="s">
        <v>647</v>
      </c>
      <c r="C128" s="271" t="s">
        <v>36</v>
      </c>
      <c r="D128" s="283" t="s">
        <v>719</v>
      </c>
      <c r="E128" s="219">
        <v>375</v>
      </c>
      <c r="F128" s="219"/>
      <c r="G128" s="219"/>
      <c r="H128" s="219"/>
      <c r="I128" s="219"/>
      <c r="J128" s="219">
        <f t="shared" si="126"/>
        <v>375</v>
      </c>
      <c r="K128" s="219">
        <v>375</v>
      </c>
      <c r="L128" s="219"/>
      <c r="M128" s="219"/>
      <c r="N128" s="219"/>
      <c r="O128" s="219"/>
      <c r="P128" s="219">
        <f t="shared" si="55"/>
        <v>375</v>
      </c>
      <c r="Q128" s="219">
        <v>375</v>
      </c>
      <c r="R128" s="219"/>
      <c r="S128" s="219"/>
      <c r="T128" s="219"/>
      <c r="U128" s="219"/>
      <c r="V128" s="219">
        <f t="shared" si="109"/>
        <v>375</v>
      </c>
      <c r="W128" s="218"/>
      <c r="X128" s="218"/>
      <c r="Y128" s="218"/>
      <c r="Z128" s="218"/>
      <c r="AA128" s="218"/>
      <c r="AB128" s="218">
        <f t="shared" si="111"/>
        <v>0</v>
      </c>
      <c r="AC128" s="216">
        <f t="shared" si="104"/>
        <v>1125</v>
      </c>
      <c r="AD128" s="216">
        <f t="shared" si="105"/>
        <v>1125</v>
      </c>
    </row>
    <row r="129" spans="1:30" ht="33.75" x14ac:dyDescent="0.25">
      <c r="A129" s="294"/>
      <c r="B129" s="217" t="s">
        <v>648</v>
      </c>
      <c r="C129" s="271" t="s">
        <v>37</v>
      </c>
      <c r="D129" s="284"/>
      <c r="E129" s="219">
        <v>700</v>
      </c>
      <c r="F129" s="219"/>
      <c r="G129" s="219"/>
      <c r="H129" s="219"/>
      <c r="I129" s="219"/>
      <c r="J129" s="219">
        <f t="shared" si="126"/>
        <v>700</v>
      </c>
      <c r="K129" s="219">
        <v>700</v>
      </c>
      <c r="L129" s="219"/>
      <c r="M129" s="219"/>
      <c r="N129" s="219"/>
      <c r="O129" s="219"/>
      <c r="P129" s="219">
        <f t="shared" si="55"/>
        <v>700</v>
      </c>
      <c r="Q129" s="219">
        <v>700</v>
      </c>
      <c r="R129" s="219"/>
      <c r="S129" s="219"/>
      <c r="T129" s="219"/>
      <c r="U129" s="219"/>
      <c r="V129" s="219">
        <f t="shared" si="109"/>
        <v>700</v>
      </c>
      <c r="W129" s="219">
        <f t="shared" si="109"/>
        <v>700</v>
      </c>
      <c r="X129" s="218"/>
      <c r="Y129" s="218"/>
      <c r="Z129" s="218"/>
      <c r="AA129" s="218"/>
      <c r="AB129" s="218">
        <f t="shared" si="111"/>
        <v>700</v>
      </c>
      <c r="AC129" s="216">
        <f t="shared" si="104"/>
        <v>2800</v>
      </c>
      <c r="AD129" s="216">
        <f t="shared" si="105"/>
        <v>2800</v>
      </c>
    </row>
    <row r="130" spans="1:30" ht="45" x14ac:dyDescent="0.25">
      <c r="A130" s="294"/>
      <c r="B130" s="217" t="s">
        <v>649</v>
      </c>
      <c r="C130" s="271" t="s">
        <v>38</v>
      </c>
      <c r="D130" s="285"/>
      <c r="E130" s="219">
        <v>2090</v>
      </c>
      <c r="F130" s="219"/>
      <c r="G130" s="219"/>
      <c r="H130" s="219"/>
      <c r="I130" s="219"/>
      <c r="J130" s="219">
        <f t="shared" si="126"/>
        <v>2090</v>
      </c>
      <c r="K130" s="219">
        <v>2090</v>
      </c>
      <c r="L130" s="219"/>
      <c r="M130" s="219"/>
      <c r="N130" s="219"/>
      <c r="O130" s="219"/>
      <c r="P130" s="219">
        <f t="shared" si="55"/>
        <v>2090</v>
      </c>
      <c r="Q130" s="219">
        <v>2090</v>
      </c>
      <c r="R130" s="219"/>
      <c r="S130" s="219"/>
      <c r="T130" s="219"/>
      <c r="U130" s="219"/>
      <c r="V130" s="219">
        <f t="shared" si="109"/>
        <v>2090</v>
      </c>
      <c r="W130" s="219">
        <f t="shared" si="109"/>
        <v>2090</v>
      </c>
      <c r="X130" s="218"/>
      <c r="Y130" s="218"/>
      <c r="Z130" s="218"/>
      <c r="AA130" s="218"/>
      <c r="AB130" s="218">
        <f t="shared" si="111"/>
        <v>2090</v>
      </c>
      <c r="AC130" s="216">
        <f t="shared" si="104"/>
        <v>8360</v>
      </c>
      <c r="AD130" s="216">
        <f>SUM(J130,P130,V130,AB130)</f>
        <v>8360</v>
      </c>
    </row>
    <row r="131" spans="1:30" x14ac:dyDescent="0.25">
      <c r="A131" s="294" t="s">
        <v>334</v>
      </c>
      <c r="B131" s="214"/>
      <c r="C131" s="214"/>
      <c r="D131" s="276"/>
      <c r="E131" s="216">
        <f>SUM(E132:E137)</f>
        <v>299175</v>
      </c>
      <c r="F131" s="216">
        <f t="shared" ref="F131:I131" si="132">SUM(F132:F137)</f>
        <v>380</v>
      </c>
      <c r="G131" s="216">
        <f t="shared" si="132"/>
        <v>4761.3599999999997</v>
      </c>
      <c r="H131" s="216">
        <f>SUM(H132:H137)</f>
        <v>0</v>
      </c>
      <c r="I131" s="216">
        <f t="shared" si="132"/>
        <v>512</v>
      </c>
      <c r="J131" s="216">
        <f t="shared" si="126"/>
        <v>304828.36</v>
      </c>
      <c r="K131" s="216">
        <f>SUM(K132:K137)</f>
        <v>315930</v>
      </c>
      <c r="L131" s="216">
        <f t="shared" ref="L131:O131" si="133">SUM(L132:L137)</f>
        <v>0</v>
      </c>
      <c r="M131" s="216">
        <f t="shared" si="133"/>
        <v>2422.63</v>
      </c>
      <c r="N131" s="216"/>
      <c r="O131" s="216">
        <f t="shared" si="133"/>
        <v>450</v>
      </c>
      <c r="P131" s="216">
        <f t="shared" si="55"/>
        <v>318802.63</v>
      </c>
      <c r="Q131" s="216">
        <f>SUM(Q132:Q137)</f>
        <v>320530</v>
      </c>
      <c r="R131" s="216">
        <f t="shared" ref="R131:U131" si="134">SUM(R132:R137)</f>
        <v>0</v>
      </c>
      <c r="S131" s="216">
        <f t="shared" si="134"/>
        <v>2020</v>
      </c>
      <c r="T131" s="216"/>
      <c r="U131" s="216">
        <f t="shared" si="134"/>
        <v>450</v>
      </c>
      <c r="V131" s="216">
        <f t="shared" si="109"/>
        <v>323000</v>
      </c>
      <c r="W131" s="216">
        <f>SUM(W132:W137)</f>
        <v>320530</v>
      </c>
      <c r="X131" s="216">
        <f t="shared" ref="X131:AA131" si="135">SUM(X132:X137)</f>
        <v>0</v>
      </c>
      <c r="Y131" s="216">
        <f t="shared" si="135"/>
        <v>0</v>
      </c>
      <c r="Z131" s="216"/>
      <c r="AA131" s="216">
        <f t="shared" si="135"/>
        <v>450</v>
      </c>
      <c r="AB131" s="216">
        <f t="shared" si="111"/>
        <v>320980</v>
      </c>
      <c r="AC131" s="216">
        <f t="shared" si="104"/>
        <v>1256165</v>
      </c>
      <c r="AD131" s="216">
        <f t="shared" si="105"/>
        <v>1267610.99</v>
      </c>
    </row>
    <row r="132" spans="1:30" ht="69.75" customHeight="1" x14ac:dyDescent="0.25">
      <c r="A132" s="294"/>
      <c r="B132" s="226" t="s">
        <v>650</v>
      </c>
      <c r="C132" s="271" t="s">
        <v>762</v>
      </c>
      <c r="D132" s="283" t="s">
        <v>739</v>
      </c>
      <c r="E132" s="223">
        <v>82645</v>
      </c>
      <c r="F132" s="223"/>
      <c r="G132" s="223"/>
      <c r="H132" s="223"/>
      <c r="I132" s="223"/>
      <c r="J132" s="223">
        <f t="shared" si="126"/>
        <v>82645</v>
      </c>
      <c r="K132" s="223">
        <v>93900</v>
      </c>
      <c r="L132" s="223"/>
      <c r="M132" s="223"/>
      <c r="N132" s="223"/>
      <c r="O132" s="223"/>
      <c r="P132" s="223">
        <f t="shared" si="55"/>
        <v>93900</v>
      </c>
      <c r="Q132" s="223">
        <v>98400</v>
      </c>
      <c r="R132" s="223"/>
      <c r="S132" s="223"/>
      <c r="T132" s="223"/>
      <c r="U132" s="223"/>
      <c r="V132" s="223">
        <f t="shared" si="109"/>
        <v>98400</v>
      </c>
      <c r="W132" s="222">
        <v>98400</v>
      </c>
      <c r="X132" s="222"/>
      <c r="Y132" s="222"/>
      <c r="Z132" s="222"/>
      <c r="AA132" s="222"/>
      <c r="AB132" s="218">
        <f>SUM(W132:AA132)</f>
        <v>98400</v>
      </c>
      <c r="AC132" s="216">
        <f t="shared" si="104"/>
        <v>373345</v>
      </c>
      <c r="AD132" s="216">
        <f t="shared" si="105"/>
        <v>373345</v>
      </c>
    </row>
    <row r="133" spans="1:30" ht="22.5" x14ac:dyDescent="0.25">
      <c r="A133" s="294"/>
      <c r="B133" s="217" t="s">
        <v>651</v>
      </c>
      <c r="C133" s="271"/>
      <c r="D133" s="284"/>
      <c r="E133" s="223">
        <v>122500</v>
      </c>
      <c r="F133" s="223"/>
      <c r="G133" s="223"/>
      <c r="H133" s="223"/>
      <c r="I133" s="223"/>
      <c r="J133" s="223">
        <f t="shared" si="126"/>
        <v>122500</v>
      </c>
      <c r="K133" s="223">
        <v>127500</v>
      </c>
      <c r="L133" s="223"/>
      <c r="M133" s="223"/>
      <c r="N133" s="223"/>
      <c r="O133" s="223"/>
      <c r="P133" s="223">
        <f t="shared" ref="P133:P137" si="136">SUM(K133:O133)</f>
        <v>127500</v>
      </c>
      <c r="Q133" s="223">
        <v>127500</v>
      </c>
      <c r="R133" s="223"/>
      <c r="S133" s="223"/>
      <c r="T133" s="223"/>
      <c r="U133" s="223"/>
      <c r="V133" s="223">
        <f t="shared" si="109"/>
        <v>127500</v>
      </c>
      <c r="W133" s="222">
        <v>127500</v>
      </c>
      <c r="X133" s="222"/>
      <c r="Y133" s="222"/>
      <c r="Z133" s="222"/>
      <c r="AA133" s="222"/>
      <c r="AB133" s="218">
        <f t="shared" ref="AB133:AB137" si="137">SUM(W133:AA133)</f>
        <v>127500</v>
      </c>
      <c r="AC133" s="216">
        <f t="shared" si="104"/>
        <v>505000</v>
      </c>
      <c r="AD133" s="216">
        <f t="shared" si="105"/>
        <v>505000</v>
      </c>
    </row>
    <row r="134" spans="1:30" ht="47.25" customHeight="1" x14ac:dyDescent="0.25">
      <c r="A134" s="294"/>
      <c r="B134" s="217" t="s">
        <v>652</v>
      </c>
      <c r="C134" s="271" t="s">
        <v>763</v>
      </c>
      <c r="D134" s="284"/>
      <c r="E134" s="223">
        <v>4200</v>
      </c>
      <c r="F134" s="223">
        <v>380</v>
      </c>
      <c r="G134" s="223">
        <f>828-265+1123.58+567.7</f>
        <v>2254.2799999999997</v>
      </c>
      <c r="H134" s="223"/>
      <c r="I134" s="223"/>
      <c r="J134" s="223">
        <f t="shared" si="126"/>
        <v>6834.28</v>
      </c>
      <c r="K134" s="223">
        <v>4500</v>
      </c>
      <c r="L134" s="223"/>
      <c r="M134" s="223">
        <f>468.1*3*20%</f>
        <v>280.86000000000007</v>
      </c>
      <c r="N134" s="223"/>
      <c r="O134" s="223"/>
      <c r="P134" s="223">
        <f t="shared" si="136"/>
        <v>4780.8599999999997</v>
      </c>
      <c r="Q134" s="223">
        <v>4500</v>
      </c>
      <c r="R134" s="223"/>
      <c r="S134" s="223"/>
      <c r="T134" s="223"/>
      <c r="U134" s="223"/>
      <c r="V134" s="223">
        <f>38+2559+18500+304+196+1949+288+200+1840+94+100+110</f>
        <v>26178</v>
      </c>
      <c r="W134" s="222">
        <v>4500</v>
      </c>
      <c r="X134" s="222"/>
      <c r="Y134" s="222"/>
      <c r="Z134" s="222"/>
      <c r="AA134" s="222"/>
      <c r="AB134" s="218">
        <f t="shared" si="137"/>
        <v>4500</v>
      </c>
      <c r="AC134" s="216">
        <f t="shared" si="104"/>
        <v>17700</v>
      </c>
      <c r="AD134" s="216">
        <f t="shared" si="105"/>
        <v>42293.14</v>
      </c>
    </row>
    <row r="135" spans="1:30" ht="33.75" x14ac:dyDescent="0.25">
      <c r="A135" s="294"/>
      <c r="B135" s="217" t="s">
        <v>653</v>
      </c>
      <c r="C135" s="271"/>
      <c r="D135" s="284"/>
      <c r="E135" s="223"/>
      <c r="F135" s="223"/>
      <c r="G135" s="223">
        <v>2020</v>
      </c>
      <c r="H135" s="223"/>
      <c r="I135" s="223"/>
      <c r="J135" s="223">
        <f t="shared" si="126"/>
        <v>2020</v>
      </c>
      <c r="K135" s="223"/>
      <c r="L135" s="223"/>
      <c r="M135" s="223">
        <f>6060/3</f>
        <v>2020</v>
      </c>
      <c r="N135" s="223"/>
      <c r="O135" s="223"/>
      <c r="P135" s="223">
        <f t="shared" si="136"/>
        <v>2020</v>
      </c>
      <c r="Q135" s="223"/>
      <c r="R135" s="223"/>
      <c r="S135" s="223">
        <v>2020</v>
      </c>
      <c r="T135" s="223"/>
      <c r="U135" s="223"/>
      <c r="V135" s="223">
        <f t="shared" si="109"/>
        <v>2020</v>
      </c>
      <c r="W135" s="222"/>
      <c r="X135" s="222"/>
      <c r="Y135" s="222"/>
      <c r="Z135" s="222"/>
      <c r="AA135" s="222"/>
      <c r="AB135" s="218">
        <f t="shared" si="137"/>
        <v>0</v>
      </c>
      <c r="AC135" s="216">
        <f t="shared" si="104"/>
        <v>0</v>
      </c>
      <c r="AD135" s="216">
        <f t="shared" si="105"/>
        <v>6060</v>
      </c>
    </row>
    <row r="136" spans="1:30" ht="67.5" x14ac:dyDescent="0.25">
      <c r="A136" s="294"/>
      <c r="B136" s="217" t="s">
        <v>654</v>
      </c>
      <c r="C136" s="271" t="s">
        <v>39</v>
      </c>
      <c r="D136" s="284"/>
      <c r="E136" s="223">
        <f>82645+685</f>
        <v>83330</v>
      </c>
      <c r="F136" s="223"/>
      <c r="G136" s="223"/>
      <c r="H136" s="223"/>
      <c r="I136" s="223"/>
      <c r="J136" s="223">
        <f t="shared" si="126"/>
        <v>83330</v>
      </c>
      <c r="K136" s="223">
        <v>83330</v>
      </c>
      <c r="L136" s="223"/>
      <c r="M136" s="223"/>
      <c r="N136" s="223"/>
      <c r="O136" s="223"/>
      <c r="P136" s="223">
        <f t="shared" si="136"/>
        <v>83330</v>
      </c>
      <c r="Q136" s="223">
        <v>83330</v>
      </c>
      <c r="R136" s="223"/>
      <c r="S136" s="223"/>
      <c r="T136" s="223"/>
      <c r="U136" s="223"/>
      <c r="V136" s="223">
        <f t="shared" si="109"/>
        <v>83330</v>
      </c>
      <c r="W136" s="222">
        <v>83330</v>
      </c>
      <c r="X136" s="222"/>
      <c r="Y136" s="222"/>
      <c r="Z136" s="222"/>
      <c r="AA136" s="222"/>
      <c r="AB136" s="218">
        <f t="shared" si="137"/>
        <v>83330</v>
      </c>
      <c r="AC136" s="216">
        <f t="shared" si="104"/>
        <v>333320</v>
      </c>
      <c r="AD136" s="216">
        <f t="shared" si="105"/>
        <v>333320</v>
      </c>
    </row>
    <row r="137" spans="1:30" ht="101.25" x14ac:dyDescent="0.25">
      <c r="A137" s="294"/>
      <c r="B137" s="217" t="s">
        <v>655</v>
      </c>
      <c r="C137" s="271" t="s">
        <v>40</v>
      </c>
      <c r="D137" s="285"/>
      <c r="E137" s="223">
        <f>2300+4200</f>
        <v>6500</v>
      </c>
      <c r="F137" s="223"/>
      <c r="G137" s="223">
        <f>202.95*3*80%</f>
        <v>487.07999999999993</v>
      </c>
      <c r="H137" s="223"/>
      <c r="I137" s="223">
        <f>132+380</f>
        <v>512</v>
      </c>
      <c r="J137" s="223">
        <f t="shared" si="126"/>
        <v>7499.08</v>
      </c>
      <c r="K137" s="223">
        <f>2500+4200</f>
        <v>6700</v>
      </c>
      <c r="L137" s="223"/>
      <c r="M137" s="223">
        <f>202.95*3*20%</f>
        <v>121.76999999999998</v>
      </c>
      <c r="N137" s="223"/>
      <c r="O137" s="223">
        <f>150+300</f>
        <v>450</v>
      </c>
      <c r="P137" s="223">
        <f t="shared" si="136"/>
        <v>7271.77</v>
      </c>
      <c r="Q137" s="223">
        <f>2600+4200</f>
        <v>6800</v>
      </c>
      <c r="R137" s="223"/>
      <c r="S137" s="223"/>
      <c r="T137" s="223"/>
      <c r="U137" s="223">
        <f>150+300</f>
        <v>450</v>
      </c>
      <c r="V137" s="223">
        <f t="shared" si="109"/>
        <v>7250</v>
      </c>
      <c r="W137" s="222">
        <f>2600+4200</f>
        <v>6800</v>
      </c>
      <c r="X137" s="222"/>
      <c r="Y137" s="222"/>
      <c r="Z137" s="222"/>
      <c r="AA137" s="222">
        <f>150+300</f>
        <v>450</v>
      </c>
      <c r="AB137" s="218">
        <f t="shared" si="137"/>
        <v>7250</v>
      </c>
      <c r="AC137" s="216">
        <f t="shared" si="104"/>
        <v>26800</v>
      </c>
      <c r="AD137" s="216">
        <f t="shared" si="105"/>
        <v>29270.85</v>
      </c>
    </row>
    <row r="138" spans="1:30" x14ac:dyDescent="0.25">
      <c r="A138" s="294" t="s">
        <v>335</v>
      </c>
      <c r="B138" s="214"/>
      <c r="C138" s="214"/>
      <c r="D138" s="276"/>
      <c r="E138" s="216">
        <f>SUM(E139:E142)</f>
        <v>713335</v>
      </c>
      <c r="F138" s="216">
        <f>SUM(F139:F142)</f>
        <v>0</v>
      </c>
      <c r="G138" s="216">
        <f>SUM(G139:G142)</f>
        <v>0</v>
      </c>
      <c r="H138" s="216">
        <f>SUM(H139:H142)</f>
        <v>0</v>
      </c>
      <c r="I138" s="216">
        <f>SUM(I139:I142)</f>
        <v>0</v>
      </c>
      <c r="J138" s="216">
        <f t="shared" si="126"/>
        <v>713335</v>
      </c>
      <c r="K138" s="216">
        <f>SUM(K139:K142)</f>
        <v>756200</v>
      </c>
      <c r="L138" s="216">
        <f>SUM(L139:L142)</f>
        <v>0</v>
      </c>
      <c r="M138" s="216">
        <f>SUM(M139:M142)</f>
        <v>0</v>
      </c>
      <c r="N138" s="216"/>
      <c r="O138" s="216">
        <f>SUM(O139:O142)</f>
        <v>0</v>
      </c>
      <c r="P138" s="216">
        <f t="shared" ref="P138:P186" si="138">SUM(K138:O138)</f>
        <v>756200</v>
      </c>
      <c r="Q138" s="216">
        <f>SUM(Q139:Q142)</f>
        <v>766600</v>
      </c>
      <c r="R138" s="216">
        <f>SUM(R139:R142)</f>
        <v>0</v>
      </c>
      <c r="S138" s="216">
        <f>SUM(S139:S142)</f>
        <v>0</v>
      </c>
      <c r="T138" s="216"/>
      <c r="U138" s="216">
        <f>SUM(U139:U142)</f>
        <v>0</v>
      </c>
      <c r="V138" s="216">
        <f t="shared" si="109"/>
        <v>766600</v>
      </c>
      <c r="W138" s="216">
        <f>SUM(W139:W142)</f>
        <v>814400</v>
      </c>
      <c r="X138" s="216">
        <f>SUM(X139:X142)</f>
        <v>0</v>
      </c>
      <c r="Y138" s="216">
        <f>SUM(Y139:Y142)</f>
        <v>0</v>
      </c>
      <c r="Z138" s="216"/>
      <c r="AA138" s="216">
        <f>SUM(AA139:AA142)</f>
        <v>0</v>
      </c>
      <c r="AB138" s="216">
        <f t="shared" si="111"/>
        <v>814400</v>
      </c>
      <c r="AC138" s="216">
        <f t="shared" si="104"/>
        <v>3050535</v>
      </c>
      <c r="AD138" s="216">
        <f t="shared" si="105"/>
        <v>3050535</v>
      </c>
    </row>
    <row r="139" spans="1:30" ht="33.75" x14ac:dyDescent="0.25">
      <c r="A139" s="294"/>
      <c r="B139" s="217" t="s">
        <v>656</v>
      </c>
      <c r="C139" s="271" t="s">
        <v>41</v>
      </c>
      <c r="D139" s="283" t="s">
        <v>720</v>
      </c>
      <c r="E139" s="219">
        <v>680000</v>
      </c>
      <c r="F139" s="219"/>
      <c r="G139" s="219"/>
      <c r="H139" s="268"/>
      <c r="I139" s="219"/>
      <c r="J139" s="219">
        <f t="shared" si="126"/>
        <v>680000</v>
      </c>
      <c r="K139" s="219">
        <v>717700</v>
      </c>
      <c r="L139" s="219"/>
      <c r="M139" s="219"/>
      <c r="N139" s="219"/>
      <c r="O139" s="219"/>
      <c r="P139" s="219">
        <f t="shared" si="138"/>
        <v>717700</v>
      </c>
      <c r="Q139" s="219">
        <v>726600</v>
      </c>
      <c r="R139" s="219"/>
      <c r="S139" s="219"/>
      <c r="T139" s="219"/>
      <c r="U139" s="219"/>
      <c r="V139" s="219">
        <f t="shared" si="109"/>
        <v>726600</v>
      </c>
      <c r="W139" s="218">
        <v>771100</v>
      </c>
      <c r="X139" s="218"/>
      <c r="Y139" s="218"/>
      <c r="Z139" s="218"/>
      <c r="AA139" s="218"/>
      <c r="AB139" s="218">
        <f t="shared" si="111"/>
        <v>771100</v>
      </c>
      <c r="AC139" s="228">
        <f t="shared" si="104"/>
        <v>2895400</v>
      </c>
      <c r="AD139" s="228">
        <f t="shared" si="105"/>
        <v>2895400</v>
      </c>
    </row>
    <row r="140" spans="1:30" ht="33.75" x14ac:dyDescent="0.25">
      <c r="A140" s="294"/>
      <c r="B140" s="217" t="s">
        <v>657</v>
      </c>
      <c r="C140" s="271" t="s">
        <v>47</v>
      </c>
      <c r="D140" s="284"/>
      <c r="E140" s="219">
        <v>28200</v>
      </c>
      <c r="F140" s="219"/>
      <c r="G140" s="219"/>
      <c r="H140" s="219"/>
      <c r="I140" s="219"/>
      <c r="J140" s="219">
        <f t="shared" si="126"/>
        <v>28200</v>
      </c>
      <c r="K140" s="219">
        <v>33300</v>
      </c>
      <c r="L140" s="219"/>
      <c r="M140" s="219"/>
      <c r="N140" s="219"/>
      <c r="O140" s="219"/>
      <c r="P140" s="219">
        <f t="shared" si="138"/>
        <v>33300</v>
      </c>
      <c r="Q140" s="219">
        <v>34800</v>
      </c>
      <c r="R140" s="219"/>
      <c r="S140" s="219"/>
      <c r="T140" s="219"/>
      <c r="U140" s="219"/>
      <c r="V140" s="219">
        <f t="shared" si="109"/>
        <v>34800</v>
      </c>
      <c r="W140" s="218">
        <v>38100</v>
      </c>
      <c r="X140" s="218"/>
      <c r="Y140" s="218"/>
      <c r="Z140" s="218"/>
      <c r="AA140" s="218"/>
      <c r="AB140" s="218">
        <f t="shared" si="111"/>
        <v>38100</v>
      </c>
      <c r="AC140" s="228">
        <f t="shared" si="104"/>
        <v>134400</v>
      </c>
      <c r="AD140" s="228">
        <f t="shared" si="105"/>
        <v>134400</v>
      </c>
    </row>
    <row r="141" spans="1:30" ht="67.5" x14ac:dyDescent="0.25">
      <c r="A141" s="294"/>
      <c r="B141" s="217" t="s">
        <v>658</v>
      </c>
      <c r="C141" s="271" t="s">
        <v>350</v>
      </c>
      <c r="D141" s="284"/>
      <c r="E141" s="219">
        <v>3049</v>
      </c>
      <c r="F141" s="219"/>
      <c r="G141" s="219"/>
      <c r="H141" s="219"/>
      <c r="I141" s="219"/>
      <c r="J141" s="219">
        <f t="shared" si="126"/>
        <v>3049</v>
      </c>
      <c r="K141" s="219">
        <v>3050</v>
      </c>
      <c r="L141" s="219"/>
      <c r="M141" s="219"/>
      <c r="N141" s="219"/>
      <c r="O141" s="219"/>
      <c r="P141" s="219">
        <f t="shared" si="138"/>
        <v>3050</v>
      </c>
      <c r="Q141" s="219">
        <v>3050</v>
      </c>
      <c r="R141" s="219"/>
      <c r="S141" s="219"/>
      <c r="T141" s="219"/>
      <c r="U141" s="219"/>
      <c r="V141" s="219">
        <f t="shared" si="109"/>
        <v>3050</v>
      </c>
      <c r="W141" s="218">
        <v>3050</v>
      </c>
      <c r="X141" s="218"/>
      <c r="Y141" s="218"/>
      <c r="Z141" s="218"/>
      <c r="AA141" s="218"/>
      <c r="AB141" s="218">
        <f t="shared" si="111"/>
        <v>3050</v>
      </c>
      <c r="AC141" s="228">
        <f t="shared" si="104"/>
        <v>12199</v>
      </c>
      <c r="AD141" s="228">
        <f t="shared" si="105"/>
        <v>12199</v>
      </c>
    </row>
    <row r="142" spans="1:30" ht="36" customHeight="1" x14ac:dyDescent="0.25">
      <c r="A142" s="294"/>
      <c r="B142" s="217" t="s">
        <v>659</v>
      </c>
      <c r="C142" s="271" t="s">
        <v>764</v>
      </c>
      <c r="D142" s="285"/>
      <c r="E142" s="219">
        <v>2086</v>
      </c>
      <c r="F142" s="219"/>
      <c r="G142" s="219"/>
      <c r="H142" s="219"/>
      <c r="I142" s="219"/>
      <c r="J142" s="219">
        <f t="shared" si="126"/>
        <v>2086</v>
      </c>
      <c r="K142" s="219">
        <v>2150</v>
      </c>
      <c r="L142" s="219"/>
      <c r="M142" s="219"/>
      <c r="N142" s="219"/>
      <c r="O142" s="219"/>
      <c r="P142" s="219">
        <f t="shared" si="138"/>
        <v>2150</v>
      </c>
      <c r="Q142" s="219">
        <v>2150</v>
      </c>
      <c r="R142" s="219"/>
      <c r="S142" s="219"/>
      <c r="T142" s="219"/>
      <c r="U142" s="219"/>
      <c r="V142" s="219">
        <f t="shared" si="109"/>
        <v>2150</v>
      </c>
      <c r="W142" s="218">
        <v>2150</v>
      </c>
      <c r="X142" s="218"/>
      <c r="Y142" s="218"/>
      <c r="Z142" s="218"/>
      <c r="AA142" s="218"/>
      <c r="AB142" s="218">
        <f t="shared" si="111"/>
        <v>2150</v>
      </c>
      <c r="AC142" s="228">
        <f t="shared" ref="AC142:AC188" si="139">SUM(E142,K142,Q142,W142)</f>
        <v>8536</v>
      </c>
      <c r="AD142" s="228">
        <f t="shared" ref="AD142:AD188" si="140">SUM(J142,P142,V142,AB142)</f>
        <v>8536</v>
      </c>
    </row>
    <row r="143" spans="1:30" ht="120" customHeight="1" x14ac:dyDescent="0.25">
      <c r="A143" s="246" t="s">
        <v>311</v>
      </c>
      <c r="B143" s="237"/>
      <c r="C143" s="237"/>
      <c r="D143" s="277"/>
      <c r="E143" s="245">
        <f>E144+E154+E155+E159+E161+E164</f>
        <v>109836.66</v>
      </c>
      <c r="F143" s="245">
        <f>F144+F154+F155+F159+F161+F164</f>
        <v>38329.619999999995</v>
      </c>
      <c r="G143" s="245">
        <f>G144+G154+G155+G159+G161+G164</f>
        <v>0</v>
      </c>
      <c r="H143" s="245">
        <f>SUM(H144,H154,H155,H159,H161,H164)</f>
        <v>0</v>
      </c>
      <c r="I143" s="245">
        <f>I144+I154+I155+I159+I161+I164</f>
        <v>0</v>
      </c>
      <c r="J143" s="245">
        <f>J144+J154+J155+J159+J161+J164</f>
        <v>148166.28</v>
      </c>
      <c r="K143" s="245">
        <f>K144+K154+K155+K159+K161+K164</f>
        <v>349784.57</v>
      </c>
      <c r="L143" s="245">
        <f>L144+L154+L155+L159+L161+L164</f>
        <v>36165.43</v>
      </c>
      <c r="M143" s="245">
        <f>M144+M154+M155+M159+M161+M164</f>
        <v>0</v>
      </c>
      <c r="N143" s="245"/>
      <c r="O143" s="245">
        <f>O144+O154+O155+O159+O161+O164</f>
        <v>0</v>
      </c>
      <c r="P143" s="245">
        <f>P144+P154+P155+P159+P161+P164</f>
        <v>429400</v>
      </c>
      <c r="Q143" s="245">
        <f>Q144+Q154+Q155+Q159+Q161+Q164</f>
        <v>106300.17</v>
      </c>
      <c r="R143" s="245">
        <f>R144+R154+R155+R159+R161+R164</f>
        <v>26017.83</v>
      </c>
      <c r="S143" s="245">
        <f>S144+S154+S155+S159+S161+S164</f>
        <v>0</v>
      </c>
      <c r="T143" s="245"/>
      <c r="U143" s="245">
        <f>U144+U154+U155+U159+U161+U164</f>
        <v>0</v>
      </c>
      <c r="V143" s="245">
        <f>V144+V154+V155+V159+V161+V164</f>
        <v>163636</v>
      </c>
      <c r="W143" s="245">
        <f>W144+W154+W155+W159+W161+W164</f>
        <v>106438.82</v>
      </c>
      <c r="X143" s="245">
        <f>X144+X154+X155+X159+X161+X164</f>
        <v>26479.18</v>
      </c>
      <c r="Y143" s="245">
        <f>Y144+Y154+Y155+Y159+Y161+Y164</f>
        <v>0</v>
      </c>
      <c r="Z143" s="245"/>
      <c r="AA143" s="245">
        <f>AA144+AA154+AA155+AA159+AA161+AA164</f>
        <v>0</v>
      </c>
      <c r="AB143" s="245">
        <f>AB144+AB154+AB155+AB159+AB161+AB164</f>
        <v>132918</v>
      </c>
      <c r="AC143" s="245">
        <f t="shared" si="139"/>
        <v>672360.22</v>
      </c>
      <c r="AD143" s="213">
        <f t="shared" si="140"/>
        <v>874120.28</v>
      </c>
    </row>
    <row r="144" spans="1:30" x14ac:dyDescent="0.25">
      <c r="A144" s="294" t="s">
        <v>306</v>
      </c>
      <c r="B144" s="214"/>
      <c r="C144" s="214"/>
      <c r="D144" s="276"/>
      <c r="E144" s="216">
        <f>SUM(E145:E145)</f>
        <v>7646.66</v>
      </c>
      <c r="F144" s="216">
        <f>SUM(F145:F145)</f>
        <v>38329.619999999995</v>
      </c>
      <c r="G144" s="216">
        <f>SUM(G145:G145)</f>
        <v>0</v>
      </c>
      <c r="H144" s="216">
        <f>SUM(H145:H153)</f>
        <v>0</v>
      </c>
      <c r="I144" s="216">
        <f>SUM(I145:I145)</f>
        <v>0</v>
      </c>
      <c r="J144" s="216">
        <f>SUM(E144:I144)</f>
        <v>45976.28</v>
      </c>
      <c r="K144" s="216">
        <f>SUM(K145:K145)</f>
        <v>7284.57</v>
      </c>
      <c r="L144" s="216">
        <f>SUM(L145:L145)</f>
        <v>36165.43</v>
      </c>
      <c r="M144" s="216">
        <f>SUM(M145:M145)</f>
        <v>0</v>
      </c>
      <c r="N144" s="216"/>
      <c r="O144" s="216">
        <f>SUM(O145:O145)</f>
        <v>0</v>
      </c>
      <c r="P144" s="216">
        <f>SUM(P145:P153)</f>
        <v>86900</v>
      </c>
      <c r="Q144" s="216">
        <f>SUM(Q145:Q145)</f>
        <v>5300.17</v>
      </c>
      <c r="R144" s="216">
        <f>SUM(R145:R145)</f>
        <v>26017.83</v>
      </c>
      <c r="S144" s="216">
        <f>SUM(S145:S145)</f>
        <v>0</v>
      </c>
      <c r="T144" s="216"/>
      <c r="U144" s="216">
        <f>SUM(U145:U145)</f>
        <v>0</v>
      </c>
      <c r="V144" s="216">
        <f>SUM(V145:V153)</f>
        <v>62636</v>
      </c>
      <c r="W144" s="216">
        <f>SUM(W145:W145)</f>
        <v>5438.8200000000006</v>
      </c>
      <c r="X144" s="216">
        <f>SUM(X145:X145)</f>
        <v>26479.18</v>
      </c>
      <c r="Y144" s="216">
        <f>SUM(Y145:Y145)</f>
        <v>0</v>
      </c>
      <c r="Z144" s="216"/>
      <c r="AA144" s="216">
        <f>SUM(AA145:AA145)</f>
        <v>0</v>
      </c>
      <c r="AB144" s="216">
        <f t="shared" si="111"/>
        <v>31918</v>
      </c>
      <c r="AC144" s="216">
        <f t="shared" si="139"/>
        <v>25670.22</v>
      </c>
      <c r="AD144" s="216">
        <f t="shared" si="140"/>
        <v>227430.28</v>
      </c>
    </row>
    <row r="145" spans="1:115" ht="175.5" customHeight="1" x14ac:dyDescent="0.25">
      <c r="A145" s="294"/>
      <c r="B145" s="217" t="s">
        <v>690</v>
      </c>
      <c r="C145" s="274" t="s">
        <v>765</v>
      </c>
      <c r="D145" s="283" t="s">
        <v>721</v>
      </c>
      <c r="E145" s="219">
        <f>SUM(E146:E153)</f>
        <v>7646.66</v>
      </c>
      <c r="F145" s="219">
        <f>SUM(F146:F153)</f>
        <v>38329.619999999995</v>
      </c>
      <c r="G145" s="219">
        <f>SUM(G146:G153)</f>
        <v>0</v>
      </c>
      <c r="H145" s="219"/>
      <c r="I145" s="219">
        <f>SUM(I146:I153)</f>
        <v>0</v>
      </c>
      <c r="J145" s="219">
        <f>SUM(E145:I145)</f>
        <v>45976.28</v>
      </c>
      <c r="K145" s="219">
        <f>SUM(K146:K153)</f>
        <v>7284.57</v>
      </c>
      <c r="L145" s="219">
        <f>SUM(L146:L153)</f>
        <v>36165.43</v>
      </c>
      <c r="M145" s="219">
        <f>SUM(M146:M153)</f>
        <v>0</v>
      </c>
      <c r="N145" s="219"/>
      <c r="O145" s="219">
        <f>SUM(O146:O153)</f>
        <v>0</v>
      </c>
      <c r="P145" s="219">
        <f t="shared" si="138"/>
        <v>43450</v>
      </c>
      <c r="Q145" s="219">
        <f>SUM(Q146:Q153)</f>
        <v>5300.17</v>
      </c>
      <c r="R145" s="219">
        <f>SUM(R146:R153)</f>
        <v>26017.83</v>
      </c>
      <c r="S145" s="219">
        <f>SUM(S146:S153)</f>
        <v>0</v>
      </c>
      <c r="T145" s="219"/>
      <c r="U145" s="219">
        <f>SUM(U146:U153)</f>
        <v>0</v>
      </c>
      <c r="V145" s="219">
        <f>SUM(Q145:U145)</f>
        <v>31318</v>
      </c>
      <c r="W145" s="219">
        <f>SUM(W146:W153)</f>
        <v>5438.8200000000006</v>
      </c>
      <c r="X145" s="219">
        <f>SUM(X146:X153)</f>
        <v>26479.18</v>
      </c>
      <c r="Y145" s="219">
        <f>SUM(Y146:Y153)</f>
        <v>0</v>
      </c>
      <c r="Z145" s="219"/>
      <c r="AA145" s="219">
        <f>SUM(AA146:AA153)</f>
        <v>0</v>
      </c>
      <c r="AB145" s="218">
        <f>SUM(W145:AA145)</f>
        <v>31918</v>
      </c>
      <c r="AC145" s="216">
        <f t="shared" si="139"/>
        <v>25670.22</v>
      </c>
      <c r="AD145" s="216">
        <f t="shared" si="140"/>
        <v>152662.28</v>
      </c>
    </row>
    <row r="146" spans="1:115" ht="43.5" customHeight="1" x14ac:dyDescent="0.25">
      <c r="A146" s="294"/>
      <c r="B146" s="235" t="s">
        <v>685</v>
      </c>
      <c r="C146" s="255"/>
      <c r="D146" s="284"/>
      <c r="E146" s="219"/>
      <c r="F146" s="219"/>
      <c r="G146" s="219"/>
      <c r="H146" s="219"/>
      <c r="I146" s="219"/>
      <c r="J146" s="219">
        <f t="shared" si="126"/>
        <v>0</v>
      </c>
      <c r="K146" s="219"/>
      <c r="L146" s="219"/>
      <c r="M146" s="219"/>
      <c r="N146" s="219"/>
      <c r="O146" s="219"/>
      <c r="P146" s="219">
        <f t="shared" si="138"/>
        <v>0</v>
      </c>
      <c r="Q146" s="219"/>
      <c r="R146" s="219"/>
      <c r="S146" s="219"/>
      <c r="T146" s="219"/>
      <c r="U146" s="219"/>
      <c r="V146" s="219">
        <f t="shared" ref="V146:V188" si="141">SUM(Q146:U146)</f>
        <v>0</v>
      </c>
      <c r="W146" s="218"/>
      <c r="X146" s="218"/>
      <c r="Y146" s="218"/>
      <c r="Z146" s="218"/>
      <c r="AA146" s="218"/>
      <c r="AB146" s="218">
        <f t="shared" ref="AB146:AB188" si="142">W146+X146+Y146+AA146</f>
        <v>0</v>
      </c>
      <c r="AC146" s="216">
        <f t="shared" si="139"/>
        <v>0</v>
      </c>
      <c r="AD146" s="216">
        <f t="shared" si="140"/>
        <v>0</v>
      </c>
    </row>
    <row r="147" spans="1:115" ht="53.25" customHeight="1" x14ac:dyDescent="0.25">
      <c r="A147" s="294"/>
      <c r="B147" s="235" t="s">
        <v>686</v>
      </c>
      <c r="C147" s="255"/>
      <c r="D147" s="284"/>
      <c r="E147" s="219"/>
      <c r="F147" s="219"/>
      <c r="G147" s="219"/>
      <c r="H147" s="219"/>
      <c r="I147" s="219"/>
      <c r="J147" s="219">
        <f t="shared" si="126"/>
        <v>0</v>
      </c>
      <c r="K147" s="219"/>
      <c r="L147" s="219"/>
      <c r="M147" s="219"/>
      <c r="N147" s="219"/>
      <c r="O147" s="219"/>
      <c r="P147" s="219">
        <f t="shared" si="138"/>
        <v>0</v>
      </c>
      <c r="Q147" s="219"/>
      <c r="R147" s="219"/>
      <c r="S147" s="219"/>
      <c r="T147" s="219"/>
      <c r="U147" s="219"/>
      <c r="V147" s="219">
        <f t="shared" si="141"/>
        <v>0</v>
      </c>
      <c r="W147" s="218"/>
      <c r="X147" s="218"/>
      <c r="Y147" s="218"/>
      <c r="Z147" s="218"/>
      <c r="AA147" s="218"/>
      <c r="AB147" s="218">
        <f t="shared" si="142"/>
        <v>0</v>
      </c>
      <c r="AC147" s="216">
        <f t="shared" si="139"/>
        <v>0</v>
      </c>
      <c r="AD147" s="216">
        <f t="shared" si="140"/>
        <v>0</v>
      </c>
    </row>
    <row r="148" spans="1:115" ht="30" customHeight="1" x14ac:dyDescent="0.25">
      <c r="A148" s="294"/>
      <c r="B148" s="235" t="s">
        <v>307</v>
      </c>
      <c r="C148" s="255"/>
      <c r="D148" s="284"/>
      <c r="E148" s="219"/>
      <c r="F148" s="219"/>
      <c r="G148" s="219"/>
      <c r="H148" s="219"/>
      <c r="I148" s="219"/>
      <c r="J148" s="219">
        <f t="shared" si="126"/>
        <v>0</v>
      </c>
      <c r="K148" s="219"/>
      <c r="L148" s="219"/>
      <c r="M148" s="219"/>
      <c r="N148" s="219"/>
      <c r="O148" s="219"/>
      <c r="P148" s="219">
        <f t="shared" si="138"/>
        <v>0</v>
      </c>
      <c r="Q148" s="219"/>
      <c r="R148" s="219"/>
      <c r="S148" s="219"/>
      <c r="T148" s="219"/>
      <c r="U148" s="219"/>
      <c r="V148" s="219">
        <f t="shared" si="141"/>
        <v>0</v>
      </c>
      <c r="W148" s="218"/>
      <c r="X148" s="218"/>
      <c r="Y148" s="218"/>
      <c r="Z148" s="218"/>
      <c r="AA148" s="218"/>
      <c r="AB148" s="218">
        <f t="shared" si="142"/>
        <v>0</v>
      </c>
      <c r="AC148" s="216">
        <f t="shared" si="139"/>
        <v>0</v>
      </c>
      <c r="AD148" s="216">
        <f t="shared" si="140"/>
        <v>0</v>
      </c>
    </row>
    <row r="149" spans="1:115" ht="23.25" customHeight="1" x14ac:dyDescent="0.25">
      <c r="A149" s="294"/>
      <c r="B149" s="235" t="s">
        <v>756</v>
      </c>
      <c r="C149" s="255"/>
      <c r="D149" s="284"/>
      <c r="E149" s="219"/>
      <c r="F149" s="219"/>
      <c r="G149" s="219"/>
      <c r="H149" s="219"/>
      <c r="I149" s="219"/>
      <c r="J149" s="219">
        <f t="shared" ref="J149" si="143">SUM(E149:I149)</f>
        <v>0</v>
      </c>
      <c r="K149" s="219"/>
      <c r="L149" s="219"/>
      <c r="M149" s="219"/>
      <c r="N149" s="219"/>
      <c r="O149" s="219"/>
      <c r="P149" s="219">
        <f t="shared" ref="P149" si="144">SUM(K149:O149)</f>
        <v>0</v>
      </c>
      <c r="Q149" s="219"/>
      <c r="R149" s="219"/>
      <c r="S149" s="219"/>
      <c r="T149" s="219"/>
      <c r="U149" s="219"/>
      <c r="V149" s="219">
        <f t="shared" ref="V149" si="145">SUM(Q149:U149)</f>
        <v>0</v>
      </c>
      <c r="W149" s="218"/>
      <c r="X149" s="218"/>
      <c r="Y149" s="218"/>
      <c r="Z149" s="218"/>
      <c r="AA149" s="218"/>
      <c r="AB149" s="218">
        <f t="shared" ref="AB149" si="146">W149+X149+Y149+AA149</f>
        <v>0</v>
      </c>
      <c r="AC149" s="216">
        <f t="shared" ref="AC149" si="147">SUM(E149,K149,Q149,W149)</f>
        <v>0</v>
      </c>
      <c r="AD149" s="216">
        <f t="shared" ref="AD149" si="148">SUM(J149,P149,V149,AB149)</f>
        <v>0</v>
      </c>
    </row>
    <row r="150" spans="1:115" ht="36.75" customHeight="1" x14ac:dyDescent="0.25">
      <c r="A150" s="294"/>
      <c r="B150" s="217" t="s">
        <v>757</v>
      </c>
      <c r="C150" s="274" t="s">
        <v>766</v>
      </c>
      <c r="D150" s="284"/>
      <c r="E150" s="219">
        <v>752.78</v>
      </c>
      <c r="F150" s="219">
        <v>135.5</v>
      </c>
      <c r="G150" s="219"/>
      <c r="H150" s="219"/>
      <c r="I150" s="219"/>
      <c r="J150" s="219">
        <f>SUM(E150:I150)</f>
        <v>888.28</v>
      </c>
      <c r="K150" s="219"/>
      <c r="L150" s="219"/>
      <c r="M150" s="219"/>
      <c r="N150" s="219"/>
      <c r="O150" s="219"/>
      <c r="P150" s="219">
        <f t="shared" si="138"/>
        <v>0</v>
      </c>
      <c r="Q150" s="219"/>
      <c r="R150" s="219"/>
      <c r="S150" s="219"/>
      <c r="T150" s="219"/>
      <c r="U150" s="219"/>
      <c r="V150" s="219">
        <f t="shared" si="141"/>
        <v>0</v>
      </c>
      <c r="W150" s="218"/>
      <c r="X150" s="218"/>
      <c r="Y150" s="218"/>
      <c r="Z150" s="218"/>
      <c r="AA150" s="218"/>
      <c r="AB150" s="218">
        <f t="shared" si="142"/>
        <v>0</v>
      </c>
      <c r="AC150" s="216">
        <f t="shared" si="139"/>
        <v>752.78</v>
      </c>
      <c r="AD150" s="216">
        <f t="shared" si="140"/>
        <v>888.28</v>
      </c>
    </row>
    <row r="151" spans="1:115" ht="41.25" customHeight="1" x14ac:dyDescent="0.25">
      <c r="A151" s="294"/>
      <c r="B151" s="217" t="s">
        <v>308</v>
      </c>
      <c r="C151" s="274" t="s">
        <v>767</v>
      </c>
      <c r="D151" s="284"/>
      <c r="E151" s="219">
        <v>158.94999999999999</v>
      </c>
      <c r="F151" s="219">
        <v>883.05</v>
      </c>
      <c r="G151" s="219"/>
      <c r="H151" s="219"/>
      <c r="I151" s="219"/>
      <c r="J151" s="219">
        <f t="shared" ref="J151:J153" si="149">SUM(E151:I151)</f>
        <v>1042</v>
      </c>
      <c r="K151" s="219">
        <v>183.05</v>
      </c>
      <c r="L151" s="219">
        <v>1016.95</v>
      </c>
      <c r="M151" s="219"/>
      <c r="N151" s="219"/>
      <c r="O151" s="219"/>
      <c r="P151" s="219">
        <f t="shared" si="138"/>
        <v>1200</v>
      </c>
      <c r="Q151" s="219">
        <v>175.42</v>
      </c>
      <c r="R151" s="219">
        <v>974.58</v>
      </c>
      <c r="S151" s="219"/>
      <c r="T151" s="219"/>
      <c r="U151" s="219"/>
      <c r="V151" s="219">
        <f t="shared" si="141"/>
        <v>1150</v>
      </c>
      <c r="W151" s="218">
        <v>167.8</v>
      </c>
      <c r="X151" s="218">
        <v>932.2</v>
      </c>
      <c r="Y151" s="218"/>
      <c r="Z151" s="218"/>
      <c r="AA151" s="218"/>
      <c r="AB151" s="218">
        <f t="shared" si="142"/>
        <v>1100</v>
      </c>
      <c r="AC151" s="216">
        <f t="shared" si="139"/>
        <v>685.22</v>
      </c>
      <c r="AD151" s="216">
        <f t="shared" si="140"/>
        <v>4492</v>
      </c>
    </row>
    <row r="152" spans="1:115" ht="39.75" customHeight="1" x14ac:dyDescent="0.25">
      <c r="A152" s="294"/>
      <c r="B152" s="217" t="s">
        <v>309</v>
      </c>
      <c r="C152" s="219" t="s">
        <v>768</v>
      </c>
      <c r="D152" s="284"/>
      <c r="E152" s="219">
        <v>1900</v>
      </c>
      <c r="F152" s="219">
        <v>13600</v>
      </c>
      <c r="G152" s="219"/>
      <c r="H152" s="219"/>
      <c r="I152" s="219"/>
      <c r="J152" s="219">
        <f t="shared" si="149"/>
        <v>15500</v>
      </c>
      <c r="K152" s="219">
        <v>1983.05</v>
      </c>
      <c r="L152" s="219">
        <v>11016.95</v>
      </c>
      <c r="M152" s="219"/>
      <c r="N152" s="219"/>
      <c r="O152" s="219"/>
      <c r="P152" s="219">
        <f t="shared" si="138"/>
        <v>13000</v>
      </c>
      <c r="Q152" s="219">
        <v>0</v>
      </c>
      <c r="R152" s="219"/>
      <c r="S152" s="219"/>
      <c r="T152" s="219"/>
      <c r="U152" s="219"/>
      <c r="V152" s="219">
        <f t="shared" si="141"/>
        <v>0</v>
      </c>
      <c r="W152" s="218">
        <v>0</v>
      </c>
      <c r="X152" s="218"/>
      <c r="Y152" s="218"/>
      <c r="Z152" s="218"/>
      <c r="AA152" s="218"/>
      <c r="AB152" s="218">
        <f t="shared" si="142"/>
        <v>0</v>
      </c>
      <c r="AC152" s="216">
        <f t="shared" si="139"/>
        <v>3883.05</v>
      </c>
      <c r="AD152" s="216">
        <f t="shared" si="140"/>
        <v>28500</v>
      </c>
    </row>
    <row r="153" spans="1:115" ht="48.75" customHeight="1" x14ac:dyDescent="0.25">
      <c r="A153" s="294"/>
      <c r="B153" s="217" t="s">
        <v>310</v>
      </c>
      <c r="C153" s="274" t="s">
        <v>769</v>
      </c>
      <c r="D153" s="285"/>
      <c r="E153" s="219">
        <v>4834.93</v>
      </c>
      <c r="F153" s="219">
        <v>23711.07</v>
      </c>
      <c r="G153" s="219"/>
      <c r="H153" s="219"/>
      <c r="I153" s="219"/>
      <c r="J153" s="219">
        <f t="shared" si="149"/>
        <v>28546</v>
      </c>
      <c r="K153" s="219">
        <v>5118.47</v>
      </c>
      <c r="L153" s="219">
        <v>24131.53</v>
      </c>
      <c r="M153" s="219"/>
      <c r="N153" s="219"/>
      <c r="O153" s="219"/>
      <c r="P153" s="219">
        <f t="shared" si="138"/>
        <v>29250</v>
      </c>
      <c r="Q153" s="219">
        <v>5124.75</v>
      </c>
      <c r="R153" s="219">
        <v>25043.25</v>
      </c>
      <c r="S153" s="219"/>
      <c r="T153" s="219"/>
      <c r="U153" s="219"/>
      <c r="V153" s="219">
        <f t="shared" si="141"/>
        <v>30168</v>
      </c>
      <c r="W153" s="218">
        <v>5271.02</v>
      </c>
      <c r="X153" s="218">
        <v>25546.98</v>
      </c>
      <c r="Y153" s="218"/>
      <c r="Z153" s="218"/>
      <c r="AA153" s="218"/>
      <c r="AB153" s="218">
        <f t="shared" si="142"/>
        <v>30818</v>
      </c>
      <c r="AC153" s="216">
        <f t="shared" si="139"/>
        <v>20349.170000000002</v>
      </c>
      <c r="AD153" s="216">
        <f t="shared" si="140"/>
        <v>118782</v>
      </c>
    </row>
    <row r="154" spans="1:115" ht="70.5" customHeight="1" x14ac:dyDescent="0.25">
      <c r="A154" s="262" t="s">
        <v>748</v>
      </c>
      <c r="B154" s="214"/>
      <c r="C154" s="214"/>
      <c r="D154" s="27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f t="shared" si="139"/>
        <v>0</v>
      </c>
      <c r="AD154" s="216">
        <f t="shared" si="140"/>
        <v>0</v>
      </c>
    </row>
    <row r="155" spans="1:115" ht="20.25" customHeight="1" x14ac:dyDescent="0.25">
      <c r="A155" s="294" t="s">
        <v>305</v>
      </c>
      <c r="B155" s="214"/>
      <c r="C155" s="214"/>
      <c r="D155" s="276"/>
      <c r="E155" s="216">
        <f>SUM(E156:E158)</f>
        <v>99690</v>
      </c>
      <c r="F155" s="216">
        <f>SUM(F156:F158)</f>
        <v>0</v>
      </c>
      <c r="G155" s="216">
        <f>SUM(G156:G158)</f>
        <v>0</v>
      </c>
      <c r="H155" s="216">
        <f>SUM(H156:H158)</f>
        <v>0</v>
      </c>
      <c r="I155" s="216">
        <f>SUM(I156:I158)</f>
        <v>0</v>
      </c>
      <c r="J155" s="216">
        <f t="shared" si="126"/>
        <v>99690</v>
      </c>
      <c r="K155" s="216">
        <f>SUM(K156:K158)</f>
        <v>98500</v>
      </c>
      <c r="L155" s="216">
        <f>SUM(L156:L158)</f>
        <v>0</v>
      </c>
      <c r="M155" s="216">
        <f>SUM(M156:M158)</f>
        <v>0</v>
      </c>
      <c r="N155" s="216"/>
      <c r="O155" s="216">
        <f>SUM(O156:O158)</f>
        <v>0</v>
      </c>
      <c r="P155" s="216">
        <f t="shared" si="138"/>
        <v>98500</v>
      </c>
      <c r="Q155" s="216">
        <f>SUM(Q156:Q158)</f>
        <v>98500</v>
      </c>
      <c r="R155" s="216">
        <f>SUM(R156:R158)</f>
        <v>0</v>
      </c>
      <c r="S155" s="216">
        <f>SUM(S156:S158)</f>
        <v>0</v>
      </c>
      <c r="T155" s="216"/>
      <c r="U155" s="216">
        <f>SUM(U156:U158)</f>
        <v>0</v>
      </c>
      <c r="V155" s="216">
        <f t="shared" si="141"/>
        <v>98500</v>
      </c>
      <c r="W155" s="216">
        <f>SUM(W156:W158)</f>
        <v>98500</v>
      </c>
      <c r="X155" s="216">
        <f>SUM(X156:X158)</f>
        <v>0</v>
      </c>
      <c r="Y155" s="216">
        <f>SUM(Y156:Y158)</f>
        <v>0</v>
      </c>
      <c r="Z155" s="216"/>
      <c r="AA155" s="216">
        <f>SUM(AA156:AA158)</f>
        <v>0</v>
      </c>
      <c r="AB155" s="216">
        <f t="shared" si="142"/>
        <v>98500</v>
      </c>
      <c r="AC155" s="216">
        <f t="shared" si="139"/>
        <v>395190</v>
      </c>
      <c r="AD155" s="216">
        <f t="shared" si="140"/>
        <v>395190</v>
      </c>
    </row>
    <row r="156" spans="1:115" ht="48" customHeight="1" x14ac:dyDescent="0.25">
      <c r="A156" s="294"/>
      <c r="B156" s="217" t="s">
        <v>660</v>
      </c>
      <c r="C156" s="271" t="s">
        <v>189</v>
      </c>
      <c r="D156" s="283" t="s">
        <v>740</v>
      </c>
      <c r="E156" s="219">
        <v>70000</v>
      </c>
      <c r="F156" s="219"/>
      <c r="G156" s="219"/>
      <c r="H156" s="219"/>
      <c r="I156" s="219"/>
      <c r="J156" s="219">
        <f t="shared" si="126"/>
        <v>70000</v>
      </c>
      <c r="K156" s="219">
        <v>70000</v>
      </c>
      <c r="L156" s="219"/>
      <c r="M156" s="219"/>
      <c r="N156" s="219"/>
      <c r="O156" s="219"/>
      <c r="P156" s="219">
        <f t="shared" si="138"/>
        <v>70000</v>
      </c>
      <c r="Q156" s="219">
        <v>70000</v>
      </c>
      <c r="R156" s="219"/>
      <c r="S156" s="219"/>
      <c r="T156" s="219"/>
      <c r="U156" s="219"/>
      <c r="V156" s="219">
        <f t="shared" si="141"/>
        <v>70000</v>
      </c>
      <c r="W156" s="218">
        <v>70000</v>
      </c>
      <c r="X156" s="218"/>
      <c r="Y156" s="218"/>
      <c r="Z156" s="218"/>
      <c r="AA156" s="218"/>
      <c r="AB156" s="218">
        <f t="shared" si="142"/>
        <v>70000</v>
      </c>
      <c r="AC156" s="216">
        <f t="shared" si="139"/>
        <v>280000</v>
      </c>
      <c r="AD156" s="216">
        <f t="shared" si="140"/>
        <v>280000</v>
      </c>
    </row>
    <row r="157" spans="1:115" ht="67.5" x14ac:dyDescent="0.25">
      <c r="A157" s="294"/>
      <c r="B157" s="217" t="s">
        <v>661</v>
      </c>
      <c r="C157" s="271" t="s">
        <v>776</v>
      </c>
      <c r="D157" s="284"/>
      <c r="E157" s="219">
        <f>10000+10500+1190</f>
        <v>21690</v>
      </c>
      <c r="F157" s="219"/>
      <c r="G157" s="219"/>
      <c r="H157" s="219"/>
      <c r="I157" s="219"/>
      <c r="J157" s="219">
        <f t="shared" si="126"/>
        <v>21690</v>
      </c>
      <c r="K157" s="219">
        <v>20500</v>
      </c>
      <c r="L157" s="219"/>
      <c r="M157" s="219"/>
      <c r="N157" s="219"/>
      <c r="O157" s="219"/>
      <c r="P157" s="219">
        <f t="shared" si="138"/>
        <v>20500</v>
      </c>
      <c r="Q157" s="219">
        <v>20500</v>
      </c>
      <c r="R157" s="219"/>
      <c r="S157" s="219"/>
      <c r="T157" s="219"/>
      <c r="U157" s="219"/>
      <c r="V157" s="219">
        <f t="shared" si="141"/>
        <v>20500</v>
      </c>
      <c r="W157" s="218">
        <v>20500</v>
      </c>
      <c r="X157" s="218"/>
      <c r="Y157" s="218"/>
      <c r="Z157" s="218"/>
      <c r="AA157" s="218"/>
      <c r="AB157" s="218">
        <f t="shared" si="142"/>
        <v>20500</v>
      </c>
      <c r="AC157" s="216">
        <f t="shared" si="139"/>
        <v>83190</v>
      </c>
      <c r="AD157" s="216">
        <f t="shared" si="140"/>
        <v>83190</v>
      </c>
    </row>
    <row r="158" spans="1:115" ht="120" customHeight="1" x14ac:dyDescent="0.25">
      <c r="A158" s="294"/>
      <c r="B158" s="217" t="s">
        <v>662</v>
      </c>
      <c r="C158" s="271" t="s">
        <v>11</v>
      </c>
      <c r="D158" s="285"/>
      <c r="E158" s="219">
        <v>8000</v>
      </c>
      <c r="F158" s="219"/>
      <c r="G158" s="219"/>
      <c r="H158" s="219"/>
      <c r="I158" s="219"/>
      <c r="J158" s="219">
        <f t="shared" si="126"/>
        <v>8000</v>
      </c>
      <c r="K158" s="219">
        <v>8000</v>
      </c>
      <c r="L158" s="219"/>
      <c r="M158" s="219"/>
      <c r="N158" s="219"/>
      <c r="O158" s="219"/>
      <c r="P158" s="219">
        <f t="shared" si="138"/>
        <v>8000</v>
      </c>
      <c r="Q158" s="219">
        <v>8000</v>
      </c>
      <c r="R158" s="219"/>
      <c r="S158" s="219"/>
      <c r="T158" s="219"/>
      <c r="U158" s="219"/>
      <c r="V158" s="219">
        <f t="shared" si="141"/>
        <v>8000</v>
      </c>
      <c r="W158" s="218">
        <v>8000</v>
      </c>
      <c r="X158" s="218"/>
      <c r="Y158" s="218"/>
      <c r="Z158" s="218"/>
      <c r="AA158" s="218"/>
      <c r="AB158" s="218">
        <f t="shared" si="142"/>
        <v>8000</v>
      </c>
      <c r="AC158" s="216">
        <f t="shared" si="139"/>
        <v>32000</v>
      </c>
      <c r="AD158" s="216">
        <f t="shared" si="140"/>
        <v>32000</v>
      </c>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row>
    <row r="159" spans="1:115" s="76" customFormat="1" x14ac:dyDescent="0.25">
      <c r="A159" s="294" t="s">
        <v>304</v>
      </c>
      <c r="B159" s="214"/>
      <c r="C159" s="214"/>
      <c r="D159" s="276"/>
      <c r="E159" s="216">
        <f>SUM(E160)</f>
        <v>2500</v>
      </c>
      <c r="F159" s="216">
        <f t="shared" ref="F159:I159" si="150">SUM(F160)</f>
        <v>0</v>
      </c>
      <c r="G159" s="216">
        <f t="shared" si="150"/>
        <v>0</v>
      </c>
      <c r="H159" s="216">
        <f>SUM(H160)</f>
        <v>0</v>
      </c>
      <c r="I159" s="216">
        <f t="shared" si="150"/>
        <v>0</v>
      </c>
      <c r="J159" s="216">
        <f t="shared" si="126"/>
        <v>2500</v>
      </c>
      <c r="K159" s="216">
        <f>SUM(K160)</f>
        <v>244000</v>
      </c>
      <c r="L159" s="216">
        <f t="shared" ref="L159:O159" si="151">SUM(L160)</f>
        <v>0</v>
      </c>
      <c r="M159" s="216">
        <f t="shared" si="151"/>
        <v>0</v>
      </c>
      <c r="N159" s="216"/>
      <c r="O159" s="216">
        <f t="shared" si="151"/>
        <v>0</v>
      </c>
      <c r="P159" s="216">
        <f t="shared" si="138"/>
        <v>244000</v>
      </c>
      <c r="Q159" s="216">
        <f>SUM(Q160:Q160)</f>
        <v>2500</v>
      </c>
      <c r="R159" s="216">
        <f>SUM(R160:R160)</f>
        <v>0</v>
      </c>
      <c r="S159" s="216">
        <f>SUM(S160:S160)</f>
        <v>0</v>
      </c>
      <c r="T159" s="216"/>
      <c r="U159" s="216">
        <f>SUM(U160:U160)</f>
        <v>0</v>
      </c>
      <c r="V159" s="216">
        <f t="shared" si="141"/>
        <v>2500</v>
      </c>
      <c r="W159" s="216">
        <f>SUM(W160)</f>
        <v>2500</v>
      </c>
      <c r="X159" s="216"/>
      <c r="Y159" s="216"/>
      <c r="Z159" s="216"/>
      <c r="AA159" s="216"/>
      <c r="AB159" s="216">
        <f t="shared" si="142"/>
        <v>2500</v>
      </c>
      <c r="AC159" s="216">
        <f t="shared" si="139"/>
        <v>251500</v>
      </c>
      <c r="AD159" s="216">
        <f t="shared" si="140"/>
        <v>251500</v>
      </c>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77"/>
    </row>
    <row r="160" spans="1:115" ht="169.5" customHeight="1" x14ac:dyDescent="0.25">
      <c r="A160" s="294"/>
      <c r="B160" s="217" t="s">
        <v>663</v>
      </c>
      <c r="C160" s="271" t="s">
        <v>46</v>
      </c>
      <c r="D160" s="279" t="s">
        <v>722</v>
      </c>
      <c r="E160" s="219">
        <v>2500</v>
      </c>
      <c r="F160" s="219"/>
      <c r="G160" s="219"/>
      <c r="H160" s="219"/>
      <c r="I160" s="219"/>
      <c r="J160" s="219">
        <f t="shared" si="126"/>
        <v>2500</v>
      </c>
      <c r="K160" s="219">
        <v>244000</v>
      </c>
      <c r="L160" s="219"/>
      <c r="M160" s="219"/>
      <c r="N160" s="219"/>
      <c r="O160" s="219"/>
      <c r="P160" s="219">
        <f t="shared" si="138"/>
        <v>244000</v>
      </c>
      <c r="Q160" s="219">
        <v>2500</v>
      </c>
      <c r="R160" s="219"/>
      <c r="S160" s="219"/>
      <c r="T160" s="219"/>
      <c r="U160" s="219"/>
      <c r="V160" s="219">
        <f t="shared" si="141"/>
        <v>2500</v>
      </c>
      <c r="W160" s="218">
        <v>2500</v>
      </c>
      <c r="X160" s="218"/>
      <c r="Y160" s="218"/>
      <c r="Z160" s="218"/>
      <c r="AA160" s="218"/>
      <c r="AB160" s="218">
        <f t="shared" si="142"/>
        <v>2500</v>
      </c>
      <c r="AC160" s="216">
        <f t="shared" si="139"/>
        <v>251500</v>
      </c>
      <c r="AD160" s="216">
        <f t="shared" si="140"/>
        <v>251500</v>
      </c>
    </row>
    <row r="161" spans="1:40" x14ac:dyDescent="0.25">
      <c r="A161" s="294" t="s">
        <v>303</v>
      </c>
      <c r="B161" s="214"/>
      <c r="C161" s="214"/>
      <c r="D161" s="266"/>
      <c r="E161" s="216">
        <f>SUM(E162:E163)</f>
        <v>0</v>
      </c>
      <c r="F161" s="216">
        <f>SUM(F162:F163)</f>
        <v>0</v>
      </c>
      <c r="G161" s="216">
        <f>SUM(G162:G163)</f>
        <v>0</v>
      </c>
      <c r="H161" s="216">
        <f>SUM(H162:H163)</f>
        <v>0</v>
      </c>
      <c r="I161" s="216">
        <f>SUM(I162:I163)</f>
        <v>0</v>
      </c>
      <c r="J161" s="216">
        <f t="shared" si="126"/>
        <v>0</v>
      </c>
      <c r="K161" s="216">
        <f>SUM(K162:K163)</f>
        <v>0</v>
      </c>
      <c r="L161" s="216">
        <f>SUM(L162:L163)</f>
        <v>0</v>
      </c>
      <c r="M161" s="216">
        <f>SUM(M162:M163)</f>
        <v>0</v>
      </c>
      <c r="N161" s="216"/>
      <c r="O161" s="216">
        <f>SUM(O162:O163)</f>
        <v>0</v>
      </c>
      <c r="P161" s="216">
        <f t="shared" si="138"/>
        <v>0</v>
      </c>
      <c r="Q161" s="216">
        <f>SUM(Q162:Q163)</f>
        <v>0</v>
      </c>
      <c r="R161" s="216">
        <f>SUM(R162:R163)</f>
        <v>0</v>
      </c>
      <c r="S161" s="216">
        <f>SUM(S162:S163)</f>
        <v>0</v>
      </c>
      <c r="T161" s="216"/>
      <c r="U161" s="216">
        <f>SUM(U162:U163)</f>
        <v>0</v>
      </c>
      <c r="V161" s="216">
        <f>SUM(Q161:U161)</f>
        <v>0</v>
      </c>
      <c r="W161" s="216">
        <f>SUM(W162:W163)</f>
        <v>0</v>
      </c>
      <c r="X161" s="216">
        <f>SUM(X162:X163)</f>
        <v>0</v>
      </c>
      <c r="Y161" s="216">
        <f>SUM(Y162:Y163)</f>
        <v>0</v>
      </c>
      <c r="Z161" s="216"/>
      <c r="AA161" s="216">
        <f>SUM(AA162:AA163)</f>
        <v>0</v>
      </c>
      <c r="AB161" s="216">
        <f t="shared" si="142"/>
        <v>0</v>
      </c>
      <c r="AC161" s="216">
        <f t="shared" si="139"/>
        <v>0</v>
      </c>
      <c r="AD161" s="216">
        <f t="shared" si="140"/>
        <v>0</v>
      </c>
    </row>
    <row r="162" spans="1:40" ht="84" customHeight="1" x14ac:dyDescent="0.25">
      <c r="A162" s="294"/>
      <c r="B162" s="217" t="s">
        <v>749</v>
      </c>
      <c r="C162" s="217"/>
      <c r="D162" s="304" t="s">
        <v>741</v>
      </c>
      <c r="E162" s="174"/>
      <c r="F162" s="223"/>
      <c r="G162" s="223"/>
      <c r="H162" s="223"/>
      <c r="I162" s="223"/>
      <c r="J162" s="223"/>
      <c r="K162" s="223"/>
      <c r="L162" s="223"/>
      <c r="M162" s="223"/>
      <c r="N162" s="223"/>
      <c r="O162" s="223"/>
      <c r="P162" s="223"/>
      <c r="Q162" s="223"/>
      <c r="R162" s="223"/>
      <c r="S162" s="223"/>
      <c r="T162" s="223"/>
      <c r="U162" s="223"/>
      <c r="V162" s="223"/>
      <c r="W162" s="222"/>
      <c r="X162" s="222"/>
      <c r="Y162" s="222"/>
      <c r="Z162" s="222"/>
      <c r="AA162" s="222"/>
      <c r="AB162" s="222"/>
      <c r="AC162" s="216"/>
      <c r="AD162" s="216">
        <v>9000</v>
      </c>
      <c r="AE162" s="206"/>
      <c r="AF162" s="206"/>
      <c r="AG162" s="206"/>
      <c r="AH162" s="206"/>
      <c r="AI162" s="206"/>
      <c r="AJ162" s="206"/>
      <c r="AK162" s="206"/>
      <c r="AL162" s="207"/>
      <c r="AM162" s="207"/>
      <c r="AN162" s="206"/>
    </row>
    <row r="163" spans="1:40" ht="66" customHeight="1" x14ac:dyDescent="0.25">
      <c r="A163" s="294"/>
      <c r="B163" s="226" t="s">
        <v>691</v>
      </c>
      <c r="C163" s="226"/>
      <c r="D163" s="304"/>
      <c r="E163" s="269"/>
      <c r="F163" s="223"/>
      <c r="G163" s="223"/>
      <c r="H163" s="223"/>
      <c r="I163" s="223"/>
      <c r="J163" s="223"/>
      <c r="K163" s="223"/>
      <c r="L163" s="223"/>
      <c r="M163" s="223"/>
      <c r="N163" s="223"/>
      <c r="O163" s="223"/>
      <c r="P163" s="223"/>
      <c r="Q163" s="223"/>
      <c r="R163" s="223"/>
      <c r="S163" s="223"/>
      <c r="T163" s="223"/>
      <c r="U163" s="223"/>
      <c r="V163" s="223"/>
      <c r="W163" s="222"/>
      <c r="X163" s="222"/>
      <c r="Y163" s="222"/>
      <c r="Z163" s="222"/>
      <c r="AA163" s="222"/>
      <c r="AB163" s="222"/>
      <c r="AC163" s="216"/>
      <c r="AD163" s="216">
        <v>7200</v>
      </c>
      <c r="AL163" s="207"/>
      <c r="AM163" s="207"/>
      <c r="AN163" s="206"/>
    </row>
    <row r="164" spans="1:40" x14ac:dyDescent="0.25">
      <c r="A164" s="294" t="s">
        <v>302</v>
      </c>
      <c r="B164" s="215"/>
      <c r="C164" s="215"/>
      <c r="D164" s="276"/>
      <c r="E164" s="216">
        <f>SUM(E165:E166)</f>
        <v>0</v>
      </c>
      <c r="F164" s="216">
        <f t="shared" ref="F164:I164" si="152">SUM(F165:F166)</f>
        <v>0</v>
      </c>
      <c r="G164" s="216">
        <f t="shared" si="152"/>
        <v>0</v>
      </c>
      <c r="H164" s="216">
        <f>SUM(H165:H166)</f>
        <v>0</v>
      </c>
      <c r="I164" s="216">
        <f t="shared" si="152"/>
        <v>0</v>
      </c>
      <c r="J164" s="216">
        <f t="shared" si="126"/>
        <v>0</v>
      </c>
      <c r="K164" s="216">
        <f>SUM(K165:K166)</f>
        <v>0</v>
      </c>
      <c r="L164" s="216">
        <f t="shared" ref="L164:M164" si="153">SUM(L165:L166)</f>
        <v>0</v>
      </c>
      <c r="M164" s="216">
        <f t="shared" si="153"/>
        <v>0</v>
      </c>
      <c r="N164" s="216"/>
      <c r="O164" s="216"/>
      <c r="P164" s="216">
        <f t="shared" si="138"/>
        <v>0</v>
      </c>
      <c r="Q164" s="216">
        <f>SUM(Q165:Q166)</f>
        <v>0</v>
      </c>
      <c r="R164" s="216">
        <f t="shared" ref="R164:U164" si="154">SUM(R165:R166)</f>
        <v>0</v>
      </c>
      <c r="S164" s="216">
        <f t="shared" si="154"/>
        <v>0</v>
      </c>
      <c r="T164" s="216"/>
      <c r="U164" s="216">
        <f t="shared" si="154"/>
        <v>0</v>
      </c>
      <c r="V164" s="216">
        <f t="shared" si="141"/>
        <v>0</v>
      </c>
      <c r="W164" s="216">
        <f>SUM(W165:W166)</f>
        <v>0</v>
      </c>
      <c r="X164" s="216">
        <f t="shared" ref="X164:AA164" si="155">SUM(X165:X166)</f>
        <v>0</v>
      </c>
      <c r="Y164" s="216">
        <f t="shared" si="155"/>
        <v>0</v>
      </c>
      <c r="Z164" s="216"/>
      <c r="AA164" s="216">
        <f t="shared" si="155"/>
        <v>0</v>
      </c>
      <c r="AB164" s="216">
        <f t="shared" si="142"/>
        <v>0</v>
      </c>
      <c r="AC164" s="216">
        <f t="shared" si="139"/>
        <v>0</v>
      </c>
      <c r="AD164" s="216">
        <f t="shared" si="140"/>
        <v>0</v>
      </c>
      <c r="AE164" s="206"/>
      <c r="AF164" s="206"/>
      <c r="AG164" s="206"/>
      <c r="AH164" s="206"/>
      <c r="AI164" s="206"/>
      <c r="AJ164" s="206"/>
      <c r="AK164" s="206"/>
    </row>
    <row r="165" spans="1:40" ht="128.25" customHeight="1" x14ac:dyDescent="0.25">
      <c r="A165" s="294"/>
      <c r="B165" s="217" t="s">
        <v>750</v>
      </c>
      <c r="C165" s="217"/>
      <c r="D165" s="283" t="s">
        <v>723</v>
      </c>
      <c r="E165" s="219"/>
      <c r="F165" s="219"/>
      <c r="G165" s="219"/>
      <c r="H165" s="219"/>
      <c r="I165" s="219"/>
      <c r="J165" s="219">
        <f t="shared" si="126"/>
        <v>0</v>
      </c>
      <c r="K165" s="219"/>
      <c r="L165" s="219"/>
      <c r="M165" s="219"/>
      <c r="N165" s="219"/>
      <c r="O165" s="219"/>
      <c r="P165" s="219">
        <f t="shared" si="138"/>
        <v>0</v>
      </c>
      <c r="Q165" s="219"/>
      <c r="R165" s="219"/>
      <c r="S165" s="219"/>
      <c r="T165" s="219"/>
      <c r="U165" s="219"/>
      <c r="V165" s="219">
        <f t="shared" si="141"/>
        <v>0</v>
      </c>
      <c r="W165" s="218"/>
      <c r="X165" s="218"/>
      <c r="Y165" s="218"/>
      <c r="Z165" s="218"/>
      <c r="AA165" s="218"/>
      <c r="AB165" s="218">
        <f t="shared" si="142"/>
        <v>0</v>
      </c>
      <c r="AC165" s="228">
        <f t="shared" si="139"/>
        <v>0</v>
      </c>
      <c r="AD165" s="228">
        <f t="shared" si="140"/>
        <v>0</v>
      </c>
    </row>
    <row r="166" spans="1:40" ht="108" customHeight="1" x14ac:dyDescent="0.25">
      <c r="A166" s="294"/>
      <c r="B166" s="217" t="s">
        <v>751</v>
      </c>
      <c r="C166" s="217"/>
      <c r="D166" s="285"/>
      <c r="E166" s="219"/>
      <c r="F166" s="219"/>
      <c r="G166" s="219"/>
      <c r="H166" s="219"/>
      <c r="I166" s="219"/>
      <c r="J166" s="219">
        <f t="shared" si="126"/>
        <v>0</v>
      </c>
      <c r="K166" s="219"/>
      <c r="L166" s="219"/>
      <c r="M166" s="219"/>
      <c r="N166" s="219"/>
      <c r="O166" s="219"/>
      <c r="P166" s="219">
        <f t="shared" si="138"/>
        <v>0</v>
      </c>
      <c r="Q166" s="219"/>
      <c r="R166" s="219"/>
      <c r="S166" s="219"/>
      <c r="T166" s="219"/>
      <c r="U166" s="219"/>
      <c r="V166" s="219">
        <f t="shared" si="141"/>
        <v>0</v>
      </c>
      <c r="W166" s="218"/>
      <c r="X166" s="218"/>
      <c r="Y166" s="218"/>
      <c r="Z166" s="218"/>
      <c r="AA166" s="218"/>
      <c r="AB166" s="218">
        <f t="shared" si="142"/>
        <v>0</v>
      </c>
      <c r="AC166" s="228">
        <f t="shared" si="139"/>
        <v>0</v>
      </c>
      <c r="AD166" s="228">
        <f t="shared" si="140"/>
        <v>0</v>
      </c>
      <c r="AE166" s="206"/>
      <c r="AF166" s="206"/>
      <c r="AG166" s="206"/>
      <c r="AH166" s="206"/>
      <c r="AI166" s="206"/>
      <c r="AJ166" s="206"/>
      <c r="AK166" s="206"/>
    </row>
    <row r="167" spans="1:40" ht="123.75" x14ac:dyDescent="0.25">
      <c r="A167" s="246" t="s">
        <v>297</v>
      </c>
      <c r="B167" s="237"/>
      <c r="C167" s="237"/>
      <c r="D167" s="280"/>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f t="shared" si="139"/>
        <v>0</v>
      </c>
      <c r="AD167" s="213">
        <f t="shared" si="140"/>
        <v>0</v>
      </c>
      <c r="AE167" s="206"/>
      <c r="AF167" s="206"/>
      <c r="AG167" s="206"/>
      <c r="AH167" s="206"/>
      <c r="AI167" s="206"/>
      <c r="AJ167" s="206"/>
      <c r="AK167" s="206"/>
    </row>
    <row r="168" spans="1:40" x14ac:dyDescent="0.25">
      <c r="A168" s="294" t="s">
        <v>298</v>
      </c>
      <c r="B168" s="214"/>
      <c r="C168" s="214"/>
      <c r="D168" s="275"/>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f t="shared" si="139"/>
        <v>0</v>
      </c>
      <c r="AD168" s="216">
        <f t="shared" si="140"/>
        <v>0</v>
      </c>
    </row>
    <row r="169" spans="1:40" ht="120.75" customHeight="1" x14ac:dyDescent="0.25">
      <c r="A169" s="294"/>
      <c r="B169" s="237" t="s">
        <v>692</v>
      </c>
      <c r="C169" s="243"/>
      <c r="D169" s="283" t="s">
        <v>742</v>
      </c>
      <c r="E169" s="219"/>
      <c r="F169" s="219"/>
      <c r="G169" s="219"/>
      <c r="H169" s="219"/>
      <c r="I169" s="219"/>
      <c r="J169" s="219"/>
      <c r="K169" s="219"/>
      <c r="L169" s="219"/>
      <c r="M169" s="219"/>
      <c r="N169" s="219"/>
      <c r="O169" s="219"/>
      <c r="P169" s="219"/>
      <c r="Q169" s="219"/>
      <c r="R169" s="219"/>
      <c r="S169" s="219"/>
      <c r="T169" s="219"/>
      <c r="U169" s="219"/>
      <c r="V169" s="219"/>
      <c r="W169" s="218"/>
      <c r="X169" s="218"/>
      <c r="Y169" s="218"/>
      <c r="Z169" s="218"/>
      <c r="AA169" s="218"/>
      <c r="AB169" s="218"/>
      <c r="AC169" s="216">
        <f t="shared" si="139"/>
        <v>0</v>
      </c>
      <c r="AD169" s="216">
        <f t="shared" si="140"/>
        <v>0</v>
      </c>
      <c r="AE169" s="206"/>
      <c r="AF169" s="206"/>
      <c r="AG169" s="206"/>
      <c r="AH169" s="206"/>
      <c r="AI169" s="206"/>
      <c r="AJ169" s="206"/>
      <c r="AK169" s="206"/>
    </row>
    <row r="170" spans="1:40" ht="126.75" customHeight="1" x14ac:dyDescent="0.25">
      <c r="A170" s="294"/>
      <c r="B170" s="217" t="s">
        <v>693</v>
      </c>
      <c r="C170" s="217"/>
      <c r="D170" s="284"/>
      <c r="E170" s="219"/>
      <c r="F170" s="219"/>
      <c r="G170" s="219"/>
      <c r="H170" s="219"/>
      <c r="I170" s="219"/>
      <c r="J170" s="219"/>
      <c r="K170" s="219"/>
      <c r="L170" s="219"/>
      <c r="M170" s="219"/>
      <c r="N170" s="219"/>
      <c r="O170" s="219"/>
      <c r="P170" s="219"/>
      <c r="Q170" s="219"/>
      <c r="R170" s="219"/>
      <c r="S170" s="219"/>
      <c r="T170" s="219"/>
      <c r="U170" s="219"/>
      <c r="V170" s="219"/>
      <c r="W170" s="218"/>
      <c r="X170" s="218"/>
      <c r="Y170" s="218"/>
      <c r="Z170" s="218"/>
      <c r="AA170" s="218"/>
      <c r="AB170" s="218"/>
      <c r="AC170" s="216">
        <f t="shared" si="139"/>
        <v>0</v>
      </c>
      <c r="AD170" s="216">
        <f t="shared" si="140"/>
        <v>0</v>
      </c>
      <c r="AE170" s="206"/>
      <c r="AF170" s="206"/>
      <c r="AG170" s="206"/>
      <c r="AH170" s="206"/>
      <c r="AI170" s="206"/>
      <c r="AJ170" s="206"/>
      <c r="AK170" s="206"/>
    </row>
    <row r="171" spans="1:40" ht="168.75" x14ac:dyDescent="0.25">
      <c r="A171" s="294"/>
      <c r="B171" s="217" t="s">
        <v>694</v>
      </c>
      <c r="C171" s="217"/>
      <c r="D171" s="285"/>
      <c r="E171" s="219"/>
      <c r="F171" s="219"/>
      <c r="G171" s="219"/>
      <c r="H171" s="219"/>
      <c r="I171" s="219"/>
      <c r="J171" s="219"/>
      <c r="K171" s="219"/>
      <c r="L171" s="219"/>
      <c r="M171" s="219"/>
      <c r="N171" s="219"/>
      <c r="O171" s="219"/>
      <c r="P171" s="219"/>
      <c r="Q171" s="219"/>
      <c r="R171" s="219"/>
      <c r="S171" s="219"/>
      <c r="T171" s="219"/>
      <c r="U171" s="219"/>
      <c r="V171" s="219"/>
      <c r="W171" s="218"/>
      <c r="X171" s="218"/>
      <c r="Y171" s="218"/>
      <c r="Z171" s="218"/>
      <c r="AA171" s="218"/>
      <c r="AB171" s="218"/>
      <c r="AC171" s="216">
        <f t="shared" si="139"/>
        <v>0</v>
      </c>
      <c r="AD171" s="216">
        <f t="shared" si="140"/>
        <v>0</v>
      </c>
    </row>
    <row r="172" spans="1:40" ht="208.5" customHeight="1" x14ac:dyDescent="0.25">
      <c r="A172" s="294"/>
      <c r="B172" s="217" t="s">
        <v>695</v>
      </c>
      <c r="C172" s="217"/>
      <c r="D172" s="281"/>
      <c r="E172" s="219"/>
      <c r="F172" s="219"/>
      <c r="G172" s="219"/>
      <c r="H172" s="219"/>
      <c r="I172" s="219"/>
      <c r="J172" s="219"/>
      <c r="K172" s="219"/>
      <c r="L172" s="219"/>
      <c r="M172" s="219"/>
      <c r="N172" s="219"/>
      <c r="O172" s="219"/>
      <c r="P172" s="219"/>
      <c r="Q172" s="219"/>
      <c r="R172" s="219"/>
      <c r="S172" s="219"/>
      <c r="T172" s="219"/>
      <c r="U172" s="219"/>
      <c r="V172" s="219"/>
      <c r="W172" s="218"/>
      <c r="X172" s="218"/>
      <c r="Y172" s="218"/>
      <c r="Z172" s="218"/>
      <c r="AA172" s="218"/>
      <c r="AB172" s="218"/>
      <c r="AC172" s="216">
        <f t="shared" si="139"/>
        <v>0</v>
      </c>
      <c r="AD172" s="216">
        <f t="shared" si="140"/>
        <v>0</v>
      </c>
      <c r="AE172" s="206"/>
      <c r="AF172" s="206"/>
      <c r="AG172" s="206"/>
      <c r="AH172" s="206"/>
      <c r="AI172" s="206"/>
      <c r="AJ172" s="206"/>
      <c r="AK172" s="206"/>
    </row>
    <row r="173" spans="1:40" x14ac:dyDescent="0.25">
      <c r="A173" s="294" t="s">
        <v>299</v>
      </c>
      <c r="B173" s="214"/>
      <c r="C173" s="214"/>
      <c r="D173" s="275"/>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f t="shared" si="139"/>
        <v>0</v>
      </c>
      <c r="AD173" s="216">
        <f t="shared" si="140"/>
        <v>0</v>
      </c>
    </row>
    <row r="174" spans="1:40" ht="169.5" customHeight="1" x14ac:dyDescent="0.25">
      <c r="A174" s="294"/>
      <c r="B174" s="217" t="s">
        <v>696</v>
      </c>
      <c r="C174" s="217"/>
      <c r="D174" s="283" t="s">
        <v>753</v>
      </c>
      <c r="E174" s="219"/>
      <c r="F174" s="219"/>
      <c r="G174" s="219"/>
      <c r="H174" s="219"/>
      <c r="I174" s="219"/>
      <c r="J174" s="219"/>
      <c r="K174" s="219"/>
      <c r="L174" s="219"/>
      <c r="M174" s="219"/>
      <c r="N174" s="219"/>
      <c r="O174" s="219"/>
      <c r="P174" s="219"/>
      <c r="Q174" s="219"/>
      <c r="R174" s="219"/>
      <c r="S174" s="219"/>
      <c r="T174" s="219"/>
      <c r="U174" s="219"/>
      <c r="V174" s="219"/>
      <c r="W174" s="218"/>
      <c r="X174" s="218"/>
      <c r="Y174" s="218"/>
      <c r="Z174" s="218"/>
      <c r="AA174" s="218"/>
      <c r="AB174" s="218"/>
      <c r="AC174" s="216">
        <f t="shared" si="139"/>
        <v>0</v>
      </c>
      <c r="AD174" s="216">
        <f t="shared" si="140"/>
        <v>0</v>
      </c>
      <c r="AE174" s="206"/>
      <c r="AF174" s="206"/>
      <c r="AG174" s="206"/>
      <c r="AH174" s="206"/>
      <c r="AI174" s="206"/>
      <c r="AJ174" s="206"/>
      <c r="AK174" s="206"/>
    </row>
    <row r="175" spans="1:40" ht="243.75" customHeight="1" x14ac:dyDescent="0.25">
      <c r="A175" s="294"/>
      <c r="B175" s="217" t="s">
        <v>752</v>
      </c>
      <c r="C175" s="217"/>
      <c r="D175" s="284"/>
      <c r="E175" s="219"/>
      <c r="F175" s="219"/>
      <c r="G175" s="223"/>
      <c r="H175" s="223"/>
      <c r="I175" s="223"/>
      <c r="J175" s="223"/>
      <c r="K175" s="223"/>
      <c r="L175" s="223"/>
      <c r="M175" s="223"/>
      <c r="N175" s="223"/>
      <c r="O175" s="223"/>
      <c r="P175" s="223"/>
      <c r="Q175" s="223"/>
      <c r="R175" s="223"/>
      <c r="S175" s="223"/>
      <c r="T175" s="223"/>
      <c r="U175" s="223"/>
      <c r="V175" s="223"/>
      <c r="W175" s="222"/>
      <c r="X175" s="222"/>
      <c r="Y175" s="222"/>
      <c r="Z175" s="222"/>
      <c r="AA175" s="222"/>
      <c r="AB175" s="222"/>
      <c r="AC175" s="216">
        <f t="shared" si="139"/>
        <v>0</v>
      </c>
      <c r="AD175" s="216">
        <f t="shared" si="140"/>
        <v>0</v>
      </c>
    </row>
    <row r="176" spans="1:40" ht="157.5" x14ac:dyDescent="0.25">
      <c r="A176" s="294"/>
      <c r="B176" s="217" t="s">
        <v>697</v>
      </c>
      <c r="C176" s="217"/>
      <c r="D176" s="285"/>
      <c r="E176" s="219"/>
      <c r="F176" s="219"/>
      <c r="G176" s="219"/>
      <c r="H176" s="219"/>
      <c r="I176" s="219"/>
      <c r="J176" s="219"/>
      <c r="K176" s="219"/>
      <c r="L176" s="219"/>
      <c r="M176" s="219"/>
      <c r="N176" s="219"/>
      <c r="O176" s="219"/>
      <c r="P176" s="219"/>
      <c r="Q176" s="219"/>
      <c r="R176" s="219"/>
      <c r="S176" s="219"/>
      <c r="T176" s="219"/>
      <c r="U176" s="219"/>
      <c r="V176" s="219"/>
      <c r="W176" s="218"/>
      <c r="X176" s="218"/>
      <c r="Y176" s="218"/>
      <c r="Z176" s="218"/>
      <c r="AA176" s="218"/>
      <c r="AB176" s="218"/>
      <c r="AC176" s="216">
        <f t="shared" si="139"/>
        <v>0</v>
      </c>
      <c r="AD176" s="216">
        <f t="shared" si="140"/>
        <v>0</v>
      </c>
    </row>
    <row r="177" spans="1:114" x14ac:dyDescent="0.25">
      <c r="A177" s="294" t="s">
        <v>300</v>
      </c>
      <c r="B177" s="214"/>
      <c r="C177" s="214"/>
      <c r="D177" s="282"/>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c r="AC177" s="216">
        <f t="shared" si="139"/>
        <v>0</v>
      </c>
      <c r="AD177" s="216">
        <f t="shared" si="140"/>
        <v>0</v>
      </c>
    </row>
    <row r="178" spans="1:114" ht="72" customHeight="1" x14ac:dyDescent="0.25">
      <c r="A178" s="294"/>
      <c r="B178" s="226" t="s">
        <v>698</v>
      </c>
      <c r="C178" s="226"/>
      <c r="D178" s="283" t="s">
        <v>743</v>
      </c>
      <c r="E178" s="219"/>
      <c r="F178" s="219"/>
      <c r="G178" s="219"/>
      <c r="H178" s="219"/>
      <c r="I178" s="219"/>
      <c r="J178" s="219"/>
      <c r="K178" s="219"/>
      <c r="L178" s="219"/>
      <c r="M178" s="219"/>
      <c r="N178" s="219"/>
      <c r="O178" s="219"/>
      <c r="P178" s="219"/>
      <c r="Q178" s="219"/>
      <c r="R178" s="219"/>
      <c r="S178" s="219"/>
      <c r="T178" s="219"/>
      <c r="U178" s="219"/>
      <c r="V178" s="219"/>
      <c r="W178" s="218"/>
      <c r="X178" s="218"/>
      <c r="Y178" s="218"/>
      <c r="Z178" s="218"/>
      <c r="AA178" s="218"/>
      <c r="AB178" s="218"/>
      <c r="AC178" s="216">
        <f t="shared" si="139"/>
        <v>0</v>
      </c>
      <c r="AD178" s="216">
        <f t="shared" si="140"/>
        <v>0</v>
      </c>
    </row>
    <row r="179" spans="1:114" ht="102.75" customHeight="1" x14ac:dyDescent="0.25">
      <c r="A179" s="294"/>
      <c r="B179" s="226" t="s">
        <v>699</v>
      </c>
      <c r="C179" s="226"/>
      <c r="D179" s="284"/>
      <c r="E179" s="219"/>
      <c r="F179" s="219"/>
      <c r="G179" s="219"/>
      <c r="H179" s="219"/>
      <c r="I179" s="219"/>
      <c r="J179" s="219"/>
      <c r="K179" s="219"/>
      <c r="L179" s="219"/>
      <c r="M179" s="219"/>
      <c r="N179" s="219"/>
      <c r="O179" s="219"/>
      <c r="P179" s="219"/>
      <c r="Q179" s="219"/>
      <c r="R179" s="219"/>
      <c r="S179" s="219"/>
      <c r="T179" s="219"/>
      <c r="U179" s="219"/>
      <c r="V179" s="219"/>
      <c r="W179" s="218"/>
      <c r="X179" s="218"/>
      <c r="Y179" s="218"/>
      <c r="Z179" s="218"/>
      <c r="AA179" s="218"/>
      <c r="AB179" s="218"/>
      <c r="AC179" s="216">
        <f t="shared" si="139"/>
        <v>0</v>
      </c>
      <c r="AD179" s="216">
        <f t="shared" si="140"/>
        <v>0</v>
      </c>
    </row>
    <row r="180" spans="1:114" ht="187.5" customHeight="1" x14ac:dyDescent="0.25">
      <c r="A180" s="294"/>
      <c r="B180" s="226" t="s">
        <v>700</v>
      </c>
      <c r="C180" s="226"/>
      <c r="D180" s="285"/>
      <c r="E180" s="219"/>
      <c r="F180" s="219"/>
      <c r="G180" s="219"/>
      <c r="H180" s="219"/>
      <c r="I180" s="219"/>
      <c r="J180" s="219"/>
      <c r="K180" s="219"/>
      <c r="L180" s="219"/>
      <c r="M180" s="219"/>
      <c r="N180" s="219"/>
      <c r="O180" s="219"/>
      <c r="P180" s="219"/>
      <c r="Q180" s="219"/>
      <c r="R180" s="219"/>
      <c r="S180" s="219"/>
      <c r="T180" s="219"/>
      <c r="U180" s="219"/>
      <c r="V180" s="219"/>
      <c r="W180" s="218"/>
      <c r="X180" s="218"/>
      <c r="Y180" s="218"/>
      <c r="Z180" s="218"/>
      <c r="AA180" s="218"/>
      <c r="AB180" s="218"/>
      <c r="AC180" s="216">
        <f t="shared" si="139"/>
        <v>0</v>
      </c>
      <c r="AD180" s="216">
        <f t="shared" si="140"/>
        <v>0</v>
      </c>
    </row>
    <row r="181" spans="1:114" x14ac:dyDescent="0.25">
      <c r="A181" s="294" t="s">
        <v>301</v>
      </c>
      <c r="B181" s="214"/>
      <c r="C181" s="214"/>
      <c r="D181" s="275"/>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c r="AC181" s="216">
        <f t="shared" si="139"/>
        <v>0</v>
      </c>
      <c r="AD181" s="216">
        <f t="shared" si="140"/>
        <v>0</v>
      </c>
    </row>
    <row r="182" spans="1:114" ht="138" customHeight="1" x14ac:dyDescent="0.25">
      <c r="A182" s="294"/>
      <c r="B182" s="217" t="s">
        <v>701</v>
      </c>
      <c r="C182" s="217"/>
      <c r="D182" s="283" t="s">
        <v>744</v>
      </c>
      <c r="E182" s="219"/>
      <c r="F182" s="219"/>
      <c r="G182" s="219"/>
      <c r="H182" s="219"/>
      <c r="I182" s="219"/>
      <c r="J182" s="219">
        <f t="shared" ref="J182:J188" si="156">SUM(E182:I182)</f>
        <v>0</v>
      </c>
      <c r="K182" s="219"/>
      <c r="L182" s="219"/>
      <c r="M182" s="219"/>
      <c r="N182" s="219"/>
      <c r="O182" s="219"/>
      <c r="P182" s="219">
        <f t="shared" si="138"/>
        <v>0</v>
      </c>
      <c r="Q182" s="219"/>
      <c r="R182" s="219"/>
      <c r="S182" s="219"/>
      <c r="T182" s="219"/>
      <c r="U182" s="219"/>
      <c r="V182" s="219">
        <f t="shared" si="141"/>
        <v>0</v>
      </c>
      <c r="W182" s="218"/>
      <c r="X182" s="218"/>
      <c r="Y182" s="218"/>
      <c r="Z182" s="218"/>
      <c r="AA182" s="218"/>
      <c r="AB182" s="218">
        <f t="shared" si="142"/>
        <v>0</v>
      </c>
      <c r="AC182" s="216">
        <f t="shared" si="139"/>
        <v>0</v>
      </c>
      <c r="AD182" s="216">
        <f t="shared" si="140"/>
        <v>0</v>
      </c>
    </row>
    <row r="183" spans="1:114" ht="64.5" customHeight="1" x14ac:dyDescent="0.25">
      <c r="A183" s="294"/>
      <c r="B183" s="217" t="s">
        <v>296</v>
      </c>
      <c r="C183" s="217"/>
      <c r="D183" s="284"/>
      <c r="E183" s="219"/>
      <c r="F183" s="219"/>
      <c r="G183" s="219"/>
      <c r="H183" s="219"/>
      <c r="I183" s="219"/>
      <c r="J183" s="219">
        <f t="shared" si="156"/>
        <v>0</v>
      </c>
      <c r="K183" s="219"/>
      <c r="L183" s="219"/>
      <c r="M183" s="219"/>
      <c r="N183" s="219"/>
      <c r="O183" s="219"/>
      <c r="P183" s="219">
        <f t="shared" si="138"/>
        <v>0</v>
      </c>
      <c r="Q183" s="219"/>
      <c r="R183" s="219"/>
      <c r="S183" s="219"/>
      <c r="T183" s="219"/>
      <c r="U183" s="219"/>
      <c r="V183" s="219">
        <f t="shared" si="141"/>
        <v>0</v>
      </c>
      <c r="W183" s="218"/>
      <c r="X183" s="218"/>
      <c r="Y183" s="218"/>
      <c r="Z183" s="218"/>
      <c r="AA183" s="218"/>
      <c r="AB183" s="218">
        <f t="shared" si="142"/>
        <v>0</v>
      </c>
      <c r="AC183" s="216">
        <f t="shared" si="139"/>
        <v>0</v>
      </c>
      <c r="AD183" s="216">
        <f t="shared" si="140"/>
        <v>0</v>
      </c>
    </row>
    <row r="184" spans="1:114" ht="90" x14ac:dyDescent="0.25">
      <c r="A184" s="294"/>
      <c r="B184" s="217" t="s">
        <v>702</v>
      </c>
      <c r="C184" s="217"/>
      <c r="D184" s="284"/>
      <c r="E184" s="219"/>
      <c r="F184" s="219"/>
      <c r="G184" s="219"/>
      <c r="H184" s="219"/>
      <c r="I184" s="219"/>
      <c r="J184" s="219">
        <f t="shared" si="156"/>
        <v>0</v>
      </c>
      <c r="K184" s="219"/>
      <c r="L184" s="219"/>
      <c r="M184" s="219"/>
      <c r="N184" s="219"/>
      <c r="O184" s="219"/>
      <c r="P184" s="219">
        <f t="shared" si="138"/>
        <v>0</v>
      </c>
      <c r="Q184" s="219"/>
      <c r="R184" s="219"/>
      <c r="S184" s="219"/>
      <c r="T184" s="219"/>
      <c r="U184" s="219"/>
      <c r="V184" s="219">
        <f t="shared" si="141"/>
        <v>0</v>
      </c>
      <c r="W184" s="218"/>
      <c r="X184" s="218"/>
      <c r="Y184" s="218"/>
      <c r="Z184" s="218"/>
      <c r="AA184" s="218"/>
      <c r="AB184" s="218">
        <f t="shared" si="142"/>
        <v>0</v>
      </c>
      <c r="AC184" s="216">
        <f t="shared" si="139"/>
        <v>0</v>
      </c>
      <c r="AD184" s="216">
        <f t="shared" si="140"/>
        <v>0</v>
      </c>
    </row>
    <row r="185" spans="1:114" ht="52.5" customHeight="1" x14ac:dyDescent="0.25">
      <c r="A185" s="294"/>
      <c r="B185" s="217" t="s">
        <v>708</v>
      </c>
      <c r="C185" s="217"/>
      <c r="D185" s="284"/>
      <c r="E185" s="219"/>
      <c r="F185" s="219"/>
      <c r="G185" s="219"/>
      <c r="H185" s="219"/>
      <c r="I185" s="219"/>
      <c r="J185" s="219">
        <f t="shared" si="156"/>
        <v>0</v>
      </c>
      <c r="K185" s="219"/>
      <c r="L185" s="219"/>
      <c r="M185" s="219"/>
      <c r="N185" s="219"/>
      <c r="O185" s="219"/>
      <c r="P185" s="219">
        <f t="shared" si="138"/>
        <v>0</v>
      </c>
      <c r="Q185" s="219"/>
      <c r="R185" s="219"/>
      <c r="S185" s="219"/>
      <c r="T185" s="219"/>
      <c r="U185" s="219"/>
      <c r="V185" s="219">
        <f t="shared" si="141"/>
        <v>0</v>
      </c>
      <c r="W185" s="218"/>
      <c r="X185" s="218"/>
      <c r="Y185" s="218"/>
      <c r="Z185" s="218"/>
      <c r="AA185" s="218"/>
      <c r="AB185" s="218">
        <f t="shared" si="142"/>
        <v>0</v>
      </c>
      <c r="AC185" s="216">
        <f t="shared" si="139"/>
        <v>0</v>
      </c>
      <c r="AD185" s="216">
        <f t="shared" si="140"/>
        <v>0</v>
      </c>
    </row>
    <row r="186" spans="1:114" ht="81.75" customHeight="1" x14ac:dyDescent="0.25">
      <c r="A186" s="294"/>
      <c r="B186" s="217" t="s">
        <v>664</v>
      </c>
      <c r="C186" s="217"/>
      <c r="D186" s="284"/>
      <c r="E186" s="219"/>
      <c r="F186" s="219"/>
      <c r="G186" s="219"/>
      <c r="H186" s="219"/>
      <c r="I186" s="219"/>
      <c r="J186" s="219">
        <f t="shared" si="156"/>
        <v>0</v>
      </c>
      <c r="K186" s="219"/>
      <c r="L186" s="219"/>
      <c r="M186" s="219"/>
      <c r="N186" s="219"/>
      <c r="O186" s="219"/>
      <c r="P186" s="219">
        <f t="shared" si="138"/>
        <v>0</v>
      </c>
      <c r="Q186" s="219"/>
      <c r="R186" s="219"/>
      <c r="S186" s="219"/>
      <c r="T186" s="219"/>
      <c r="U186" s="219"/>
      <c r="V186" s="219">
        <f t="shared" si="141"/>
        <v>0</v>
      </c>
      <c r="W186" s="218"/>
      <c r="X186" s="218"/>
      <c r="Y186" s="218"/>
      <c r="Z186" s="218"/>
      <c r="AA186" s="218"/>
      <c r="AB186" s="218">
        <f t="shared" si="142"/>
        <v>0</v>
      </c>
      <c r="AC186" s="216">
        <f t="shared" si="139"/>
        <v>0</v>
      </c>
      <c r="AD186" s="216">
        <f t="shared" si="140"/>
        <v>0</v>
      </c>
    </row>
    <row r="187" spans="1:114" ht="67.5" x14ac:dyDescent="0.25">
      <c r="A187" s="294"/>
      <c r="B187" s="217" t="s">
        <v>703</v>
      </c>
      <c r="C187" s="217"/>
      <c r="D187" s="284"/>
      <c r="E187" s="219"/>
      <c r="F187" s="219"/>
      <c r="G187" s="219"/>
      <c r="H187" s="219"/>
      <c r="I187" s="219"/>
      <c r="J187" s="219">
        <f t="shared" si="156"/>
        <v>0</v>
      </c>
      <c r="K187" s="219"/>
      <c r="L187" s="219"/>
      <c r="M187" s="219"/>
      <c r="N187" s="219"/>
      <c r="O187" s="219"/>
      <c r="P187" s="219">
        <f t="shared" ref="P187:P188" si="157">SUM(K187:O187)</f>
        <v>0</v>
      </c>
      <c r="Q187" s="219"/>
      <c r="R187" s="219"/>
      <c r="S187" s="219"/>
      <c r="T187" s="219"/>
      <c r="U187" s="219"/>
      <c r="V187" s="219">
        <f t="shared" si="141"/>
        <v>0</v>
      </c>
      <c r="W187" s="218"/>
      <c r="X187" s="218"/>
      <c r="Y187" s="218"/>
      <c r="Z187" s="218"/>
      <c r="AA187" s="218"/>
      <c r="AB187" s="218">
        <f t="shared" si="142"/>
        <v>0</v>
      </c>
      <c r="AC187" s="216">
        <f t="shared" si="139"/>
        <v>0</v>
      </c>
      <c r="AD187" s="216">
        <f t="shared" si="140"/>
        <v>0</v>
      </c>
    </row>
    <row r="188" spans="1:114" ht="90" x14ac:dyDescent="0.25">
      <c r="A188" s="294"/>
      <c r="B188" s="217" t="s">
        <v>707</v>
      </c>
      <c r="C188" s="217"/>
      <c r="D188" s="285"/>
      <c r="E188" s="219"/>
      <c r="F188" s="219"/>
      <c r="G188" s="219"/>
      <c r="H188" s="219"/>
      <c r="I188" s="219"/>
      <c r="J188" s="219">
        <f t="shared" si="156"/>
        <v>0</v>
      </c>
      <c r="K188" s="219"/>
      <c r="L188" s="219"/>
      <c r="M188" s="219"/>
      <c r="N188" s="219"/>
      <c r="O188" s="219"/>
      <c r="P188" s="219">
        <f t="shared" si="157"/>
        <v>0</v>
      </c>
      <c r="Q188" s="219"/>
      <c r="R188" s="219"/>
      <c r="S188" s="219"/>
      <c r="T188" s="219"/>
      <c r="U188" s="219"/>
      <c r="V188" s="219">
        <f t="shared" si="141"/>
        <v>0</v>
      </c>
      <c r="W188" s="218"/>
      <c r="X188" s="218"/>
      <c r="Y188" s="218"/>
      <c r="Z188" s="218"/>
      <c r="AA188" s="218"/>
      <c r="AB188" s="218">
        <f t="shared" si="142"/>
        <v>0</v>
      </c>
      <c r="AC188" s="216">
        <f t="shared" si="139"/>
        <v>0</v>
      </c>
      <c r="AD188" s="216">
        <f t="shared" si="140"/>
        <v>0</v>
      </c>
    </row>
    <row r="189" spans="1:114" s="260" customFormat="1" ht="15.75" thickBot="1" x14ac:dyDescent="0.3">
      <c r="A189" s="256"/>
      <c r="B189" s="257"/>
      <c r="C189" s="257"/>
      <c r="D189" s="258"/>
      <c r="E189" s="259">
        <f t="shared" ref="E189:AD189" si="158">SUM(E4,E61,E143,E105,E167)</f>
        <v>2701474.66</v>
      </c>
      <c r="F189" s="259">
        <f t="shared" si="158"/>
        <v>1369238.62</v>
      </c>
      <c r="G189" s="259">
        <f t="shared" si="158"/>
        <v>54657.26</v>
      </c>
      <c r="H189" s="259">
        <f t="shared" si="158"/>
        <v>0</v>
      </c>
      <c r="I189" s="259">
        <f t="shared" si="158"/>
        <v>121165.65875</v>
      </c>
      <c r="J189" s="259">
        <f t="shared" si="158"/>
        <v>4390602.1987499995</v>
      </c>
      <c r="K189" s="259">
        <f t="shared" si="158"/>
        <v>3191545.5700000003</v>
      </c>
      <c r="L189" s="259">
        <f t="shared" si="158"/>
        <v>2089328.43</v>
      </c>
      <c r="M189" s="259">
        <f t="shared" si="158"/>
        <v>12103.630000000001</v>
      </c>
      <c r="N189" s="259">
        <f t="shared" si="158"/>
        <v>0</v>
      </c>
      <c r="O189" s="259">
        <f t="shared" si="158"/>
        <v>108268</v>
      </c>
      <c r="P189" s="259">
        <f t="shared" si="158"/>
        <v>5438302.6299999999</v>
      </c>
      <c r="Q189" s="259">
        <f t="shared" si="158"/>
        <v>3113068.17</v>
      </c>
      <c r="R189" s="259">
        <f t="shared" si="158"/>
        <v>2050600.83</v>
      </c>
      <c r="S189" s="259">
        <f t="shared" si="158"/>
        <v>5308</v>
      </c>
      <c r="T189" s="259">
        <f t="shared" si="158"/>
        <v>0</v>
      </c>
      <c r="U189" s="259">
        <f t="shared" si="158"/>
        <v>103848</v>
      </c>
      <c r="V189" s="259">
        <f t="shared" si="158"/>
        <v>5304143</v>
      </c>
      <c r="W189" s="259">
        <f t="shared" si="158"/>
        <v>2587938.8200000003</v>
      </c>
      <c r="X189" s="259">
        <f t="shared" si="158"/>
        <v>627580.18000000005</v>
      </c>
      <c r="Y189" s="259">
        <f t="shared" si="158"/>
        <v>0</v>
      </c>
      <c r="Z189" s="259">
        <f t="shared" si="158"/>
        <v>0</v>
      </c>
      <c r="AA189" s="259">
        <f t="shared" si="158"/>
        <v>104048</v>
      </c>
      <c r="AB189" s="259">
        <f t="shared" si="158"/>
        <v>3319567</v>
      </c>
      <c r="AC189" s="259">
        <f t="shared" si="158"/>
        <v>11594027.219999999</v>
      </c>
      <c r="AD189" s="259">
        <f t="shared" si="158"/>
        <v>18452614.828749999</v>
      </c>
      <c r="DJ189" s="260" t="s">
        <v>214</v>
      </c>
    </row>
  </sheetData>
  <mergeCells count="74">
    <mergeCell ref="D178:D180"/>
    <mergeCell ref="D182:D188"/>
    <mergeCell ref="D139:D142"/>
    <mergeCell ref="D145:D153"/>
    <mergeCell ref="D156:D158"/>
    <mergeCell ref="D162:D163"/>
    <mergeCell ref="D165:D166"/>
    <mergeCell ref="D169:D171"/>
    <mergeCell ref="D174:D176"/>
    <mergeCell ref="A161:A163"/>
    <mergeCell ref="A181:A188"/>
    <mergeCell ref="A138:A142"/>
    <mergeCell ref="A144:A153"/>
    <mergeCell ref="A164:A166"/>
    <mergeCell ref="A168:A172"/>
    <mergeCell ref="A173:A176"/>
    <mergeCell ref="A177:A180"/>
    <mergeCell ref="A155:A158"/>
    <mergeCell ref="D79:D84"/>
    <mergeCell ref="D86:D89"/>
    <mergeCell ref="D91:D99"/>
    <mergeCell ref="D70:D77"/>
    <mergeCell ref="A159:A160"/>
    <mergeCell ref="C70:C73"/>
    <mergeCell ref="C74:C77"/>
    <mergeCell ref="D132:D137"/>
    <mergeCell ref="D101:D104"/>
    <mergeCell ref="D107:D111"/>
    <mergeCell ref="D113:D117"/>
    <mergeCell ref="D119:D120"/>
    <mergeCell ref="D122:D126"/>
    <mergeCell ref="D128:D130"/>
    <mergeCell ref="A131:A137"/>
    <mergeCell ref="A118:A120"/>
    <mergeCell ref="D42:D43"/>
    <mergeCell ref="D45:D48"/>
    <mergeCell ref="D50:D54"/>
    <mergeCell ref="D56:D60"/>
    <mergeCell ref="D63:D68"/>
    <mergeCell ref="A121:A126"/>
    <mergeCell ref="A127:A130"/>
    <mergeCell ref="A9:A15"/>
    <mergeCell ref="A106:A111"/>
    <mergeCell ref="A78:A84"/>
    <mergeCell ref="A85:A89"/>
    <mergeCell ref="A100:A104"/>
    <mergeCell ref="A112:A117"/>
    <mergeCell ref="A90:A99"/>
    <mergeCell ref="A35:A40"/>
    <mergeCell ref="A41:A43"/>
    <mergeCell ref="A49:A54"/>
    <mergeCell ref="A44:A48"/>
    <mergeCell ref="A55:A60"/>
    <mergeCell ref="A69:A77"/>
    <mergeCell ref="A62:A68"/>
    <mergeCell ref="A1:O1"/>
    <mergeCell ref="E2:J2"/>
    <mergeCell ref="A2:A3"/>
    <mergeCell ref="C2:C3"/>
    <mergeCell ref="B2:B3"/>
    <mergeCell ref="A16:A18"/>
    <mergeCell ref="D26:D34"/>
    <mergeCell ref="A5:A8"/>
    <mergeCell ref="D2:D3"/>
    <mergeCell ref="A25:A34"/>
    <mergeCell ref="D17:D24"/>
    <mergeCell ref="D6:D8"/>
    <mergeCell ref="D10:D15"/>
    <mergeCell ref="D36:D40"/>
    <mergeCell ref="AC2:AC3"/>
    <mergeCell ref="AD2:AD3"/>
    <mergeCell ref="Q2:V2"/>
    <mergeCell ref="W2:AB2"/>
    <mergeCell ref="K2:P2"/>
  </mergeCells>
  <pageMargins left="0.16" right="0.11" top="0.2" bottom="0.28999999999999998" header="0.3" footer="0.3"/>
  <pageSetup orientation="portrait" r:id="rId1"/>
  <colBreaks count="1" manualBreakCount="1">
    <brk id="10" max="1048575" man="1"/>
  </colBreaks>
  <ignoredErrors>
    <ignoredError sqref="C70" twoDigitTextYear="1"/>
  </ignoredError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tabSelected="1" zoomScale="80" zoomScaleNormal="80" zoomScaleSheetLayoutView="106" zoomScalePageLayoutView="80" workbookViewId="0">
      <pane xSplit="3" ySplit="2" topLeftCell="T3" activePane="bottomRight" state="frozen"/>
      <selection pane="topRight" activeCell="D1" sqref="D1"/>
      <selection pane="bottomLeft" activeCell="A3" sqref="A3"/>
      <selection pane="bottomRight" activeCell="AD132" sqref="AD132"/>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305" t="s">
        <v>227</v>
      </c>
      <c r="B1" s="310" t="s">
        <v>228</v>
      </c>
      <c r="C1" s="316" t="s">
        <v>15</v>
      </c>
      <c r="D1" s="312" t="s">
        <v>16</v>
      </c>
      <c r="E1" s="312" t="s">
        <v>289</v>
      </c>
      <c r="F1" s="307">
        <v>2018</v>
      </c>
      <c r="G1" s="307"/>
      <c r="H1" s="307"/>
      <c r="I1" s="307"/>
      <c r="J1" s="307"/>
      <c r="K1" s="307">
        <v>2019</v>
      </c>
      <c r="L1" s="307"/>
      <c r="M1" s="307"/>
      <c r="N1" s="307"/>
      <c r="O1" s="307"/>
      <c r="P1" s="307">
        <v>2020</v>
      </c>
      <c r="Q1" s="307"/>
      <c r="R1" s="307"/>
      <c r="S1" s="307"/>
      <c r="T1" s="307"/>
      <c r="U1" s="307">
        <v>2021</v>
      </c>
      <c r="V1" s="307"/>
      <c r="W1" s="307"/>
      <c r="X1" s="307"/>
      <c r="Y1" s="307"/>
      <c r="Z1" s="69"/>
      <c r="AA1" s="70"/>
    </row>
    <row r="2" spans="1:27" ht="40.5" customHeight="1" x14ac:dyDescent="0.25">
      <c r="A2" s="306"/>
      <c r="B2" s="311"/>
      <c r="C2" s="317"/>
      <c r="D2" s="313"/>
      <c r="E2" s="313"/>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314"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314"/>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314"/>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314"/>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315"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315"/>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315"/>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315"/>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315"/>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315"/>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314"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314"/>
      <c r="B15" s="50" t="s">
        <v>243</v>
      </c>
      <c r="C15" s="308"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314"/>
      <c r="B16" s="50" t="s">
        <v>74</v>
      </c>
      <c r="C16" s="308"/>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314"/>
      <c r="B17" s="50" t="s">
        <v>75</v>
      </c>
      <c r="C17" s="308"/>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315"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315"/>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315"/>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315"/>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315"/>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315"/>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315"/>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315"/>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315"/>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315"/>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315"/>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315"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315"/>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315"/>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315"/>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315"/>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315"/>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315"/>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315"/>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315"/>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315"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315"/>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315"/>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315"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315"/>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315"/>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315"/>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315"/>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315"/>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315"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315"/>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315"/>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315"/>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315"/>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315"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315"/>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315"/>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315"/>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315"/>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315"/>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315"/>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315"/>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315"/>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315"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315"/>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315"/>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315"/>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315"/>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315"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315"/>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315"/>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315"/>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314"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314"/>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314"/>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314"/>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314"/>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314"/>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314"/>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314"/>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315"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315"/>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315"/>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315"/>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315"/>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315"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315"/>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315"/>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315"/>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315"/>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315"/>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315"/>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315"/>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314"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314"/>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314"/>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314"/>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314"/>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315"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315"/>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315"/>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315"/>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315"/>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315"/>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315"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315"/>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315"/>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315"/>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315"/>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315"/>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314"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314"/>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314"/>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314"/>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314"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314"/>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314"/>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314"/>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314"/>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314"/>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315"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315"/>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315"/>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v>2800</v>
      </c>
      <c r="AA122" s="9">
        <v>2800</v>
      </c>
    </row>
    <row r="123" spans="1:27" x14ac:dyDescent="0.25">
      <c r="A123" s="315"/>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315"/>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v>8360</v>
      </c>
      <c r="AA124" s="9">
        <v>8360</v>
      </c>
    </row>
    <row r="125" spans="1:27" x14ac:dyDescent="0.25">
      <c r="A125" s="315"/>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314"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314"/>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314"/>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314"/>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314"/>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314"/>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314"/>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314"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314"/>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314"/>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314"/>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314"/>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314"/>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314"/>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314"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314"/>
      <c r="B142" s="50" t="s">
        <v>161</v>
      </c>
      <c r="C142" s="309"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314"/>
      <c r="B143" s="50" t="s">
        <v>162</v>
      </c>
      <c r="C143" s="309"/>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314"/>
      <c r="B144" s="50" t="s">
        <v>160</v>
      </c>
      <c r="C144" s="309"/>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314"/>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314"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314"/>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314"/>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314"/>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314"/>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314"/>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314"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314"/>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314"/>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314"/>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314"/>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314"/>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314"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314"/>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314"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314"/>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314"/>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314"/>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314"/>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314"/>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314"/>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314"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314"/>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314"/>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314"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314"/>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314"/>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314"/>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314"/>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314"/>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314"/>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314"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314"/>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314"/>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314"/>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315"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315"/>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315"/>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315"/>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315"/>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315"/>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315"/>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314"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314"/>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314"/>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314"/>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314"/>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314"/>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314"/>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314"/>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A2"/>
    <mergeCell ref="P1:T1"/>
    <mergeCell ref="U1:Y1"/>
    <mergeCell ref="C15:C17"/>
    <mergeCell ref="C142:C144"/>
    <mergeCell ref="B1:B2"/>
    <mergeCell ref="F1:J1"/>
    <mergeCell ref="K1:O1"/>
    <mergeCell ref="E1:E2"/>
    <mergeCell ref="A71:A78"/>
    <mergeCell ref="A79:A83"/>
    <mergeCell ref="A84:A91"/>
    <mergeCell ref="A92:A96"/>
    <mergeCell ref="A98:A103"/>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F130" activePane="bottomRight" state="frozen"/>
      <selection pane="topRight" activeCell="E1" sqref="E1"/>
      <selection pane="bottomLeft" activeCell="A3" sqref="A3"/>
      <selection pane="bottomRight" activeCell="Z143" sqref="Z143"/>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352</v>
      </c>
      <c r="D1" s="87">
        <v>2017</v>
      </c>
      <c r="E1" s="320">
        <v>2018</v>
      </c>
      <c r="F1" s="321"/>
      <c r="G1" s="321"/>
      <c r="H1" s="321"/>
      <c r="I1" s="322"/>
      <c r="J1" s="320">
        <v>2019</v>
      </c>
      <c r="K1" s="321"/>
      <c r="L1" s="321"/>
      <c r="M1" s="321"/>
      <c r="N1" s="322"/>
      <c r="O1" s="320">
        <v>2020</v>
      </c>
      <c r="P1" s="321"/>
      <c r="Q1" s="321"/>
      <c r="R1" s="321"/>
      <c r="S1" s="322"/>
      <c r="T1" s="320">
        <v>2021</v>
      </c>
      <c r="U1" s="321"/>
      <c r="V1" s="321"/>
      <c r="W1" s="321"/>
      <c r="X1" s="322"/>
    </row>
    <row r="2" spans="1:27" ht="40.5" customHeight="1" x14ac:dyDescent="0.25">
      <c r="A2" s="88" t="s">
        <v>15</v>
      </c>
      <c r="B2" s="89" t="s">
        <v>16</v>
      </c>
      <c r="C2" s="90"/>
      <c r="D2" s="91" t="s">
        <v>353</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354</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355</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356</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357</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323" t="s">
        <v>358</v>
      </c>
      <c r="C7" s="108" t="s">
        <v>359</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324"/>
      <c r="C8" s="108" t="s">
        <v>360</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361</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356</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362</v>
      </c>
      <c r="C11" s="118" t="s">
        <v>363</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364</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365</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366</v>
      </c>
      <c r="C14" s="118" t="s">
        <v>367</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368</v>
      </c>
      <c r="C15" s="123" t="s">
        <v>369</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579</v>
      </c>
    </row>
    <row r="16" spans="1:27" ht="26.25" thickBot="1" x14ac:dyDescent="0.3">
      <c r="A16" s="85"/>
      <c r="B16" s="104"/>
      <c r="C16" s="97" t="s">
        <v>370</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352</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580</v>
      </c>
      <c r="B18" s="104"/>
      <c r="C18" s="118" t="s">
        <v>371</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576</v>
      </c>
      <c r="B19" s="117"/>
      <c r="C19" s="198" t="s">
        <v>577</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576</v>
      </c>
      <c r="B20" s="104"/>
      <c r="C20" s="118" t="s">
        <v>578</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372</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352</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373</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374</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375</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376</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377</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378</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379</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380</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381</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382</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356</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383</v>
      </c>
      <c r="C35" s="118" t="s">
        <v>384</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385</v>
      </c>
      <c r="C36" s="118" t="s">
        <v>386</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325" t="s">
        <v>13</v>
      </c>
      <c r="B37" s="142" t="s">
        <v>387</v>
      </c>
      <c r="C37" s="118" t="s">
        <v>388</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326"/>
      <c r="B38" s="142" t="s">
        <v>389</v>
      </c>
      <c r="C38" s="130" t="s">
        <v>390</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326"/>
      <c r="B39" s="113"/>
      <c r="C39" s="130" t="s">
        <v>391</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327"/>
      <c r="B40" s="113"/>
      <c r="C40" s="130" t="s">
        <v>392</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393</v>
      </c>
      <c r="C41" s="118" t="s">
        <v>394</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395</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396</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356</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397</v>
      </c>
      <c r="C45" s="118" t="s">
        <v>398</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399</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400</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356</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401</v>
      </c>
      <c r="C49" s="118" t="s">
        <v>402</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403</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404</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405</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406</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356</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407</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408</v>
      </c>
      <c r="B57" s="113"/>
      <c r="C57" s="118" t="s">
        <v>409</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410</v>
      </c>
      <c r="D58" s="115"/>
      <c r="E58" s="199" t="s">
        <v>582</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411</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412</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356</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413</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414</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415</v>
      </c>
      <c r="C64" s="118" t="s">
        <v>416</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417</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418</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419</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347</v>
      </c>
      <c r="C68" s="118" t="s">
        <v>420</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421</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422</v>
      </c>
      <c r="C70" s="159" t="s">
        <v>423</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424</v>
      </c>
      <c r="C71" s="97" t="s">
        <v>425</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356</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426</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427</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428</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583</v>
      </c>
      <c r="D76" s="202" t="s">
        <v>583</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429</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430</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356</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431</v>
      </c>
      <c r="B80" s="113"/>
      <c r="C80" s="161" t="s">
        <v>432</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433</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434</v>
      </c>
      <c r="B82" s="113"/>
      <c r="C82" s="118" t="s">
        <v>435</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436</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356</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344</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345</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343</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437</v>
      </c>
      <c r="C88" s="82" t="s">
        <v>322</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346</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584</v>
      </c>
      <c r="D90" s="115"/>
      <c r="E90" s="102">
        <v>2500</v>
      </c>
      <c r="F90" s="163" t="s">
        <v>438</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439</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440</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356</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441</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442</v>
      </c>
      <c r="B95" s="169"/>
      <c r="C95" s="118" t="s">
        <v>443</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444</v>
      </c>
      <c r="B96" s="169"/>
      <c r="C96" s="118" t="s">
        <v>585</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445</v>
      </c>
      <c r="B97" s="169"/>
      <c r="C97" s="118" t="s">
        <v>446</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447</v>
      </c>
      <c r="B98" s="113"/>
      <c r="C98" s="97" t="s">
        <v>448</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356</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586</v>
      </c>
      <c r="B100" s="113"/>
      <c r="C100" s="123" t="s">
        <v>449</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450</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451</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452</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453</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454</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455</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456</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356</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348</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349</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457</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458</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459</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460</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356</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461</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462</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463</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464</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465</v>
      </c>
      <c r="B120" s="113"/>
      <c r="C120" s="118" t="s">
        <v>466</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467</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356</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468</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469</v>
      </c>
      <c r="B124" s="113"/>
      <c r="C124" s="118" t="s">
        <v>470</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471</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472</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473</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474</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356</v>
      </c>
      <c r="D129" s="176" t="s">
        <v>475</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476</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477</v>
      </c>
      <c r="B131" s="113"/>
      <c r="C131" s="118" t="s">
        <v>478</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479</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480</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356</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481</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482</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483</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484</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485</v>
      </c>
      <c r="B139" s="113"/>
      <c r="C139" s="118" t="s">
        <v>486</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487</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356</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488</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489</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490</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491</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356</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492</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493</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494</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495</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496</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497</v>
      </c>
      <c r="B154" s="113"/>
      <c r="C154" s="118" t="s">
        <v>498</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499</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356</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500</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501</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350</v>
      </c>
      <c r="B159" s="113"/>
      <c r="C159" s="118" t="s">
        <v>502</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503</v>
      </c>
      <c r="B160" s="113"/>
      <c r="C160" s="118" t="s">
        <v>504</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505</v>
      </c>
      <c r="B161" s="113"/>
      <c r="C161" s="118" t="s">
        <v>506</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507</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508</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509</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356</v>
      </c>
      <c r="D165" s="128" t="s">
        <v>510</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318" t="s">
        <v>511</v>
      </c>
      <c r="B166" s="113" t="s">
        <v>512</v>
      </c>
      <c r="C166" s="185" t="s">
        <v>513</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319"/>
      <c r="B167" s="113"/>
      <c r="C167" s="185" t="s">
        <v>514</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319"/>
      <c r="B168" s="113"/>
      <c r="C168" s="185" t="s">
        <v>515</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516</v>
      </c>
      <c r="B169" s="113"/>
      <c r="C169" s="185" t="s">
        <v>517</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587</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356</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518</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519</v>
      </c>
      <c r="D173" s="115"/>
      <c r="E173" s="102">
        <v>25000</v>
      </c>
      <c r="F173" s="163" t="s">
        <v>520</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521</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522</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523</v>
      </c>
      <c r="B176" s="169"/>
      <c r="C176" s="118" t="s">
        <v>524</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525</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356</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526</v>
      </c>
      <c r="B179" s="113"/>
      <c r="C179" s="118" t="s">
        <v>527</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528</v>
      </c>
      <c r="B180" s="113"/>
      <c r="C180" s="118" t="s">
        <v>529</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530</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531</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532</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533</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356</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534</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535</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536</v>
      </c>
      <c r="B188" s="113"/>
      <c r="C188" s="100" t="s">
        <v>356</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351</v>
      </c>
      <c r="B189" s="113"/>
      <c r="C189" s="205" t="s">
        <v>537</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351</v>
      </c>
      <c r="B190" s="113"/>
      <c r="C190" s="205" t="s">
        <v>538</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539</v>
      </c>
      <c r="B191" s="113"/>
      <c r="C191" s="205" t="s">
        <v>540</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543</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542</v>
      </c>
      <c r="B193" s="113"/>
      <c r="C193" s="205" t="s">
        <v>541</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544</v>
      </c>
      <c r="B194" s="113"/>
      <c r="C194" s="168" t="s">
        <v>545</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546</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356</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547</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548</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549</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550</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551</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552</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553</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554</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555</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556</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557</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356</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558</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559</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560</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561</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356</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562</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563</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564</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565</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566</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567</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568</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356</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569</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570</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571</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572</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573</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574</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575</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Mariana Mkurnali</cp:lastModifiedBy>
  <cp:lastPrinted>2018-02-17T15:27:28Z</cp:lastPrinted>
  <dcterms:created xsi:type="dcterms:W3CDTF">2018-01-10T06:19:29Z</dcterms:created>
  <dcterms:modified xsi:type="dcterms:W3CDTF">2018-04-03T07:02:40Z</dcterms:modified>
</cp:coreProperties>
</file>