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defaultThemeVersion="124226"/>
  <bookViews>
    <workbookView xWindow="240" yWindow="825" windowWidth="14805" windowHeight="7290" tabRatio="978"/>
  </bookViews>
  <sheets>
    <sheet name="მთლიანი" sheetId="56" r:id="rId1"/>
    <sheet name="პენსია_2016" sheetId="61" r:id="rId2"/>
    <sheet name="პენსია_2017" sheetId="60" r:id="rId3"/>
    <sheet name="პენსია_2018" sheetId="59" r:id="rId4"/>
    <sheet name="პენსია_2019" sheetId="58" r:id="rId5"/>
    <sheet name="სახ კომპენსაცია (2)" sheetId="57" r:id="rId6"/>
    <sheet name="საარსებო შემწეობა" sheetId="46" r:id="rId7"/>
    <sheet name="სოციალური პაკეტი" sheetId="47" r:id="rId8"/>
    <sheet name="დევნილთა შემწეობა" sheetId="52" r:id="rId9"/>
    <sheet name="მე-3 და შემდგომი ბავშვი" sheetId="53" r:id="rId10"/>
    <sheet name="რეგრესული პენსია" sheetId="55" r:id="rId11"/>
    <sheet name="რეინტეგრაციის შემწეობა" sheetId="54" r:id="rId12"/>
    <sheet name="c 2013" sheetId="41" state="hidden" r:id="rId13"/>
    <sheet name="კომპენსაცია_სტიპენდია" sheetId="19" state="hidden" r:id="rId14"/>
  </sheets>
  <externalReferences>
    <externalReference r:id="rId15"/>
  </externalReferences>
  <definedNames>
    <definedName name="_xlnm._FilterDatabase" localSheetId="1" hidden="1">პენსია_2016!#REF!</definedName>
    <definedName name="_xlnm._FilterDatabase" localSheetId="2" hidden="1">პენსია_2017!#REF!</definedName>
    <definedName name="_xlnm._FilterDatabase" localSheetId="3" hidden="1">პენსია_2018!#REF!</definedName>
    <definedName name="_xlnm._FilterDatabase" localSheetId="4" hidden="1">პენსია_2019!#REF!</definedName>
    <definedName name="workingdays" localSheetId="12">#REF!</definedName>
    <definedName name="workingdays" localSheetId="1">[1]C_2012!$E$69</definedName>
    <definedName name="workingdays" localSheetId="2">[1]C_2012!$E$69</definedName>
    <definedName name="workingdays" localSheetId="3">[1]C_2012!$E$69</definedName>
    <definedName name="workingdays" localSheetId="4">[1]C_2012!$E$69</definedName>
    <definedName name="workingdays" localSheetId="5">[1]C_2012!$E$69</definedName>
    <definedName name="workingdays">[1]C_2012!$E$69</definedName>
  </definedNames>
  <calcPr calcId="145621"/>
</workbook>
</file>

<file path=xl/calcChain.xml><?xml version="1.0" encoding="utf-8"?>
<calcChain xmlns="http://schemas.openxmlformats.org/spreadsheetml/2006/main">
  <c r="D4" i="56"/>
  <c r="E4"/>
  <c r="F4"/>
  <c r="C4"/>
  <c r="E2" i="54"/>
  <c r="D2"/>
  <c r="C2"/>
  <c r="B2"/>
  <c r="C9" i="57" l="1"/>
  <c r="D5" i="56"/>
  <c r="E5"/>
  <c r="F5"/>
  <c r="C5"/>
  <c r="D6"/>
  <c r="E6"/>
  <c r="F6"/>
  <c r="C6"/>
  <c r="B10" i="55" l="1"/>
  <c r="B1"/>
  <c r="F4" i="52"/>
  <c r="F2"/>
  <c r="D2"/>
  <c r="E2" s="1"/>
  <c r="E4" l="1"/>
  <c r="D4"/>
  <c r="G2" l="1"/>
  <c r="G4" s="1"/>
  <c r="C12" i="47" l="1"/>
  <c r="C9"/>
  <c r="B5" i="46"/>
  <c r="E3" i="61"/>
  <c r="E4"/>
  <c r="E5"/>
  <c r="E6"/>
  <c r="E7" s="1"/>
  <c r="E8" s="1"/>
  <c r="E9" s="1"/>
  <c r="E10" s="1"/>
  <c r="G2" i="60"/>
  <c r="E3"/>
  <c r="G3"/>
  <c r="E4"/>
  <c r="G4" s="1"/>
  <c r="G2" i="59"/>
  <c r="E3"/>
  <c r="G3"/>
  <c r="E4"/>
  <c r="G4" s="1"/>
  <c r="G2" i="58"/>
  <c r="E3"/>
  <c r="G3"/>
  <c r="E4"/>
  <c r="G4" s="1"/>
  <c r="C3" i="57"/>
  <c r="D3"/>
  <c r="E3"/>
  <c r="F3"/>
  <c r="H3"/>
  <c r="I3"/>
  <c r="I4" s="1"/>
  <c r="J3"/>
  <c r="K3"/>
  <c r="L3"/>
  <c r="M3"/>
  <c r="M4" s="1"/>
  <c r="O3"/>
  <c r="P3"/>
  <c r="C4"/>
  <c r="C5" s="1"/>
  <c r="D4"/>
  <c r="E4"/>
  <c r="F4"/>
  <c r="G4"/>
  <c r="H4"/>
  <c r="J4"/>
  <c r="K4"/>
  <c r="L4"/>
  <c r="N4"/>
  <c r="O4"/>
  <c r="P4"/>
  <c r="Q4"/>
  <c r="C6"/>
  <c r="C7"/>
  <c r="D9" i="56"/>
  <c r="E9"/>
  <c r="F9"/>
  <c r="C9"/>
  <c r="G10" i="61" l="1"/>
  <c r="E11"/>
  <c r="E5" i="60"/>
  <c r="E5" i="59"/>
  <c r="E5" i="58"/>
  <c r="C5" i="47"/>
  <c r="C3"/>
  <c r="G11" i="61" l="1"/>
  <c r="E12"/>
  <c r="G5" i="60"/>
  <c r="E6"/>
  <c r="G5" i="59"/>
  <c r="E6"/>
  <c r="G5" i="58"/>
  <c r="E6"/>
  <c r="B4" i="55"/>
  <c r="B5" s="1"/>
  <c r="B5" i="54"/>
  <c r="C16" i="53"/>
  <c r="F15"/>
  <c r="E15"/>
  <c r="F14"/>
  <c r="E14"/>
  <c r="F13"/>
  <c r="E13"/>
  <c r="F12"/>
  <c r="E12"/>
  <c r="F11"/>
  <c r="E11"/>
  <c r="F10"/>
  <c r="E10"/>
  <c r="F9"/>
  <c r="E9"/>
  <c r="F8"/>
  <c r="E8"/>
  <c r="F7"/>
  <c r="E7"/>
  <c r="F6"/>
  <c r="E6"/>
  <c r="F5"/>
  <c r="E5"/>
  <c r="F4"/>
  <c r="F16" s="1"/>
  <c r="E4"/>
  <c r="E16" s="1"/>
  <c r="E6" i="54" l="1"/>
  <c r="C6"/>
  <c r="B6"/>
  <c r="D6"/>
  <c r="G12" i="61"/>
  <c r="E13"/>
  <c r="G6" i="60"/>
  <c r="E7"/>
  <c r="G6" i="59"/>
  <c r="E7"/>
  <c r="G6" i="58"/>
  <c r="E7"/>
  <c r="G13" i="61" l="1"/>
  <c r="E14"/>
  <c r="G7" i="60"/>
  <c r="E8"/>
  <c r="G7" i="59"/>
  <c r="E8"/>
  <c r="G7" i="58"/>
  <c r="E8"/>
  <c r="G14" i="61" l="1"/>
  <c r="E15"/>
  <c r="G8" i="60"/>
  <c r="E9"/>
  <c r="G8" i="59"/>
  <c r="E9"/>
  <c r="G8" i="58"/>
  <c r="E9"/>
  <c r="E16" i="61" l="1"/>
  <c r="G15"/>
  <c r="G9" i="60"/>
  <c r="E10"/>
  <c r="G9" i="59"/>
  <c r="E10"/>
  <c r="G9" i="58"/>
  <c r="E10"/>
  <c r="G16" i="61" l="1"/>
  <c r="E17"/>
  <c r="G10" i="60"/>
  <c r="E11"/>
  <c r="G10" i="59"/>
  <c r="E11"/>
  <c r="G10" i="58"/>
  <c r="E11"/>
  <c r="G17" i="61" l="1"/>
  <c r="E18"/>
  <c r="G11" i="60"/>
  <c r="E12"/>
  <c r="G11" i="59"/>
  <c r="E12"/>
  <c r="G11" i="58"/>
  <c r="E12"/>
  <c r="G18" i="61" l="1"/>
  <c r="E19"/>
  <c r="G12" i="60"/>
  <c r="E13"/>
  <c r="G12" i="59"/>
  <c r="E13"/>
  <c r="G12" i="58"/>
  <c r="E13"/>
  <c r="E20" i="61" l="1"/>
  <c r="G19"/>
  <c r="G13" i="60"/>
  <c r="E14"/>
  <c r="G14" s="1"/>
  <c r="G15" s="1"/>
  <c r="G13" i="59"/>
  <c r="E14"/>
  <c r="G14" s="1"/>
  <c r="G15" s="1"/>
  <c r="G13" i="58"/>
  <c r="E14"/>
  <c r="G14" s="1"/>
  <c r="G15" s="1"/>
  <c r="G20" i="61" l="1"/>
  <c r="E21"/>
  <c r="G21" s="1"/>
  <c r="G22" s="1"/>
  <c r="L70" i="41" l="1"/>
  <c r="J70"/>
  <c r="H70"/>
  <c r="F70"/>
  <c r="L69"/>
  <c r="K69"/>
  <c r="K70" s="1"/>
  <c r="J69"/>
  <c r="I69"/>
  <c r="I70" s="1"/>
  <c r="H69"/>
  <c r="G69"/>
  <c r="G70" s="1"/>
  <c r="F69"/>
  <c r="P67"/>
  <c r="M25"/>
  <c r="N67" s="1"/>
  <c r="F71" l="1"/>
  <c r="E10" i="19" l="1"/>
  <c r="E9"/>
  <c r="D10"/>
  <c r="D9"/>
  <c r="C10"/>
  <c r="C9"/>
</calcChain>
</file>

<file path=xl/sharedStrings.xml><?xml version="1.0" encoding="utf-8"?>
<sst xmlns="http://schemas.openxmlformats.org/spreadsheetml/2006/main" count="166" uniqueCount="126">
  <si>
    <t>საყოფაცხოვრებო სუბსიდია</t>
  </si>
  <si>
    <t>დამატებით საჭირო თანხა თვეში</t>
  </si>
  <si>
    <t xml:space="preserve">           მათ შორის:</t>
  </si>
  <si>
    <t>სულ კომპენსაციის მიმღებთა რაოდენობა</t>
  </si>
  <si>
    <t>სახელმწიფო კომპენსაცია</t>
  </si>
  <si>
    <t>კომპენსაციის მიმღებთა რაოდენობა ასაკი &gt;=67</t>
  </si>
  <si>
    <t>კომპენსაციის მიმღებთა რაოდენობა ასაკი, ქალებისთვის &gt;=60 და &lt;67, კაცებისთვის &gt;=65 და &lt;67</t>
  </si>
  <si>
    <t>საპენსიო პაკეტის 150 ლარამდე გაზრდის შემთხვევაში (ასაკი &gt;=67) გადავა (150 ლარზე)</t>
  </si>
  <si>
    <t>საპენსიო პაკეტის 150 ლარამდე გაზრდის შემთხვევაში (ასაკი, ქალებისთვის &gt;=60 და &lt;67, კაცებისთვის &gt;=65 და &lt;67) გადავა (150 ლარზე)</t>
  </si>
  <si>
    <r>
      <t>ამ კატეგორიის ხალხისთვის  (ასაკი, &gt;=67) დღეს თვეში საჭირო თანხის ოდენობა (</t>
    </r>
    <r>
      <rPr>
        <b/>
        <i/>
        <sz val="11"/>
        <color indexed="8"/>
        <rFont val="Calibri"/>
        <family val="2"/>
      </rPr>
      <t>კომპენსაცია+საოჯახო დახმარება+საყოფაცხოვრებო სუბსიდია</t>
    </r>
    <r>
      <rPr>
        <b/>
        <sz val="11"/>
        <color indexed="8"/>
        <rFont val="Calibri"/>
        <family val="2"/>
      </rPr>
      <t>)</t>
    </r>
  </si>
  <si>
    <r>
      <t>ამ კატეგორიის ხალხისთვის  (ასაკი, ქალებისთვის &gt;=60 და &lt;67, კაცებისთვის &gt;=65 და &lt;67) დღეს თვეში საჭირო თანხის ოდენობა (</t>
    </r>
    <r>
      <rPr>
        <b/>
        <i/>
        <sz val="11"/>
        <color indexed="8"/>
        <rFont val="Calibri"/>
        <family val="2"/>
      </rPr>
      <t>კომპენსაცია+საოჯახო დახმარება+საყოფაცხოვრებო სუბსიდია</t>
    </r>
    <r>
      <rPr>
        <b/>
        <sz val="11"/>
        <color indexed="8"/>
        <rFont val="Calibri"/>
        <family val="2"/>
      </rPr>
      <t>)</t>
    </r>
  </si>
  <si>
    <t>ამ კატეგორიის ხალხისთვის 150 ლარზე გადასვლის შემდეგ თვეში საჭირო თანხის ოდენობა</t>
  </si>
  <si>
    <t>ჯამი</t>
  </si>
  <si>
    <t>ბენეფიტის საშუალო ოდენობა</t>
  </si>
  <si>
    <t>წლიურად საჭირო თანხა</t>
  </si>
  <si>
    <t>განაცდური (გასული) პერიოდის დაფინანსება საშუალოდ თვეში</t>
  </si>
  <si>
    <t>35 02</t>
  </si>
  <si>
    <t>35 02 01</t>
  </si>
  <si>
    <t>საპენსიო უზრუნველყოფა</t>
  </si>
  <si>
    <t>35 02 02</t>
  </si>
  <si>
    <t>სოციალური დახმარებები</t>
  </si>
  <si>
    <t>35 02 03</t>
  </si>
  <si>
    <t>სოციალური რეაბილიტაცია და ბავშვზე ზრუნვა</t>
  </si>
  <si>
    <t>მიმღებთა რაოდენობა თვეში</t>
  </si>
  <si>
    <t>თვეში გადარიცხული თანხა საშუალოდ</t>
  </si>
  <si>
    <t xml:space="preserve">რეინტეგრაციის შემწეობა </t>
  </si>
  <si>
    <t>სხვა საქონელი და მომსახურეობა (სოციალური აგენტების ანაზღაურება)</t>
  </si>
  <si>
    <t>ორშაბათი</t>
  </si>
  <si>
    <t>სამშაბათი</t>
  </si>
  <si>
    <t>ოთხშაბათი</t>
  </si>
  <si>
    <t>ხუთშაბათი</t>
  </si>
  <si>
    <t>პარასკევი</t>
  </si>
  <si>
    <t>შაბათი</t>
  </si>
  <si>
    <t>კვირა</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</si>
  <si>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</si>
  <si>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</si>
  <si>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</si>
  <si>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</si>
  <si>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</si>
  <si>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</si>
  <si>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</si>
  <si>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</si>
  <si>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</si>
  <si>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ოქტომბერი</t>
  </si>
  <si>
    <t>ნოემბერი</t>
  </si>
  <si>
    <t>დეკემბერი</t>
  </si>
  <si>
    <t>საარსებო შემწეობა</t>
  </si>
  <si>
    <t>სოციალური პაკეტი</t>
  </si>
  <si>
    <t>საარსებო შემწეობისათვის საჭირო თანხა თვეში</t>
  </si>
  <si>
    <t>N</t>
  </si>
  <si>
    <t>გადარიცხული თანხა</t>
  </si>
  <si>
    <t>თარიღი</t>
  </si>
  <si>
    <t>დევნილთა, ლტოლვილთა და ჰუმანიტარული სტატუსის მქონე პირთა შემწეობა</t>
  </si>
  <si>
    <t>მოცულობა</t>
  </si>
  <si>
    <t>პენსიონერი</t>
  </si>
  <si>
    <t>საპენსიო ასაკის შესრულება რეესტრის მიხედვით</t>
  </si>
  <si>
    <t>შსს</t>
  </si>
  <si>
    <t>თავდაცვა</t>
  </si>
  <si>
    <t>უშიშროება</t>
  </si>
  <si>
    <t>პროკურატურა</t>
  </si>
  <si>
    <t>პარლამენტის ყოფილი წევრები</t>
  </si>
  <si>
    <t>პარლამენტის აპარატის ყოფილი მოხელეები</t>
  </si>
  <si>
    <t>ყოფილი უმაღ. პოლ. თანამდ. პირთა ოჯახები</t>
  </si>
  <si>
    <t>ყოფილი დიპლომ. რანგის მქონე პირები</t>
  </si>
  <si>
    <t>საკონსტიტუციო სასამართ. ყოფილი წევრები</t>
  </si>
  <si>
    <t>უზენაესი სასამართ. ყოფილი მოსამართლეები</t>
  </si>
  <si>
    <t>საერთო სასამართ. ყოფილი მოსამართლეები</t>
  </si>
  <si>
    <t>კონტროლის პალატის ყოფილი მოხელეები</t>
  </si>
  <si>
    <t>სამოქალაქო ავიაციის მომსახურეები</t>
  </si>
  <si>
    <t>საბრძოლო მოქმედებებისას გარდაცვლილის ოჯახის წევრები</t>
  </si>
  <si>
    <t>კომპენსაციის მიმღები</t>
  </si>
  <si>
    <t>კომპენსაციის საშუალო ოდენობა</t>
  </si>
  <si>
    <t>თვეში საჭირო თანხა</t>
  </si>
  <si>
    <t>9 მაისის ერთჯერადი დახმარება</t>
  </si>
  <si>
    <t>demografiuli mdgomareobis gaumjobesebis miznobrivi programis amoqmedebisTvis damatebiT saWiro Tanxa</t>
  </si>
  <si>
    <t>regionis dasaxeleba</t>
  </si>
  <si>
    <t>dasaxlebis adgili</t>
  </si>
  <si>
    <t xml:space="preserve">2013 wels cocxladSobili me-3 da Semdegi bavSvis raodenoba </t>
  </si>
  <si>
    <t>finansuri daxmarebis odenoba</t>
  </si>
  <si>
    <t>2014 wlis 1 ivნისიdan damatebiT saWiro Tanxa (lari)</t>
  </si>
  <si>
    <t>2015 წელს damatebiT saWiro Tanxa (lari)</t>
  </si>
  <si>
    <t>1. guria</t>
  </si>
  <si>
    <t>maRalmTiani regioni</t>
  </si>
  <si>
    <t>bari</t>
  </si>
  <si>
    <t>2. imereTi</t>
  </si>
  <si>
    <t>3. kaxeTi</t>
  </si>
  <si>
    <t>4. mcxeTa-mTianeTi</t>
  </si>
  <si>
    <t>5. raWa-leCxumisa da qvemo svaneTi</t>
  </si>
  <si>
    <t>6. samegrelo-zemo svaneTi</t>
  </si>
  <si>
    <t>jami</t>
  </si>
  <si>
    <t>რეგრესული პენსია</t>
  </si>
  <si>
    <t xml:space="preserve">პროგრამა </t>
  </si>
  <si>
    <t>სახელმწიფო პენსიები</t>
  </si>
  <si>
    <t xml:space="preserve">პროგრამული
 კოდი </t>
  </si>
  <si>
    <t>სოციალური დაცვა და საპენსიო
 უზრუნველყოფა</t>
  </si>
  <si>
    <t>რეგრესი</t>
  </si>
  <si>
    <t>ორსულობის, მშობიარობისა და ბავშვთა მოვლის, ასევე ახალშობილის შვილად აყვანის გამო შვებულების ხარჯები</t>
  </si>
  <si>
    <t xml:space="preserve">საარსებო შემწეობა </t>
  </si>
  <si>
    <t xml:space="preserve">დევნილთა შემწეობა </t>
  </si>
  <si>
    <t>მე-3 და შემდგომი ბავშვი</t>
  </si>
  <si>
    <t>საზღვარგარეთ გარდაცვლილთა გადმოსვენების 
ხარჯების ანაზღაურება</t>
  </si>
  <si>
    <t>სახელმწიფო კომპენსაციის საპროგნოზო რაოდენობები და საშუალო თანხების ოდენობების გამოანგარიშებისათვის საწყისად გამოყენებულია 2015 წლის 5–ე თვის ფაქტიური მონაცემები, გათვალისწინებულია ასაკის პენსიის კომპონენტის ცვლილება (10 ლარით მატება 2015 წლის სექტემბრიდან) და დაღუპული პოლიციელების ოჯახის წევრებისათვის მოსალოდნელი 1000 ლარიანი კომპენსაციები.</t>
  </si>
  <si>
    <t>150 დან 160 ლარამდე პენსიის მატების შემთხვევაში დამატებით წელიწადში საჭირო თანხა</t>
  </si>
  <si>
    <t>დაღუპული პოლიციელების ოჯახის წევრები</t>
  </si>
  <si>
    <t>სასჯელაღსრულებისა და პრობაციის სამინისტრო</t>
  </si>
  <si>
    <t>2019 წელს საჭირო თანხა</t>
  </si>
  <si>
    <t xml:space="preserve"> პენსიის ოდენობა </t>
  </si>
  <si>
    <t>2015 წლის 5 თვის  საშუალო გარდაცვალებ საპენსიო ასაკის პირებში</t>
  </si>
  <si>
    <t>2018 წელს საჭირო თანხა</t>
  </si>
  <si>
    <t>2017 წელს საჭირო თანხა</t>
  </si>
  <si>
    <t>2016 წელს საჭირო თანხა</t>
  </si>
  <si>
    <t xml:space="preserve"> აპრილის თვის რაოდენობა</t>
  </si>
  <si>
    <t xml:space="preserve">შშმ ბავშვების რაოდენობა </t>
  </si>
  <si>
    <t>თანხა</t>
  </si>
  <si>
    <t xml:space="preserve">სულ სოციალური პაკეტისთვის საჭირო თანხა </t>
  </si>
  <si>
    <t xml:space="preserve">წლის განმავლობაში დამატებით საჭირო თანხა </t>
  </si>
  <si>
    <t>აპრილის თვის რაოდენობა</t>
  </si>
  <si>
    <t xml:space="preserve">ბენეფიციართა სავარაუდო მატება წლის განმავლობაში </t>
  </si>
  <si>
    <t>მოცულობა  2016</t>
  </si>
  <si>
    <t>იგივე</t>
  </si>
  <si>
    <t xml:space="preserve">ტყიბული და ჭიათურა თვეში დამატებით </t>
  </si>
  <si>
    <t xml:space="preserve">სულ </t>
  </si>
  <si>
    <t>ზესტაფონი და რუსთავის დამატებით სულ</t>
  </si>
  <si>
    <t>სახელმწიფო კომპენსაციები</t>
  </si>
  <si>
    <t>2%  მატების შემთხვევაში</t>
  </si>
  <si>
    <t xml:space="preserve">პროკურატურის და საერთო სასამართლოს  მოსამართლეებისთვის კომპენსციის გაანგარიშების პრივციპის შეცვლა წლის განმავლობაში </t>
  </si>
</sst>
</file>

<file path=xl/styles.xml><?xml version="1.0" encoding="utf-8"?>
<styleSheet xmlns="http://schemas.openxmlformats.org/spreadsheetml/2006/main">
  <numFmts count="12">
    <numFmt numFmtId="43" formatCode="_-* #,##0.00\ _L_a_r_i_-;\-* #,##0.00\ _L_a_r_i_-;_-* &quot;-&quot;??\ _L_a_r_i_-;_-@_-"/>
    <numFmt numFmtId="164" formatCode="_(* #,##0_);_(* \(#,##0\);_(* &quot;-&quot;_);_(@_)"/>
    <numFmt numFmtId="165" formatCode="_(&quot;$&quot;* #,##0.00_);_(&quot;$&quot;* \(#,##0.00\);_(&quot;$&quot;* &quot;-&quot;??_);_(@_)"/>
    <numFmt numFmtId="166" formatCode="_(* #,##0.00_);_(* \(#,##0.00\);_(* &quot;-&quot;??_);_(@_)"/>
    <numFmt numFmtId="167" formatCode="_-* #,##0.00_-;\-* #,##0.00_-;_-* &quot;-&quot;??_-;_-@_-"/>
    <numFmt numFmtId="168" formatCode="0.0"/>
    <numFmt numFmtId="169" formatCode="_-* #,##0_-;\-* #,##0_-;_-* &quot;-&quot;??_-;_-@_-"/>
    <numFmt numFmtId="170" formatCode="_(* #,##0.0_);_(* \(#,##0.0\);_(* &quot;-&quot;??_);_(@_)"/>
    <numFmt numFmtId="171" formatCode="_(* #,##0_);_(* \(#,##0\);_(* &quot;-&quot;??_);_(@_)"/>
    <numFmt numFmtId="172" formatCode="_(* #,##0.0000_);_(* \(#,##0.0000\);_(* &quot;-&quot;_);_(@_)"/>
    <numFmt numFmtId="173" formatCode="_(* #,##0.00_);_(* \(#,##0.00\);_(* &quot;-&quot;_);_(@_)"/>
    <numFmt numFmtId="174" formatCode="0_);\(0\)"/>
  </numFmts>
  <fonts count="52">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charset val="204"/>
    </font>
    <font>
      <sz val="11"/>
      <color indexed="8"/>
      <name val="Calibri"/>
      <family val="2"/>
    </font>
    <font>
      <sz val="10"/>
      <color indexed="8"/>
      <name val="Geo_Arial"/>
      <family val="2"/>
    </font>
    <font>
      <b/>
      <i/>
      <sz val="11"/>
      <color indexed="8"/>
      <name val="Calibri"/>
      <family val="2"/>
    </font>
    <font>
      <sz val="10"/>
      <name val="Arial"/>
      <family val="2"/>
    </font>
    <font>
      <sz val="11"/>
      <color theme="1"/>
      <name val="Calibri"/>
      <family val="2"/>
      <scheme val="minor"/>
    </font>
    <font>
      <sz val="11"/>
      <color theme="1"/>
      <name val="Calibri"/>
      <family val="2"/>
      <charset val="1"/>
      <scheme val="minor"/>
    </font>
    <font>
      <b/>
      <sz val="11"/>
      <color theme="1"/>
      <name val="Calibri"/>
      <family val="2"/>
      <scheme val="minor"/>
    </font>
    <font>
      <sz val="10"/>
      <color indexed="8"/>
      <name val="Arial"/>
      <family val="2"/>
    </font>
    <font>
      <b/>
      <sz val="10"/>
      <color indexed="8"/>
      <name val="Geo_Arial"/>
      <family val="2"/>
    </font>
    <font>
      <sz val="11"/>
      <color theme="1"/>
      <name val="Calibri"/>
      <family val="2"/>
      <charset val="204"/>
      <scheme val="minor"/>
    </font>
    <font>
      <b/>
      <sz val="11"/>
      <color theme="1"/>
      <name val="Calibri"/>
      <family val="2"/>
      <charset val="204"/>
      <scheme val="minor"/>
    </font>
    <font>
      <sz val="10"/>
      <color indexed="8"/>
      <name val="Arial"/>
      <family val="2"/>
      <charset val="204"/>
    </font>
    <font>
      <b/>
      <sz val="8"/>
      <color indexed="8"/>
      <name val="Geo_Arial"/>
      <family val="2"/>
    </font>
    <font>
      <sz val="8"/>
      <color indexed="8"/>
      <name val="Geo_Arial"/>
      <family val="2"/>
    </font>
    <font>
      <b/>
      <sz val="11"/>
      <color rgb="FFFF0000"/>
      <name val="Calibri"/>
      <family val="2"/>
      <charset val="204"/>
      <scheme val="minor"/>
    </font>
    <font>
      <sz val="10"/>
      <name val="Arial"/>
    </font>
    <font>
      <b/>
      <sz val="11"/>
      <color indexed="8"/>
      <name val="Geo_Arial"/>
      <family val="2"/>
    </font>
    <font>
      <sz val="10"/>
      <color theme="1"/>
      <name val="Calibri"/>
      <family val="2"/>
      <scheme val="minor"/>
    </font>
    <font>
      <b/>
      <sz val="10"/>
      <color theme="1"/>
      <name val="Calibri"/>
      <family val="2"/>
      <scheme val="minor"/>
    </font>
    <font>
      <sz val="11"/>
      <color indexed="8"/>
      <name val="Calibri"/>
      <family val="2"/>
      <charset val="204"/>
    </font>
    <font>
      <b/>
      <sz val="12"/>
      <name val="AcadNusx"/>
    </font>
    <font>
      <sz val="10"/>
      <name val="AcadNusx"/>
    </font>
    <font>
      <b/>
      <sz val="10"/>
      <color indexed="8"/>
      <name val="AcadNusx"/>
    </font>
    <font>
      <b/>
      <sz val="10"/>
      <color theme="1"/>
      <name val="AcadNusx"/>
    </font>
    <font>
      <b/>
      <sz val="11"/>
      <name val="Arial"/>
      <family val="2"/>
      <charset val="204"/>
    </font>
    <font>
      <u val="singleAccounting"/>
      <sz val="11"/>
      <name val="Arial"/>
      <family val="2"/>
    </font>
    <font>
      <sz val="11"/>
      <color indexed="8"/>
      <name val="Geo_Arial"/>
      <family val="2"/>
    </font>
    <font>
      <sz val="11"/>
      <name val="Arial"/>
      <family val="2"/>
    </font>
    <font>
      <sz val="11"/>
      <name val="AcadNusx"/>
    </font>
    <font>
      <sz val="11"/>
      <color rgb="FF000000"/>
      <name val="Calibri"/>
      <family val="2"/>
      <charset val="204"/>
    </font>
    <font>
      <b/>
      <sz val="12"/>
      <color theme="1"/>
      <name val="Calibri"/>
      <family val="2"/>
      <charset val="204"/>
      <scheme val="minor"/>
    </font>
    <font>
      <sz val="9"/>
      <color indexed="8"/>
      <name val="Geo_Arial"/>
      <family val="2"/>
    </font>
    <font>
      <b/>
      <sz val="12"/>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7" fontId="19" fillId="0" borderId="0" applyFont="0" applyFill="0" applyBorder="0" applyAlignment="0" applyProtection="0"/>
    <xf numFmtId="166" fontId="22" fillId="0" borderId="0" applyFont="0" applyFill="0" applyBorder="0" applyAlignment="0" applyProtection="0"/>
    <xf numFmtId="43" fontId="24"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8" fillId="0" borderId="0"/>
    <xf numFmtId="0" fontId="24" fillId="0" borderId="0"/>
    <xf numFmtId="0" fontId="18"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26" fillId="0" borderId="0"/>
    <xf numFmtId="0" fontId="30" fillId="0" borderId="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3" fillId="0" borderId="0" applyFont="0" applyFill="0" applyBorder="0" applyAlignment="0" applyProtection="0"/>
    <xf numFmtId="165"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8"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9" fontId="18" fillId="0" borderId="0" applyFont="0" applyFill="0" applyBorder="0" applyAlignment="0" applyProtection="0"/>
    <xf numFmtId="43" fontId="23" fillId="0" borderId="0" applyFont="0" applyFill="0" applyBorder="0" applyAlignment="0" applyProtection="0"/>
    <xf numFmtId="166" fontId="18" fillId="0" borderId="0" applyFont="0" applyFill="0" applyBorder="0" applyAlignment="0" applyProtection="0"/>
    <xf numFmtId="0" fontId="34" fillId="0" borderId="0"/>
    <xf numFmtId="166" fontId="34" fillId="0" borderId="0" applyFont="0" applyFill="0" applyBorder="0" applyAlignment="0" applyProtection="0"/>
    <xf numFmtId="9" fontId="34" fillId="0" borderId="0" applyFont="0" applyFill="0" applyBorder="0" applyAlignment="0" applyProtection="0"/>
    <xf numFmtId="0" fontId="34" fillId="0" borderId="0"/>
    <xf numFmtId="167" fontId="1" fillId="0" borderId="0" applyFont="0" applyFill="0" applyBorder="0" applyAlignment="0" applyProtection="0"/>
    <xf numFmtId="0" fontId="24" fillId="0" borderId="0"/>
    <xf numFmtId="0" fontId="22" fillId="0" borderId="0"/>
    <xf numFmtId="0" fontId="48" fillId="0" borderId="0"/>
  </cellStyleXfs>
  <cellXfs count="179">
    <xf numFmtId="0" fontId="0" fillId="0" borderId="0" xfId="0"/>
    <xf numFmtId="0" fontId="0" fillId="0" borderId="10" xfId="0" applyBorder="1"/>
    <xf numFmtId="14" fontId="0" fillId="0" borderId="0" xfId="0" applyNumberFormat="1"/>
    <xf numFmtId="0" fontId="25" fillId="0" borderId="10" xfId="0" applyFont="1" applyBorder="1" applyAlignment="1">
      <alignment horizontal="right"/>
    </xf>
    <xf numFmtId="0" fontId="25" fillId="0" borderId="0" xfId="0" applyFont="1"/>
    <xf numFmtId="0" fontId="25" fillId="0" borderId="10" xfId="0" applyFont="1" applyBorder="1"/>
    <xf numFmtId="169" fontId="23" fillId="25" borderId="10" xfId="28" applyNumberFormat="1" applyFont="1" applyFill="1" applyBorder="1"/>
    <xf numFmtId="169" fontId="20" fillId="25" borderId="10" xfId="28" applyNumberFormat="1" applyFont="1" applyFill="1" applyBorder="1" applyAlignment="1">
      <alignment horizontal="right" wrapText="1"/>
    </xf>
    <xf numFmtId="169" fontId="25" fillId="25" borderId="10" xfId="0" applyNumberFormat="1" applyFont="1" applyFill="1" applyBorder="1"/>
    <xf numFmtId="0" fontId="0" fillId="0" borderId="10" xfId="0" applyBorder="1" applyAlignment="1">
      <alignment horizontal="left" wrapText="1" indent="4"/>
    </xf>
    <xf numFmtId="164" fontId="27" fillId="0" borderId="12" xfId="47" applyNumberFormat="1" applyFont="1" applyFill="1" applyBorder="1" applyAlignment="1">
      <alignment horizontal="right"/>
    </xf>
    <xf numFmtId="3" fontId="29" fillId="24" borderId="0" xfId="0" applyNumberFormat="1" applyFont="1" applyFill="1"/>
    <xf numFmtId="0" fontId="29" fillId="0" borderId="0" xfId="0" applyFont="1"/>
    <xf numFmtId="0" fontId="28" fillId="0" borderId="10" xfId="0" applyFont="1" applyBorder="1" applyAlignment="1">
      <alignment horizontal="center"/>
    </xf>
    <xf numFmtId="0" fontId="28" fillId="0" borderId="10" xfId="0" applyFont="1" applyBorder="1"/>
    <xf numFmtId="0" fontId="33" fillId="0" borderId="0" xfId="0" applyFont="1"/>
    <xf numFmtId="0" fontId="0" fillId="26" borderId="0" xfId="0" applyFont="1" applyFill="1"/>
    <xf numFmtId="0" fontId="0" fillId="0" borderId="0" xfId="0" applyAlignment="1">
      <alignment horizontal="right"/>
    </xf>
    <xf numFmtId="0" fontId="0" fillId="0" borderId="24" xfId="0" applyBorder="1"/>
    <xf numFmtId="0" fontId="0" fillId="0" borderId="30" xfId="0" applyBorder="1"/>
    <xf numFmtId="0" fontId="0" fillId="0" borderId="13" xfId="0" applyBorder="1" applyAlignment="1">
      <alignment horizontal="center"/>
    </xf>
    <xf numFmtId="0" fontId="0" fillId="27" borderId="13" xfId="0" applyFill="1" applyBorder="1" applyAlignment="1">
      <alignment horizontal="center"/>
    </xf>
    <xf numFmtId="0" fontId="0" fillId="27" borderId="30" xfId="0" applyFill="1" applyBorder="1"/>
    <xf numFmtId="0" fontId="0" fillId="0" borderId="25" xfId="0" applyFill="1" applyBorder="1" applyAlignment="1"/>
    <xf numFmtId="0" fontId="0" fillId="25" borderId="25" xfId="0" applyFill="1" applyBorder="1" applyAlignment="1">
      <alignment horizontal="center" vertical="center"/>
    </xf>
    <xf numFmtId="0" fontId="0" fillId="0" borderId="25" xfId="0" applyFill="1" applyBorder="1" applyAlignment="1">
      <alignment horizontal="center" vertical="center"/>
    </xf>
    <xf numFmtId="0" fontId="0" fillId="0" borderId="22" xfId="0" applyFill="1" applyBorder="1" applyAlignment="1">
      <alignment horizontal="center" vertical="center"/>
    </xf>
    <xf numFmtId="0" fontId="0" fillId="0" borderId="17" xfId="0" applyFill="1" applyBorder="1" applyAlignment="1">
      <alignment horizontal="center" vertical="center"/>
    </xf>
    <xf numFmtId="0" fontId="0" fillId="27" borderId="31" xfId="0" applyFill="1" applyBorder="1"/>
    <xf numFmtId="0" fontId="0" fillId="25" borderId="10" xfId="0" applyFill="1" applyBorder="1" applyAlignment="1">
      <alignment horizontal="center"/>
    </xf>
    <xf numFmtId="0" fontId="0" fillId="0" borderId="10" xfId="0" applyFill="1" applyBorder="1" applyAlignment="1">
      <alignment horizontal="center"/>
    </xf>
    <xf numFmtId="0" fontId="0" fillId="0" borderId="19" xfId="0" applyFill="1" applyBorder="1" applyAlignment="1">
      <alignment horizontal="center"/>
    </xf>
    <xf numFmtId="0" fontId="0" fillId="27" borderId="32" xfId="0" applyFill="1" applyBorder="1"/>
    <xf numFmtId="0" fontId="0" fillId="0" borderId="23" xfId="0" applyFill="1" applyBorder="1" applyAlignment="1">
      <alignment horizontal="center"/>
    </xf>
    <xf numFmtId="0" fontId="0" fillId="0" borderId="33" xfId="0" applyFill="1" applyBorder="1" applyAlignment="1"/>
    <xf numFmtId="0" fontId="0" fillId="0" borderId="23" xfId="0" applyFill="1" applyBorder="1" applyAlignment="1"/>
    <xf numFmtId="0" fontId="0" fillId="0" borderId="21" xfId="0" applyFill="1" applyBorder="1" applyAlignment="1"/>
    <xf numFmtId="0" fontId="0" fillId="26" borderId="30" xfId="0" applyFill="1" applyBorder="1"/>
    <xf numFmtId="0" fontId="0" fillId="0" borderId="27" xfId="0" applyFill="1" applyBorder="1" applyAlignment="1"/>
    <xf numFmtId="0" fontId="0" fillId="0" borderId="27" xfId="0" applyFill="1" applyBorder="1" applyAlignment="1">
      <alignment horizontal="center"/>
    </xf>
    <xf numFmtId="0" fontId="0" fillId="0" borderId="22" xfId="0" applyFill="1" applyBorder="1" applyAlignment="1">
      <alignment horizontal="center"/>
    </xf>
    <xf numFmtId="0" fontId="0" fillId="0" borderId="17" xfId="0" applyFill="1" applyBorder="1" applyAlignment="1">
      <alignment horizontal="center"/>
    </xf>
    <xf numFmtId="0" fontId="0" fillId="26" borderId="31" xfId="0" applyFill="1" applyBorder="1"/>
    <xf numFmtId="0" fontId="0" fillId="26" borderId="32" xfId="0" applyFill="1" applyBorder="1"/>
    <xf numFmtId="0" fontId="0" fillId="0" borderId="21" xfId="0" applyFill="1" applyBorder="1" applyAlignment="1">
      <alignment horizontal="center"/>
    </xf>
    <xf numFmtId="0" fontId="0" fillId="0" borderId="34" xfId="0" applyBorder="1"/>
    <xf numFmtId="0" fontId="0" fillId="25" borderId="17" xfId="0" applyFill="1" applyBorder="1" applyAlignment="1">
      <alignment horizontal="center"/>
    </xf>
    <xf numFmtId="0" fontId="0" fillId="0" borderId="14" xfId="0" applyFill="1" applyBorder="1" applyAlignment="1">
      <alignment horizontal="right"/>
    </xf>
    <xf numFmtId="0" fontId="0" fillId="0" borderId="0" xfId="0" applyFill="1" applyBorder="1" applyAlignment="1">
      <alignment horizontal="right"/>
    </xf>
    <xf numFmtId="0" fontId="0" fillId="0" borderId="29" xfId="0" applyFill="1" applyBorder="1" applyAlignment="1">
      <alignment horizontal="center" vertical="center"/>
    </xf>
    <xf numFmtId="0" fontId="0" fillId="0" borderId="38" xfId="0" applyFill="1" applyBorder="1" applyAlignment="1">
      <alignment horizontal="center" vertical="center"/>
    </xf>
    <xf numFmtId="0" fontId="0" fillId="25" borderId="22" xfId="0" applyFill="1" applyBorder="1" applyAlignment="1">
      <alignment horizontal="center"/>
    </xf>
    <xf numFmtId="0" fontId="0" fillId="25" borderId="19" xfId="0" applyFill="1" applyBorder="1" applyAlignment="1">
      <alignment horizontal="center"/>
    </xf>
    <xf numFmtId="0" fontId="0" fillId="25" borderId="23" xfId="0" applyFill="1" applyBorder="1" applyAlignment="1">
      <alignment horizontal="center"/>
    </xf>
    <xf numFmtId="0" fontId="0" fillId="0" borderId="26" xfId="0" applyFill="1" applyBorder="1" applyAlignment="1">
      <alignment horizontal="center"/>
    </xf>
    <xf numFmtId="0" fontId="0" fillId="0" borderId="0" xfId="0" applyFill="1" applyBorder="1" applyAlignment="1"/>
    <xf numFmtId="0" fontId="0" fillId="0" borderId="20" xfId="0" applyFill="1" applyBorder="1" applyAlignment="1">
      <alignment horizontal="center"/>
    </xf>
    <xf numFmtId="0" fontId="16" fillId="0" borderId="0" xfId="0" applyFont="1"/>
    <xf numFmtId="0" fontId="0" fillId="26" borderId="0" xfId="0" applyFill="1"/>
    <xf numFmtId="171" fontId="29" fillId="0" borderId="10" xfId="0" applyNumberFormat="1" applyFont="1" applyBorder="1"/>
    <xf numFmtId="0" fontId="25" fillId="26" borderId="0" xfId="0" applyFont="1" applyFill="1"/>
    <xf numFmtId="0" fontId="25" fillId="26" borderId="0" xfId="0" applyFont="1" applyFill="1" applyAlignment="1">
      <alignment horizontal="center"/>
    </xf>
    <xf numFmtId="0" fontId="29" fillId="0" borderId="10" xfId="0" applyFont="1" applyBorder="1" applyAlignment="1">
      <alignment horizontal="center" vertical="center" wrapText="1"/>
    </xf>
    <xf numFmtId="0" fontId="38" fillId="0" borderId="10" xfId="0" applyFont="1" applyBorder="1"/>
    <xf numFmtId="3" fontId="28" fillId="24" borderId="10" xfId="0" applyNumberFormat="1" applyFont="1" applyFill="1" applyBorder="1"/>
    <xf numFmtId="4" fontId="28" fillId="24" borderId="10" xfId="0" applyNumberFormat="1" applyFont="1" applyFill="1" applyBorder="1"/>
    <xf numFmtId="4" fontId="28" fillId="24" borderId="15" xfId="0" applyNumberFormat="1" applyFont="1" applyFill="1" applyBorder="1"/>
    <xf numFmtId="164" fontId="27" fillId="26" borderId="10" xfId="47" applyNumberFormat="1" applyFont="1" applyFill="1" applyBorder="1" applyAlignment="1">
      <alignment horizontal="center" vertical="center" wrapText="1"/>
    </xf>
    <xf numFmtId="164" fontId="30" fillId="26" borderId="10" xfId="47" applyNumberFormat="1" applyFont="1" applyFill="1" applyBorder="1" applyAlignment="1">
      <alignment horizontal="left" vertical="center" wrapText="1"/>
    </xf>
    <xf numFmtId="168" fontId="18" fillId="26" borderId="10" xfId="58" applyNumberFormat="1" applyFont="1" applyFill="1" applyBorder="1"/>
    <xf numFmtId="171" fontId="22" fillId="0" borderId="10" xfId="58" applyNumberFormat="1" applyFont="1" applyBorder="1"/>
    <xf numFmtId="173" fontId="20" fillId="26" borderId="10" xfId="47" applyNumberFormat="1" applyFont="1" applyFill="1" applyBorder="1" applyAlignment="1">
      <alignment horizontal="left" vertical="center" wrapText="1"/>
    </xf>
    <xf numFmtId="164" fontId="20" fillId="26" borderId="10" xfId="47" applyNumberFormat="1" applyFont="1" applyFill="1" applyBorder="1" applyAlignment="1">
      <alignment horizontal="left" vertical="center" wrapText="1"/>
    </xf>
    <xf numFmtId="172" fontId="27" fillId="26" borderId="10" xfId="47" applyNumberFormat="1" applyFont="1" applyFill="1" applyBorder="1" applyAlignment="1">
      <alignment horizontal="left" vertical="center" wrapText="1"/>
    </xf>
    <xf numFmtId="164" fontId="27" fillId="26" borderId="10" xfId="47" applyNumberFormat="1" applyFont="1" applyFill="1" applyBorder="1" applyAlignment="1">
      <alignment horizontal="left" vertical="center" wrapText="1"/>
    </xf>
    <xf numFmtId="0" fontId="0" fillId="0" borderId="0" xfId="0" applyAlignment="1">
      <alignment horizontal="center"/>
    </xf>
    <xf numFmtId="169" fontId="0" fillId="0" borderId="0" xfId="0" applyNumberFormat="1"/>
    <xf numFmtId="0" fontId="0" fillId="26" borderId="0" xfId="0" applyFont="1" applyFill="1" applyAlignment="1">
      <alignment horizontal="right"/>
    </xf>
    <xf numFmtId="0" fontId="0" fillId="26" borderId="0" xfId="0" applyFont="1" applyFill="1" applyAlignment="1">
      <alignment horizontal="right"/>
    </xf>
    <xf numFmtId="171" fontId="0" fillId="26" borderId="0" xfId="0" applyNumberFormat="1" applyFont="1" applyFill="1"/>
    <xf numFmtId="164" fontId="31" fillId="26" borderId="10" xfId="47" applyNumberFormat="1" applyFont="1" applyFill="1" applyBorder="1" applyAlignment="1">
      <alignment horizontal="center" vertical="center" wrapText="1"/>
    </xf>
    <xf numFmtId="164" fontId="32" fillId="26" borderId="10" xfId="47" applyNumberFormat="1" applyFont="1" applyFill="1" applyBorder="1" applyAlignment="1">
      <alignment horizontal="left" vertical="center" wrapText="1"/>
    </xf>
    <xf numFmtId="164" fontId="31" fillId="26" borderId="10" xfId="47" applyNumberFormat="1" applyFont="1" applyFill="1" applyBorder="1" applyAlignment="1">
      <alignment horizontal="left" vertical="center" wrapText="1"/>
    </xf>
    <xf numFmtId="0" fontId="41" fillId="0" borderId="10" xfId="77" applyFont="1" applyBorder="1" applyAlignment="1">
      <alignment horizontal="center" vertical="center" wrapText="1"/>
    </xf>
    <xf numFmtId="0" fontId="40" fillId="26" borderId="10" xfId="0" applyFont="1" applyFill="1" applyBorder="1" applyAlignment="1">
      <alignment horizontal="center"/>
    </xf>
    <xf numFmtId="1" fontId="22" fillId="26" borderId="10" xfId="0" applyNumberFormat="1" applyFont="1" applyFill="1" applyBorder="1" applyAlignment="1">
      <alignment horizontal="center"/>
    </xf>
    <xf numFmtId="166" fontId="36" fillId="0" borderId="10" xfId="56" applyFont="1" applyBorder="1"/>
    <xf numFmtId="0" fontId="42" fillId="0" borderId="28" xfId="0" applyFont="1" applyBorder="1" applyAlignment="1"/>
    <xf numFmtId="0" fontId="42" fillId="0" borderId="0" xfId="0" applyFont="1" applyBorder="1" applyAlignment="1"/>
    <xf numFmtId="171" fontId="37" fillId="0" borderId="0" xfId="0" applyNumberFormat="1" applyFont="1" applyAlignment="1">
      <alignment horizontal="center"/>
    </xf>
    <xf numFmtId="166" fontId="37" fillId="0" borderId="0" xfId="0" applyNumberFormat="1" applyFont="1"/>
    <xf numFmtId="0" fontId="43" fillId="26" borderId="16" xfId="41" applyFont="1" applyFill="1" applyBorder="1"/>
    <xf numFmtId="170" fontId="44" fillId="26" borderId="17" xfId="41" applyNumberFormat="1" applyFont="1" applyFill="1" applyBorder="1" applyAlignment="1">
      <alignment horizontal="center"/>
    </xf>
    <xf numFmtId="0" fontId="23" fillId="26" borderId="0" xfId="0" applyFont="1" applyFill="1"/>
    <xf numFmtId="0" fontId="45" fillId="26" borderId="18" xfId="48" applyFont="1" applyFill="1" applyBorder="1" applyAlignment="1"/>
    <xf numFmtId="170" fontId="46" fillId="26" borderId="19" xfId="30" applyNumberFormat="1" applyFont="1" applyFill="1" applyBorder="1" applyAlignment="1">
      <alignment horizontal="center"/>
    </xf>
    <xf numFmtId="0" fontId="45" fillId="26" borderId="20" xfId="48" applyFont="1" applyFill="1" applyBorder="1" applyAlignment="1"/>
    <xf numFmtId="170" fontId="46" fillId="26" borderId="21" xfId="30" applyNumberFormat="1" applyFont="1" applyFill="1" applyBorder="1" applyAlignment="1">
      <alignment horizontal="center"/>
    </xf>
    <xf numFmtId="0" fontId="24" fillId="26" borderId="0" xfId="41" applyFont="1" applyFill="1"/>
    <xf numFmtId="166" fontId="29" fillId="26" borderId="0" xfId="41" applyNumberFormat="1" applyFont="1" applyFill="1"/>
    <xf numFmtId="169" fontId="28" fillId="26" borderId="10" xfId="28" applyNumberFormat="1" applyFont="1" applyFill="1" applyBorder="1" applyAlignment="1">
      <alignment vertical="center" wrapText="1"/>
    </xf>
    <xf numFmtId="169" fontId="29" fillId="26" borderId="10" xfId="28" applyNumberFormat="1" applyFont="1" applyFill="1" applyBorder="1" applyAlignment="1">
      <alignment vertical="center" wrapText="1"/>
    </xf>
    <xf numFmtId="164" fontId="35" fillId="26" borderId="10" xfId="47" applyNumberFormat="1" applyFont="1" applyFill="1" applyBorder="1" applyAlignment="1">
      <alignment horizontal="center" vertical="center" wrapText="1"/>
    </xf>
    <xf numFmtId="164" fontId="45" fillId="26" borderId="10" xfId="47" applyNumberFormat="1" applyFont="1" applyFill="1" applyBorder="1" applyAlignment="1">
      <alignment horizontal="left" vertical="center" wrapText="1"/>
    </xf>
    <xf numFmtId="164" fontId="35" fillId="26" borderId="10" xfId="47" applyNumberFormat="1" applyFont="1" applyFill="1" applyBorder="1" applyAlignment="1">
      <alignment horizontal="left" vertical="center" wrapText="1"/>
    </xf>
    <xf numFmtId="173" fontId="45" fillId="26" borderId="10" xfId="47" applyNumberFormat="1" applyFont="1" applyFill="1" applyBorder="1" applyAlignment="1">
      <alignment horizontal="left" vertical="center" wrapText="1"/>
    </xf>
    <xf numFmtId="0" fontId="23" fillId="26" borderId="0" xfId="0" applyFont="1" applyFill="1" applyAlignment="1">
      <alignment horizontal="right"/>
    </xf>
    <xf numFmtId="171" fontId="23" fillId="26" borderId="0" xfId="0" applyNumberFormat="1" applyFont="1" applyFill="1"/>
    <xf numFmtId="166" fontId="35" fillId="26" borderId="10" xfId="47" applyNumberFormat="1" applyFont="1" applyFill="1" applyBorder="1" applyAlignment="1">
      <alignment horizontal="left" vertical="center" wrapText="1"/>
    </xf>
    <xf numFmtId="0" fontId="29" fillId="0" borderId="10" xfId="0" applyFont="1" applyBorder="1"/>
    <xf numFmtId="3" fontId="0" fillId="0" borderId="10" xfId="0" applyNumberFormat="1" applyBorder="1"/>
    <xf numFmtId="0" fontId="0" fillId="0" borderId="10" xfId="0" applyFont="1" applyBorder="1"/>
    <xf numFmtId="0" fontId="47" fillId="0" borderId="10" xfId="0" applyFont="1" applyFill="1" applyBorder="1" applyAlignment="1">
      <alignment vertical="center" wrapText="1"/>
    </xf>
    <xf numFmtId="0" fontId="47" fillId="0" borderId="10" xfId="0" applyFont="1" applyFill="1" applyBorder="1" applyAlignment="1">
      <alignment horizontal="left" vertical="center"/>
    </xf>
    <xf numFmtId="0" fontId="0" fillId="0" borderId="10" xfId="0" applyBorder="1" applyAlignment="1">
      <alignment wrapText="1"/>
    </xf>
    <xf numFmtId="2" fontId="29" fillId="0" borderId="10" xfId="0" applyNumberFormat="1" applyFont="1" applyBorder="1" applyAlignment="1">
      <alignment horizontal="center" vertical="center" wrapText="1"/>
    </xf>
    <xf numFmtId="2" fontId="29" fillId="0" borderId="10" xfId="0" applyNumberFormat="1" applyFont="1" applyBorder="1" applyAlignment="1">
      <alignment horizontal="center" vertical="center"/>
    </xf>
    <xf numFmtId="2" fontId="0" fillId="0" borderId="0" xfId="0" applyNumberFormat="1" applyAlignment="1">
      <alignment horizontal="center" vertical="center"/>
    </xf>
    <xf numFmtId="1" fontId="29" fillId="0" borderId="10" xfId="0" applyNumberFormat="1" applyFont="1" applyBorder="1" applyAlignment="1">
      <alignment horizontal="center" vertical="center"/>
    </xf>
    <xf numFmtId="3" fontId="29" fillId="0" borderId="10" xfId="0" applyNumberFormat="1" applyFont="1" applyBorder="1"/>
    <xf numFmtId="171" fontId="25" fillId="0" borderId="10" xfId="0" applyNumberFormat="1" applyFont="1" applyBorder="1"/>
    <xf numFmtId="0" fontId="25" fillId="0" borderId="10" xfId="0" applyFont="1" applyBorder="1" applyAlignment="1">
      <alignment wrapText="1"/>
    </xf>
    <xf numFmtId="169" fontId="25" fillId="0" borderId="0" xfId="0" applyNumberFormat="1" applyFont="1"/>
    <xf numFmtId="169" fontId="28" fillId="0" borderId="10" xfId="75" applyNumberFormat="1" applyFont="1" applyBorder="1"/>
    <xf numFmtId="3" fontId="28" fillId="0" borderId="10" xfId="0" applyNumberFormat="1" applyFont="1" applyFill="1" applyBorder="1"/>
    <xf numFmtId="0" fontId="0" fillId="0" borderId="0" xfId="0" applyBorder="1" applyAlignment="1"/>
    <xf numFmtId="0" fontId="0" fillId="0" borderId="14" xfId="0" applyBorder="1" applyAlignment="1"/>
    <xf numFmtId="0" fontId="0" fillId="25" borderId="0" xfId="0" applyFill="1"/>
    <xf numFmtId="3" fontId="29" fillId="24" borderId="10" xfId="0" applyNumberFormat="1" applyFont="1" applyFill="1" applyBorder="1"/>
    <xf numFmtId="167" fontId="28" fillId="0" borderId="10" xfId="75" applyFont="1" applyBorder="1"/>
    <xf numFmtId="3" fontId="28" fillId="24" borderId="15" xfId="0" applyNumberFormat="1" applyFont="1" applyFill="1" applyBorder="1"/>
    <xf numFmtId="3" fontId="28" fillId="25" borderId="10" xfId="0" applyNumberFormat="1" applyFont="1" applyFill="1" applyBorder="1"/>
    <xf numFmtId="166" fontId="27" fillId="26" borderId="10" xfId="47" applyNumberFormat="1" applyFont="1" applyFill="1" applyBorder="1" applyAlignment="1">
      <alignment horizontal="left" vertical="center" wrapText="1"/>
    </xf>
    <xf numFmtId="0" fontId="29" fillId="26" borderId="0" xfId="0" applyFont="1" applyFill="1"/>
    <xf numFmtId="164" fontId="27" fillId="25" borderId="10" xfId="47" applyNumberFormat="1" applyFont="1" applyFill="1" applyBorder="1" applyAlignment="1">
      <alignment horizontal="left" vertical="center" wrapText="1"/>
    </xf>
    <xf numFmtId="0" fontId="29" fillId="26" borderId="10" xfId="0" applyFont="1" applyFill="1" applyBorder="1" applyAlignment="1"/>
    <xf numFmtId="0" fontId="29" fillId="26" borderId="10" xfId="0" applyFont="1" applyFill="1" applyBorder="1" applyAlignment="1">
      <alignment horizontal="left"/>
    </xf>
    <xf numFmtId="171" fontId="23" fillId="26" borderId="10" xfId="0" applyNumberFormat="1" applyFont="1" applyFill="1" applyBorder="1"/>
    <xf numFmtId="171" fontId="29" fillId="26" borderId="10" xfId="0" applyNumberFormat="1" applyFont="1" applyFill="1" applyBorder="1"/>
    <xf numFmtId="0" fontId="49" fillId="26" borderId="0" xfId="0" applyFont="1" applyFill="1"/>
    <xf numFmtId="166" fontId="49" fillId="26" borderId="0" xfId="0" applyNumberFormat="1" applyFont="1" applyFill="1"/>
    <xf numFmtId="164" fontId="50" fillId="26" borderId="10" xfId="47" applyNumberFormat="1" applyFont="1" applyFill="1" applyBorder="1" applyAlignment="1">
      <alignment horizontal="left" vertical="center" wrapText="1"/>
    </xf>
    <xf numFmtId="164" fontId="32" fillId="26" borderId="0" xfId="47" applyNumberFormat="1" applyFont="1" applyFill="1" applyBorder="1" applyAlignment="1">
      <alignment horizontal="left" vertical="center" wrapText="1"/>
    </xf>
    <xf numFmtId="164" fontId="31" fillId="26" borderId="0" xfId="47" applyNumberFormat="1" applyFont="1" applyFill="1" applyBorder="1" applyAlignment="1">
      <alignment horizontal="left" vertical="center" wrapText="1"/>
    </xf>
    <xf numFmtId="164" fontId="27" fillId="26" borderId="0" xfId="47" applyNumberFormat="1" applyFont="1" applyFill="1" applyBorder="1" applyAlignment="1">
      <alignment horizontal="left" vertical="center" wrapText="1"/>
    </xf>
    <xf numFmtId="164" fontId="25" fillId="26" borderId="10" xfId="0" applyNumberFormat="1" applyFont="1" applyFill="1" applyBorder="1" applyAlignment="1">
      <alignment horizontal="center"/>
    </xf>
    <xf numFmtId="166" fontId="0" fillId="26" borderId="10" xfId="0" applyNumberFormat="1" applyFont="1" applyFill="1" applyBorder="1"/>
    <xf numFmtId="174" fontId="31" fillId="26" borderId="10" xfId="47" applyNumberFormat="1" applyFont="1" applyFill="1" applyBorder="1" applyAlignment="1">
      <alignment horizontal="center" vertical="center" wrapText="1"/>
    </xf>
    <xf numFmtId="166" fontId="51" fillId="0" borderId="0" xfId="0" applyNumberFormat="1" applyFont="1"/>
    <xf numFmtId="0" fontId="43" fillId="26" borderId="10" xfId="41" applyFont="1" applyFill="1" applyBorder="1"/>
    <xf numFmtId="170" fontId="44" fillId="26" borderId="10" xfId="41" applyNumberFormat="1" applyFont="1" applyFill="1" applyBorder="1" applyAlignment="1">
      <alignment horizontal="center"/>
    </xf>
    <xf numFmtId="0" fontId="45" fillId="26" borderId="10" xfId="48" applyFont="1" applyFill="1" applyBorder="1" applyAlignment="1"/>
    <xf numFmtId="170" fontId="46" fillId="26" borderId="10" xfId="30" applyNumberFormat="1" applyFont="1" applyFill="1" applyBorder="1" applyAlignment="1">
      <alignment horizontal="center"/>
    </xf>
    <xf numFmtId="0" fontId="23" fillId="26" borderId="10" xfId="0" applyFont="1" applyFill="1" applyBorder="1"/>
    <xf numFmtId="0" fontId="24" fillId="26" borderId="10" xfId="41" applyFont="1" applyFill="1" applyBorder="1"/>
    <xf numFmtId="166" fontId="29" fillId="26" borderId="10" xfId="41" applyNumberFormat="1" applyFont="1" applyFill="1" applyBorder="1"/>
    <xf numFmtId="9" fontId="28" fillId="0" borderId="10" xfId="0" applyNumberFormat="1" applyFont="1" applyBorder="1"/>
    <xf numFmtId="0" fontId="0" fillId="0" borderId="0" xfId="0" applyBorder="1"/>
    <xf numFmtId="0" fontId="25" fillId="0" borderId="0" xfId="0" applyFont="1" applyBorder="1" applyAlignment="1">
      <alignment wrapText="1"/>
    </xf>
    <xf numFmtId="0" fontId="0" fillId="0" borderId="0" xfId="0" applyBorder="1" applyAlignment="1">
      <alignment vertical="center" wrapText="1"/>
    </xf>
    <xf numFmtId="0" fontId="49" fillId="0" borderId="10" xfId="0" applyFont="1" applyBorder="1" applyAlignment="1">
      <alignment wrapText="1"/>
    </xf>
    <xf numFmtId="3" fontId="49" fillId="0" borderId="10" xfId="0" applyNumberFormat="1" applyFont="1" applyBorder="1"/>
    <xf numFmtId="0" fontId="49" fillId="0" borderId="0" xfId="0" applyFont="1"/>
    <xf numFmtId="0" fontId="29" fillId="0" borderId="10" xfId="0" applyFont="1" applyFill="1" applyBorder="1"/>
    <xf numFmtId="0" fontId="0" fillId="26" borderId="0" xfId="0" applyFill="1" applyAlignment="1">
      <alignment horizontal="center"/>
    </xf>
    <xf numFmtId="0" fontId="0" fillId="0" borderId="15" xfId="0" applyBorder="1" applyAlignment="1">
      <alignment vertical="center" wrapText="1"/>
    </xf>
    <xf numFmtId="0" fontId="0" fillId="0" borderId="40" xfId="0" applyBorder="1" applyAlignment="1">
      <alignment vertical="center" wrapText="1"/>
    </xf>
    <xf numFmtId="0" fontId="0" fillId="0" borderId="39" xfId="0" applyBorder="1" applyAlignment="1">
      <alignment vertical="center" wrapText="1"/>
    </xf>
    <xf numFmtId="0" fontId="35" fillId="26" borderId="0" xfId="48" applyFont="1" applyFill="1" applyBorder="1" applyAlignment="1">
      <alignment horizontal="center" vertical="center" wrapText="1"/>
    </xf>
    <xf numFmtId="0" fontId="0" fillId="26" borderId="0" xfId="0" applyFont="1" applyFill="1" applyAlignment="1">
      <alignment horizontal="right"/>
    </xf>
    <xf numFmtId="0" fontId="40" fillId="26" borderId="26" xfId="0" applyFont="1" applyFill="1" applyBorder="1" applyAlignment="1">
      <alignment horizontal="left" vertical="center" wrapText="1"/>
    </xf>
    <xf numFmtId="0" fontId="40" fillId="26" borderId="27" xfId="0" applyFont="1" applyFill="1" applyBorder="1" applyAlignment="1">
      <alignment horizontal="left" vertical="center" wrapText="1"/>
    </xf>
    <xf numFmtId="0" fontId="39" fillId="0" borderId="0" xfId="0" applyFont="1" applyBorder="1" applyAlignment="1">
      <alignment horizontal="center" vertical="center" wrapText="1"/>
    </xf>
    <xf numFmtId="0" fontId="39" fillId="0" borderId="11" xfId="0" applyFont="1" applyBorder="1" applyAlignment="1">
      <alignment horizontal="center" vertical="center" wrapText="1"/>
    </xf>
    <xf numFmtId="0" fontId="0" fillId="27" borderId="35" xfId="0" applyFill="1" applyBorder="1" applyAlignment="1">
      <alignment horizontal="left" vertical="center"/>
    </xf>
    <xf numFmtId="0" fontId="0" fillId="27" borderId="36" xfId="0" applyFill="1" applyBorder="1" applyAlignment="1">
      <alignment horizontal="left" vertical="center"/>
    </xf>
    <xf numFmtId="0" fontId="0" fillId="27" borderId="37" xfId="0" applyFill="1" applyBorder="1" applyAlignment="1">
      <alignment horizontal="left" vertical="center"/>
    </xf>
    <xf numFmtId="0" fontId="0" fillId="26" borderId="31" xfId="0" applyFill="1" applyBorder="1" applyAlignment="1">
      <alignment horizontal="center"/>
    </xf>
    <xf numFmtId="0" fontId="0" fillId="26" borderId="32" xfId="0" applyFill="1" applyBorder="1" applyAlignment="1">
      <alignment horizontal="center"/>
    </xf>
  </cellXfs>
  <cellStyles count="7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70"/>
    <cellStyle name="Comma 11" xfId="72"/>
    <cellStyle name="Comma 12" xfId="75"/>
    <cellStyle name="Comma 2" xfId="29"/>
    <cellStyle name="Comma 3" xfId="49"/>
    <cellStyle name="Comma 3 2" xfId="50"/>
    <cellStyle name="Comma 4" xfId="51"/>
    <cellStyle name="Comma 4 2" xfId="52"/>
    <cellStyle name="Comma 5" xfId="53"/>
    <cellStyle name="Comma 5 2" xfId="54"/>
    <cellStyle name="Comma 6" xfId="55"/>
    <cellStyle name="Comma 7" xfId="56"/>
    <cellStyle name="Comma 8" xfId="30"/>
    <cellStyle name="Comma 9" xfId="69"/>
    <cellStyle name="Currency 2" xfId="57"/>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2" xfId="40"/>
    <cellStyle name="Normal 2 2" xfId="58"/>
    <cellStyle name="Normal 2 2 2" xfId="59"/>
    <cellStyle name="Normal 2 3" xfId="60"/>
    <cellStyle name="Normal 2 4" xfId="76"/>
    <cellStyle name="Normal 2 5" xfId="78"/>
    <cellStyle name="Normal 2_sashtato 2009" xfId="61"/>
    <cellStyle name="Normal 3" xfId="62"/>
    <cellStyle name="Normal 3 2" xfId="63"/>
    <cellStyle name="Normal 4" xfId="64"/>
    <cellStyle name="Normal 5" xfId="65"/>
    <cellStyle name="Normal 6" xfId="41"/>
    <cellStyle name="Normal 7" xfId="71"/>
    <cellStyle name="Normal 8" xfId="74"/>
    <cellStyle name="Normal_01_IANVARI" xfId="47"/>
    <cellStyle name="Normal_samushao_rai_money" xfId="48"/>
    <cellStyle name="Normal_Sheet3" xfId="77"/>
    <cellStyle name="Note 2" xfId="42"/>
    <cellStyle name="Output 2" xfId="43"/>
    <cellStyle name="Percent 2" xfId="66"/>
    <cellStyle name="Percent 2 2" xfId="67"/>
    <cellStyle name="Percent 3" xfId="68"/>
    <cellStyle name="Percent 4" xfId="73"/>
    <cellStyle name="Title 2" xfId="44"/>
    <cellStyle name="Total 2" xfId="45"/>
    <cellStyle name="Warning Text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sktop\2012%20wlis%20biujeti\2012%20&#4332;&#4314;&#4312;&#4321;%20&#4321;&#4317;&#4330;&#4312;&#4304;&#4314;&#4323;&#4320;&#4312;%20&#4318;&#4320;&#4317;&#4306;&#4320;&#4304;&#4315;&#4308;&#4305;&#4312;&#4321;%20&#4305;&#4312;&#4323;&#4335;&#4308;&#4322;&#431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A3:F20"/>
  <sheetViews>
    <sheetView tabSelected="1" workbookViewId="0">
      <selection activeCell="H14" sqref="H14"/>
    </sheetView>
  </sheetViews>
  <sheetFormatPr defaultRowHeight="15"/>
  <cols>
    <col min="1" max="1" width="11.42578125" customWidth="1"/>
    <col min="2" max="2" width="53.85546875" customWidth="1"/>
    <col min="3" max="3" width="16.140625" customWidth="1"/>
    <col min="4" max="4" width="15.28515625" customWidth="1"/>
    <col min="5" max="5" width="14.140625" customWidth="1"/>
    <col min="6" max="6" width="15.140625" customWidth="1"/>
  </cols>
  <sheetData>
    <row r="3" spans="1:6" s="117" customFormat="1" ht="45">
      <c r="A3" s="115" t="s">
        <v>93</v>
      </c>
      <c r="B3" s="116" t="s">
        <v>91</v>
      </c>
      <c r="C3" s="118">
        <v>2016</v>
      </c>
      <c r="D3" s="118">
        <v>2017</v>
      </c>
      <c r="E3" s="118">
        <v>2018</v>
      </c>
      <c r="F3" s="118">
        <v>2019</v>
      </c>
    </row>
    <row r="4" spans="1:6" s="162" customFormat="1" ht="31.5">
      <c r="A4" s="160" t="s">
        <v>16</v>
      </c>
      <c r="B4" s="160" t="s">
        <v>94</v>
      </c>
      <c r="C4" s="161">
        <f>C5+C9+C20</f>
        <v>2201166519</v>
      </c>
      <c r="D4" s="161">
        <f t="shared" ref="D4:F4" si="0">D5+D9+D20</f>
        <v>2241842531.1999998</v>
      </c>
      <c r="E4" s="161">
        <f t="shared" si="0"/>
        <v>2285221401.5999999</v>
      </c>
      <c r="F4" s="161">
        <f t="shared" si="0"/>
        <v>2329804646.4000001</v>
      </c>
    </row>
    <row r="5" spans="1:6" s="12" customFormat="1">
      <c r="A5" s="109" t="s">
        <v>17</v>
      </c>
      <c r="B5" s="109" t="s">
        <v>18</v>
      </c>
      <c r="C5" s="119">
        <f>C6+C8</f>
        <v>1508362922</v>
      </c>
      <c r="D5" s="119">
        <f t="shared" ref="D5:F5" si="1">D6+D8</f>
        <v>1542875805.2</v>
      </c>
      <c r="E5" s="119">
        <f t="shared" si="1"/>
        <v>1580174675.5999999</v>
      </c>
      <c r="F5" s="119">
        <f t="shared" si="1"/>
        <v>1623677920.4000001</v>
      </c>
    </row>
    <row r="6" spans="1:6" s="12" customFormat="1">
      <c r="A6" s="109"/>
      <c r="B6" s="156" t="s">
        <v>124</v>
      </c>
      <c r="C6" s="119">
        <f>C7+(C7*2)/100</f>
        <v>1405320912</v>
      </c>
      <c r="D6" s="119">
        <f t="shared" ref="D6:F6" si="2">D7+(D7*2)/100</f>
        <v>1439833795.2</v>
      </c>
      <c r="E6" s="119">
        <f t="shared" si="2"/>
        <v>1477132665.5999999</v>
      </c>
      <c r="F6" s="119">
        <f t="shared" si="2"/>
        <v>1520635910.4000001</v>
      </c>
    </row>
    <row r="7" spans="1:6">
      <c r="A7" s="1"/>
      <c r="B7" s="1" t="s">
        <v>92</v>
      </c>
      <c r="C7" s="110">
        <v>1377765600</v>
      </c>
      <c r="D7" s="110">
        <v>1411601760</v>
      </c>
      <c r="E7" s="110">
        <v>1448169280</v>
      </c>
      <c r="F7" s="110">
        <v>1490819520</v>
      </c>
    </row>
    <row r="8" spans="1:6">
      <c r="A8" s="1"/>
      <c r="B8" s="1" t="s">
        <v>123</v>
      </c>
      <c r="C8" s="110">
        <v>103042010</v>
      </c>
      <c r="D8" s="110">
        <v>103042010</v>
      </c>
      <c r="E8" s="110">
        <v>103042010</v>
      </c>
      <c r="F8" s="110">
        <v>103042010</v>
      </c>
    </row>
    <row r="9" spans="1:6" s="12" customFormat="1">
      <c r="A9" s="109" t="s">
        <v>19</v>
      </c>
      <c r="B9" s="109" t="s">
        <v>20</v>
      </c>
      <c r="C9" s="119">
        <f>SUM(C10:C19)</f>
        <v>657803597</v>
      </c>
      <c r="D9" s="119">
        <f t="shared" ref="D9:F9" si="3">SUM(D10:D19)</f>
        <v>658966726</v>
      </c>
      <c r="E9" s="119">
        <f t="shared" si="3"/>
        <v>660046726</v>
      </c>
      <c r="F9" s="119">
        <f t="shared" si="3"/>
        <v>661126726</v>
      </c>
    </row>
    <row r="10" spans="1:6">
      <c r="A10" s="1"/>
      <c r="B10" s="111" t="s">
        <v>47</v>
      </c>
      <c r="C10" s="110">
        <v>209165064</v>
      </c>
      <c r="D10" s="110">
        <v>209165064</v>
      </c>
      <c r="E10" s="110">
        <v>209165064</v>
      </c>
      <c r="F10" s="110">
        <v>209165064</v>
      </c>
    </row>
    <row r="11" spans="1:6" ht="15.75">
      <c r="A11" s="1"/>
      <c r="B11" s="112" t="s">
        <v>0</v>
      </c>
      <c r="C11" s="110">
        <v>6924000</v>
      </c>
      <c r="D11" s="110">
        <v>6924000</v>
      </c>
      <c r="E11" s="110">
        <v>6924000</v>
      </c>
      <c r="F11" s="110">
        <v>6924000</v>
      </c>
    </row>
    <row r="12" spans="1:6" ht="15.75">
      <c r="A12" s="1"/>
      <c r="B12" s="113" t="s">
        <v>95</v>
      </c>
      <c r="C12" s="110">
        <v>2400000</v>
      </c>
      <c r="D12" s="110">
        <v>2400000</v>
      </c>
      <c r="E12" s="110">
        <v>2400000</v>
      </c>
      <c r="F12" s="110">
        <v>2400000</v>
      </c>
    </row>
    <row r="13" spans="1:6" ht="47.25">
      <c r="A13" s="1"/>
      <c r="B13" s="112" t="s">
        <v>96</v>
      </c>
      <c r="C13" s="110">
        <v>14040000</v>
      </c>
      <c r="D13" s="110">
        <v>14040000</v>
      </c>
      <c r="E13" s="110">
        <v>14040000</v>
      </c>
      <c r="F13" s="110">
        <v>14040000</v>
      </c>
    </row>
    <row r="14" spans="1:6">
      <c r="A14" s="1"/>
      <c r="B14" s="1" t="s">
        <v>97</v>
      </c>
      <c r="C14" s="110">
        <v>300000000</v>
      </c>
      <c r="D14" s="110">
        <v>300000000</v>
      </c>
      <c r="E14" s="110">
        <v>300000000</v>
      </c>
      <c r="F14" s="110">
        <v>300000000</v>
      </c>
    </row>
    <row r="15" spans="1:6">
      <c r="A15" s="1"/>
      <c r="B15" s="1" t="s">
        <v>98</v>
      </c>
      <c r="C15" s="110">
        <v>120397900</v>
      </c>
      <c r="D15" s="110">
        <v>121477860</v>
      </c>
      <c r="E15" s="110">
        <v>122557860</v>
      </c>
      <c r="F15" s="110">
        <v>123637860</v>
      </c>
    </row>
    <row r="16" spans="1:6">
      <c r="A16" s="1"/>
      <c r="B16" s="1" t="s">
        <v>99</v>
      </c>
      <c r="C16" s="110">
        <v>2783550</v>
      </c>
      <c r="D16" s="110">
        <v>2783550</v>
      </c>
      <c r="E16" s="110">
        <v>2783550</v>
      </c>
      <c r="F16" s="110">
        <v>2783550</v>
      </c>
    </row>
    <row r="17" spans="1:6">
      <c r="A17" s="1"/>
      <c r="B17" s="1" t="s">
        <v>25</v>
      </c>
      <c r="C17" s="110">
        <v>632083</v>
      </c>
      <c r="D17" s="110">
        <v>715252</v>
      </c>
      <c r="E17" s="110">
        <v>715252</v>
      </c>
      <c r="F17" s="110">
        <v>715252</v>
      </c>
    </row>
    <row r="18" spans="1:6">
      <c r="A18" s="1"/>
      <c r="B18" s="1" t="s">
        <v>73</v>
      </c>
      <c r="C18" s="100">
        <v>1311000</v>
      </c>
      <c r="D18" s="100">
        <v>1311000</v>
      </c>
      <c r="E18" s="100">
        <v>1311000</v>
      </c>
      <c r="F18" s="100">
        <v>1311000</v>
      </c>
    </row>
    <row r="19" spans="1:6" ht="30">
      <c r="A19" s="1"/>
      <c r="B19" s="114" t="s">
        <v>100</v>
      </c>
      <c r="C19" s="100">
        <v>150000</v>
      </c>
      <c r="D19" s="100">
        <v>150000</v>
      </c>
      <c r="E19" s="100">
        <v>150000</v>
      </c>
      <c r="F19" s="100">
        <v>150000</v>
      </c>
    </row>
    <row r="20" spans="1:6">
      <c r="A20" s="109" t="s">
        <v>21</v>
      </c>
      <c r="B20" s="163" t="s">
        <v>22</v>
      </c>
      <c r="C20" s="101">
        <v>35000000</v>
      </c>
      <c r="D20" s="101">
        <v>40000000</v>
      </c>
      <c r="E20" s="101">
        <v>45000000</v>
      </c>
      <c r="F20" s="101">
        <v>45000000</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tabColor rgb="FF00B050"/>
  </sheetPr>
  <dimension ref="A1:G16"/>
  <sheetViews>
    <sheetView workbookViewId="0">
      <selection activeCell="D20" sqref="D20"/>
    </sheetView>
  </sheetViews>
  <sheetFormatPr defaultRowHeight="15"/>
  <cols>
    <col min="1" max="1" width="35" bestFit="1" customWidth="1"/>
    <col min="2" max="2" width="21.7109375" bestFit="1" customWidth="1"/>
    <col min="3" max="4" width="9" bestFit="1" customWidth="1"/>
    <col min="5" max="5" width="11" bestFit="1" customWidth="1"/>
    <col min="6" max="6" width="14.5703125" bestFit="1" customWidth="1"/>
  </cols>
  <sheetData>
    <row r="1" spans="1:7" ht="16.5" customHeight="1">
      <c r="A1" s="172" t="s">
        <v>74</v>
      </c>
      <c r="B1" s="172"/>
      <c r="C1" s="172"/>
      <c r="D1" s="172"/>
      <c r="E1" s="172"/>
      <c r="F1" s="172"/>
    </row>
    <row r="2" spans="1:7">
      <c r="A2" s="173"/>
      <c r="B2" s="173"/>
      <c r="C2" s="173"/>
      <c r="D2" s="173"/>
      <c r="E2" s="173"/>
      <c r="F2" s="173"/>
    </row>
    <row r="3" spans="1:7" ht="135">
      <c r="A3" s="83" t="s">
        <v>75</v>
      </c>
      <c r="B3" s="83" t="s">
        <v>76</v>
      </c>
      <c r="C3" s="83" t="s">
        <v>77</v>
      </c>
      <c r="D3" s="83" t="s">
        <v>78</v>
      </c>
      <c r="E3" s="83" t="s">
        <v>79</v>
      </c>
      <c r="F3" s="83" t="s">
        <v>80</v>
      </c>
    </row>
    <row r="4" spans="1:7">
      <c r="A4" s="170" t="s">
        <v>81</v>
      </c>
      <c r="B4" s="84" t="s">
        <v>82</v>
      </c>
      <c r="C4" s="85">
        <v>18</v>
      </c>
      <c r="D4" s="85">
        <v>200</v>
      </c>
      <c r="E4" s="86">
        <f>(C4/12*6+C4/12*5+C4/12*4+C4/12*3+C4/12*2+C4/12)*D4</f>
        <v>6300</v>
      </c>
      <c r="F4" s="86">
        <f>(C4/12*11+C4/12*10+C4/12*9+C4/12*8+C4/12*7+C4/12*6+C4/12*5+C4/12*4+C4/12*3+C4/12*2+C4/12)*D4</f>
        <v>19800</v>
      </c>
    </row>
    <row r="5" spans="1:7">
      <c r="A5" s="171"/>
      <c r="B5" s="84" t="s">
        <v>83</v>
      </c>
      <c r="C5" s="85">
        <v>237</v>
      </c>
      <c r="D5" s="85">
        <v>150</v>
      </c>
      <c r="E5" s="86">
        <f t="shared" ref="E5:E15" si="0">(C5/12*6+C5/12*5+C5/12*4+C5/12*3+C5/12*2+C5/12)*D5</f>
        <v>62212.5</v>
      </c>
      <c r="F5" s="86">
        <f t="shared" ref="F5:F15" si="1">(C5/12*11+C5/12*10+C5/12*9+C5/12*8+C5/12*7+C5/12*6+C5/12*5+C5/12*4+C5/12*3+C5/12*2+C5/12)*D5</f>
        <v>195525</v>
      </c>
    </row>
    <row r="6" spans="1:7">
      <c r="A6" s="170" t="s">
        <v>84</v>
      </c>
      <c r="B6" s="84" t="s">
        <v>82</v>
      </c>
      <c r="C6" s="85">
        <v>190</v>
      </c>
      <c r="D6" s="85">
        <v>200</v>
      </c>
      <c r="E6" s="86">
        <f t="shared" si="0"/>
        <v>66500</v>
      </c>
      <c r="F6" s="86">
        <f t="shared" si="1"/>
        <v>209000</v>
      </c>
    </row>
    <row r="7" spans="1:7">
      <c r="A7" s="171"/>
      <c r="B7" s="84" t="s">
        <v>83</v>
      </c>
      <c r="C7" s="85">
        <v>1047</v>
      </c>
      <c r="D7" s="85">
        <v>150</v>
      </c>
      <c r="E7" s="86">
        <f t="shared" si="0"/>
        <v>274837.5</v>
      </c>
      <c r="F7" s="86">
        <f t="shared" si="1"/>
        <v>863775</v>
      </c>
    </row>
    <row r="8" spans="1:7">
      <c r="A8" s="170" t="s">
        <v>85</v>
      </c>
      <c r="B8" s="84" t="s">
        <v>82</v>
      </c>
      <c r="C8" s="85">
        <v>15</v>
      </c>
      <c r="D8" s="85">
        <v>200</v>
      </c>
      <c r="E8" s="86">
        <f t="shared" si="0"/>
        <v>5250</v>
      </c>
      <c r="F8" s="86">
        <f t="shared" si="1"/>
        <v>16500</v>
      </c>
    </row>
    <row r="9" spans="1:7">
      <c r="A9" s="171"/>
      <c r="B9" s="84" t="s">
        <v>83</v>
      </c>
      <c r="C9" s="85">
        <v>842</v>
      </c>
      <c r="D9" s="85">
        <v>150</v>
      </c>
      <c r="E9" s="86">
        <f t="shared" si="0"/>
        <v>221025</v>
      </c>
      <c r="F9" s="86">
        <f t="shared" si="1"/>
        <v>694650</v>
      </c>
    </row>
    <row r="10" spans="1:7">
      <c r="A10" s="170" t="s">
        <v>86</v>
      </c>
      <c r="B10" s="84" t="s">
        <v>82</v>
      </c>
      <c r="C10" s="85">
        <v>70</v>
      </c>
      <c r="D10" s="85">
        <v>200</v>
      </c>
      <c r="E10" s="86">
        <f t="shared" si="0"/>
        <v>24499.999999999996</v>
      </c>
      <c r="F10" s="86">
        <f t="shared" si="1"/>
        <v>77000</v>
      </c>
    </row>
    <row r="11" spans="1:7">
      <c r="A11" s="171"/>
      <c r="B11" s="84" t="s">
        <v>83</v>
      </c>
      <c r="C11" s="85">
        <v>159</v>
      </c>
      <c r="D11" s="85">
        <v>150</v>
      </c>
      <c r="E11" s="86">
        <f t="shared" si="0"/>
        <v>41737.5</v>
      </c>
      <c r="F11" s="86">
        <f t="shared" si="1"/>
        <v>131175</v>
      </c>
    </row>
    <row r="12" spans="1:7">
      <c r="A12" s="170" t="s">
        <v>87</v>
      </c>
      <c r="B12" s="84" t="s">
        <v>82</v>
      </c>
      <c r="C12" s="85">
        <v>58</v>
      </c>
      <c r="D12" s="85">
        <v>200</v>
      </c>
      <c r="E12" s="86">
        <f t="shared" si="0"/>
        <v>20300</v>
      </c>
      <c r="F12" s="86">
        <f t="shared" si="1"/>
        <v>63800</v>
      </c>
    </row>
    <row r="13" spans="1:7">
      <c r="A13" s="171"/>
      <c r="B13" s="84" t="s">
        <v>83</v>
      </c>
      <c r="C13" s="85">
        <v>0</v>
      </c>
      <c r="D13" s="85">
        <v>150</v>
      </c>
      <c r="E13" s="86">
        <f t="shared" si="0"/>
        <v>0</v>
      </c>
      <c r="F13" s="86">
        <f t="shared" si="1"/>
        <v>0</v>
      </c>
    </row>
    <row r="14" spans="1:7">
      <c r="A14" s="170" t="s">
        <v>88</v>
      </c>
      <c r="B14" s="84" t="s">
        <v>82</v>
      </c>
      <c r="C14" s="85">
        <v>21</v>
      </c>
      <c r="D14" s="85">
        <v>200</v>
      </c>
      <c r="E14" s="86">
        <f>(C14/12*6+C14/12*5+C14/12*4+C14/12*3+C14/12*2+C14/12)*D14</f>
        <v>7350</v>
      </c>
      <c r="F14" s="86">
        <f t="shared" si="1"/>
        <v>23100</v>
      </c>
    </row>
    <row r="15" spans="1:7">
      <c r="A15" s="171"/>
      <c r="B15" s="84" t="s">
        <v>83</v>
      </c>
      <c r="C15" s="85">
        <v>593</v>
      </c>
      <c r="D15" s="85">
        <v>150</v>
      </c>
      <c r="E15" s="86">
        <f t="shared" si="0"/>
        <v>155662.5</v>
      </c>
      <c r="F15" s="86">
        <f t="shared" si="1"/>
        <v>489225</v>
      </c>
    </row>
    <row r="16" spans="1:7" ht="15.75">
      <c r="A16" s="87" t="s">
        <v>89</v>
      </c>
      <c r="B16" s="88"/>
      <c r="C16" s="89">
        <f t="shared" ref="C16:E16" si="2">SUM(C4:C15)</f>
        <v>3250</v>
      </c>
      <c r="D16" s="90"/>
      <c r="E16" s="90">
        <f t="shared" si="2"/>
        <v>885675</v>
      </c>
      <c r="F16" s="148">
        <f>SUM(F4:F15)</f>
        <v>2783550</v>
      </c>
      <c r="G16" t="s">
        <v>119</v>
      </c>
    </row>
  </sheetData>
  <mergeCells count="7">
    <mergeCell ref="A14:A15"/>
    <mergeCell ref="A1:F2"/>
    <mergeCell ref="A4:A5"/>
    <mergeCell ref="A6:A7"/>
    <mergeCell ref="A8:A9"/>
    <mergeCell ref="A10:A11"/>
    <mergeCell ref="A12:A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00B050"/>
  </sheetPr>
  <dimension ref="A1:C13"/>
  <sheetViews>
    <sheetView workbookViewId="0">
      <selection activeCell="C20" sqref="C20"/>
    </sheetView>
  </sheetViews>
  <sheetFormatPr defaultRowHeight="15"/>
  <cols>
    <col min="1" max="1" width="41.28515625" bestFit="1" customWidth="1"/>
    <col min="2" max="2" width="13.28515625" bestFit="1" customWidth="1"/>
    <col min="3" max="3" width="20.5703125" customWidth="1"/>
  </cols>
  <sheetData>
    <row r="1" spans="1:3" ht="16.5">
      <c r="A1" s="91" t="s">
        <v>90</v>
      </c>
      <c r="B1" s="92">
        <f>B4*1070</f>
        <v>151884.10080080081</v>
      </c>
      <c r="C1" s="92"/>
    </row>
    <row r="2" spans="1:3" ht="15.75">
      <c r="A2" s="94" t="s">
        <v>23</v>
      </c>
      <c r="B2" s="95">
        <v>999</v>
      </c>
    </row>
    <row r="3" spans="1:3" ht="15.75">
      <c r="A3" s="94" t="s">
        <v>24</v>
      </c>
      <c r="B3" s="95">
        <v>141805.81</v>
      </c>
    </row>
    <row r="4" spans="1:3" ht="16.5" thickBot="1">
      <c r="A4" s="96" t="s">
        <v>13</v>
      </c>
      <c r="B4" s="97">
        <f>B3/B2</f>
        <v>141.94775775775776</v>
      </c>
    </row>
    <row r="5" spans="1:3">
      <c r="A5" s="98"/>
      <c r="B5" s="99">
        <f>B1*12</f>
        <v>1822609.2096096096</v>
      </c>
      <c r="C5" s="99"/>
    </row>
    <row r="8" spans="1:3">
      <c r="A8" t="s">
        <v>120</v>
      </c>
      <c r="B8">
        <v>25000</v>
      </c>
    </row>
    <row r="10" spans="1:3">
      <c r="A10" t="s">
        <v>121</v>
      </c>
      <c r="B10" s="99">
        <f>B5+(B8*12)</f>
        <v>2122609.2096096096</v>
      </c>
    </row>
    <row r="13" spans="1:3">
      <c r="A13" t="s">
        <v>122</v>
      </c>
      <c r="B13" s="99">
        <v>2400000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rgb="FF00B050"/>
  </sheetPr>
  <dimension ref="A1:E6"/>
  <sheetViews>
    <sheetView workbookViewId="0">
      <selection activeCell="B6" sqref="B6"/>
    </sheetView>
  </sheetViews>
  <sheetFormatPr defaultRowHeight="15"/>
  <cols>
    <col min="1" max="1" width="41.28515625" style="93" bestFit="1" customWidth="1"/>
    <col min="2" max="2" width="11.5703125" style="93" bestFit="1" customWidth="1"/>
    <col min="3" max="3" width="12.85546875" style="93" customWidth="1"/>
    <col min="4" max="4" width="15.5703125" style="93" customWidth="1"/>
    <col min="5" max="5" width="15.42578125" style="93" customWidth="1"/>
    <col min="6" max="16384" width="9.140625" style="93"/>
  </cols>
  <sheetData>
    <row r="1" spans="1:5">
      <c r="B1" s="93">
        <v>2016</v>
      </c>
      <c r="C1" s="93">
        <v>2017</v>
      </c>
      <c r="D1" s="93">
        <v>2018</v>
      </c>
      <c r="E1" s="93">
        <v>2019</v>
      </c>
    </row>
    <row r="2" spans="1:5" ht="16.5">
      <c r="A2" s="149" t="s">
        <v>25</v>
      </c>
      <c r="B2" s="150">
        <f>B5*380</f>
        <v>52673.648648648654</v>
      </c>
      <c r="C2" s="150">
        <f>B5*430</f>
        <v>59604.391891891893</v>
      </c>
      <c r="D2" s="150">
        <f>B5*430</f>
        <v>59604.391891891893</v>
      </c>
      <c r="E2" s="150">
        <f>B5*430</f>
        <v>59604.391891891893</v>
      </c>
    </row>
    <row r="3" spans="1:5" ht="15.75">
      <c r="A3" s="151" t="s">
        <v>23</v>
      </c>
      <c r="B3" s="152">
        <v>296</v>
      </c>
      <c r="C3" s="153">
        <v>430</v>
      </c>
      <c r="D3" s="153">
        <v>430</v>
      </c>
      <c r="E3" s="153">
        <v>430</v>
      </c>
    </row>
    <row r="4" spans="1:5" ht="15.75">
      <c r="A4" s="151" t="s">
        <v>24</v>
      </c>
      <c r="B4" s="152">
        <v>41030</v>
      </c>
      <c r="C4" s="153"/>
      <c r="D4" s="153"/>
      <c r="E4" s="153"/>
    </row>
    <row r="5" spans="1:5" ht="15.75">
      <c r="A5" s="151" t="s">
        <v>13</v>
      </c>
      <c r="B5" s="152">
        <f>B4/B3</f>
        <v>138.61486486486487</v>
      </c>
      <c r="C5" s="153"/>
      <c r="D5" s="153"/>
      <c r="E5" s="153"/>
    </row>
    <row r="6" spans="1:5">
      <c r="A6" s="154"/>
      <c r="B6" s="155">
        <f>B2*12</f>
        <v>632083.7837837839</v>
      </c>
      <c r="C6" s="155">
        <f t="shared" ref="C6:E6" si="0">C2*12</f>
        <v>715252.70270270272</v>
      </c>
      <c r="D6" s="155">
        <f t="shared" si="0"/>
        <v>715252.70270270272</v>
      </c>
      <c r="E6" s="155">
        <f t="shared" si="0"/>
        <v>715252.70270270272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D3:P71"/>
  <sheetViews>
    <sheetView workbookViewId="0">
      <selection activeCell="M67" sqref="M67"/>
    </sheetView>
  </sheetViews>
  <sheetFormatPr defaultRowHeight="15"/>
  <cols>
    <col min="5" max="5" width="16.140625" customWidth="1"/>
    <col min="6" max="6" width="14.140625" customWidth="1"/>
    <col min="7" max="7" width="15.140625" customWidth="1"/>
    <col min="8" max="8" width="15.7109375" customWidth="1"/>
    <col min="9" max="9" width="15.140625" customWidth="1"/>
    <col min="10" max="10" width="12.85546875" customWidth="1"/>
    <col min="11" max="11" width="11.42578125" customWidth="1"/>
    <col min="12" max="12" width="13.140625" customWidth="1"/>
  </cols>
  <sheetData>
    <row r="3" spans="4:15" ht="15.75" thickBot="1">
      <c r="F3" s="18"/>
      <c r="G3" s="18"/>
      <c r="H3" s="18"/>
      <c r="I3" s="18"/>
      <c r="J3" s="18"/>
      <c r="K3" s="18"/>
      <c r="L3" s="18"/>
    </row>
    <row r="4" spans="4:15" ht="15.75" thickBot="1">
      <c r="E4" s="19"/>
      <c r="F4" s="20" t="s">
        <v>27</v>
      </c>
      <c r="G4" s="20" t="s">
        <v>28</v>
      </c>
      <c r="H4" s="20" t="s">
        <v>29</v>
      </c>
      <c r="I4" s="20" t="s">
        <v>30</v>
      </c>
      <c r="J4" s="20" t="s">
        <v>31</v>
      </c>
      <c r="K4" s="21" t="s">
        <v>32</v>
      </c>
      <c r="L4" s="21" t="s">
        <v>33</v>
      </c>
      <c r="M4" s="17"/>
      <c r="O4" s="17"/>
    </row>
    <row r="5" spans="4:15">
      <c r="E5" s="22" t="s">
        <v>34</v>
      </c>
      <c r="F5" s="23"/>
      <c r="G5" s="24">
        <v>1</v>
      </c>
      <c r="H5" s="24">
        <v>2</v>
      </c>
      <c r="I5" s="25">
        <v>3</v>
      </c>
      <c r="J5" s="25">
        <v>4</v>
      </c>
      <c r="K5" s="26">
        <v>5</v>
      </c>
      <c r="L5" s="27">
        <v>6</v>
      </c>
      <c r="M5" s="17"/>
      <c r="O5" s="17"/>
    </row>
    <row r="6" spans="4:15">
      <c r="E6" s="28"/>
      <c r="F6" s="29">
        <v>7</v>
      </c>
      <c r="G6" s="30">
        <v>8</v>
      </c>
      <c r="H6" s="30">
        <v>9</v>
      </c>
      <c r="I6" s="30">
        <v>10</v>
      </c>
      <c r="J6" s="30">
        <v>11</v>
      </c>
      <c r="K6" s="30">
        <v>12</v>
      </c>
      <c r="L6" s="31">
        <v>13</v>
      </c>
      <c r="M6" s="17"/>
      <c r="O6" s="17"/>
    </row>
    <row r="7" spans="4:15">
      <c r="E7" s="28"/>
      <c r="F7" s="30">
        <v>14</v>
      </c>
      <c r="G7" s="30">
        <v>15</v>
      </c>
      <c r="H7" s="30">
        <v>16</v>
      </c>
      <c r="I7" s="30">
        <v>17</v>
      </c>
      <c r="J7" s="30">
        <v>18</v>
      </c>
      <c r="K7" s="29">
        <v>19</v>
      </c>
      <c r="L7" s="31">
        <v>20</v>
      </c>
      <c r="M7" s="17"/>
      <c r="O7" s="17"/>
    </row>
    <row r="8" spans="4:15">
      <c r="E8" s="28"/>
      <c r="F8" s="30">
        <v>21</v>
      </c>
      <c r="G8" s="30">
        <v>22</v>
      </c>
      <c r="H8" s="30">
        <v>23</v>
      </c>
      <c r="I8" s="30">
        <v>24</v>
      </c>
      <c r="J8" s="30">
        <v>25</v>
      </c>
      <c r="K8" s="30">
        <v>26</v>
      </c>
      <c r="L8" s="31">
        <v>27</v>
      </c>
      <c r="M8" s="17"/>
      <c r="O8" s="17"/>
    </row>
    <row r="9" spans="4:15">
      <c r="E9" s="28"/>
      <c r="F9" s="30">
        <v>28</v>
      </c>
      <c r="G9" s="30">
        <v>29</v>
      </c>
      <c r="H9" s="30">
        <v>30</v>
      </c>
      <c r="I9" s="30">
        <v>31</v>
      </c>
      <c r="J9" s="30"/>
      <c r="K9" s="30"/>
      <c r="L9" s="31"/>
      <c r="M9" s="17"/>
      <c r="O9" s="17"/>
    </row>
    <row r="10" spans="4:15" ht="15.75" thickBot="1">
      <c r="E10" s="32"/>
      <c r="F10" s="33"/>
      <c r="G10" s="33"/>
      <c r="H10" s="34"/>
      <c r="I10" s="35"/>
      <c r="J10" s="34"/>
      <c r="K10" s="34"/>
      <c r="L10" s="36"/>
      <c r="M10" s="17">
        <v>20</v>
      </c>
      <c r="O10" s="17">
        <v>31</v>
      </c>
    </row>
    <row r="11" spans="4:15">
      <c r="E11" s="37" t="s">
        <v>35</v>
      </c>
      <c r="F11" s="38"/>
      <c r="G11" s="38"/>
      <c r="H11" s="38"/>
      <c r="I11" s="39"/>
      <c r="J11" s="40">
        <v>1</v>
      </c>
      <c r="K11" s="40">
        <v>2</v>
      </c>
      <c r="L11" s="41">
        <v>3</v>
      </c>
      <c r="M11" s="17"/>
      <c r="O11" s="17"/>
    </row>
    <row r="12" spans="4:15">
      <c r="E12" s="42"/>
      <c r="F12" s="30">
        <v>4</v>
      </c>
      <c r="G12" s="30">
        <v>5</v>
      </c>
      <c r="H12" s="30">
        <v>6</v>
      </c>
      <c r="I12" s="30">
        <v>7</v>
      </c>
      <c r="J12" s="30">
        <v>8</v>
      </c>
      <c r="K12" s="30">
        <v>9</v>
      </c>
      <c r="L12" s="31">
        <v>10</v>
      </c>
      <c r="M12" s="17"/>
      <c r="O12" s="17"/>
    </row>
    <row r="13" spans="4:15">
      <c r="E13" s="42"/>
      <c r="F13" s="30">
        <v>11</v>
      </c>
      <c r="G13" s="30">
        <v>12</v>
      </c>
      <c r="H13" s="30">
        <v>13</v>
      </c>
      <c r="I13" s="30">
        <v>14</v>
      </c>
      <c r="J13" s="30">
        <v>15</v>
      </c>
      <c r="K13" s="30">
        <v>16</v>
      </c>
      <c r="L13" s="31">
        <v>17</v>
      </c>
      <c r="M13" s="17"/>
      <c r="O13" s="17"/>
    </row>
    <row r="14" spans="4:15">
      <c r="E14" s="42"/>
      <c r="F14" s="30">
        <v>18</v>
      </c>
      <c r="G14" s="30">
        <v>19</v>
      </c>
      <c r="H14" s="30">
        <v>20</v>
      </c>
      <c r="I14" s="30">
        <v>21</v>
      </c>
      <c r="J14" s="30">
        <v>22</v>
      </c>
      <c r="K14" s="30">
        <v>23</v>
      </c>
      <c r="L14" s="31">
        <v>24</v>
      </c>
      <c r="M14" s="17"/>
      <c r="O14" s="17"/>
    </row>
    <row r="15" spans="4:15" ht="15.75" thickBot="1">
      <c r="E15" s="43"/>
      <c r="F15" s="33">
        <v>25</v>
      </c>
      <c r="G15" s="33">
        <v>26</v>
      </c>
      <c r="H15" s="33">
        <v>27</v>
      </c>
      <c r="I15" s="33">
        <v>28</v>
      </c>
      <c r="J15" s="33"/>
      <c r="K15" s="33"/>
      <c r="L15" s="44"/>
      <c r="M15" s="17">
        <v>20</v>
      </c>
      <c r="O15" s="17">
        <v>28</v>
      </c>
    </row>
    <row r="16" spans="4:15">
      <c r="D16" s="45"/>
      <c r="E16" s="174" t="s">
        <v>36</v>
      </c>
      <c r="F16" s="38"/>
      <c r="G16" s="38"/>
      <c r="H16" s="38"/>
      <c r="I16" s="39"/>
      <c r="J16" s="40">
        <v>1</v>
      </c>
      <c r="K16" s="40">
        <v>2</v>
      </c>
      <c r="L16" s="46">
        <v>3</v>
      </c>
      <c r="M16" s="17"/>
      <c r="O16" s="17"/>
    </row>
    <row r="17" spans="4:15">
      <c r="D17" s="45"/>
      <c r="E17" s="175"/>
      <c r="F17" s="30">
        <v>4</v>
      </c>
      <c r="G17" s="30">
        <v>5</v>
      </c>
      <c r="H17" s="30">
        <v>6</v>
      </c>
      <c r="I17" s="30">
        <v>7</v>
      </c>
      <c r="J17" s="29">
        <v>8</v>
      </c>
      <c r="K17" s="30">
        <v>9</v>
      </c>
      <c r="L17" s="31">
        <v>10</v>
      </c>
      <c r="M17" s="17"/>
      <c r="O17" s="17"/>
    </row>
    <row r="18" spans="4:15">
      <c r="D18" s="45"/>
      <c r="E18" s="175"/>
      <c r="F18" s="30">
        <v>11</v>
      </c>
      <c r="G18" s="30">
        <v>12</v>
      </c>
      <c r="H18" s="30">
        <v>13</v>
      </c>
      <c r="I18" s="30">
        <v>14</v>
      </c>
      <c r="J18" s="30">
        <v>15</v>
      </c>
      <c r="K18" s="30">
        <v>16</v>
      </c>
      <c r="L18" s="31">
        <v>17</v>
      </c>
      <c r="M18" s="17"/>
      <c r="O18" s="17"/>
    </row>
    <row r="19" spans="4:15">
      <c r="D19" s="45"/>
      <c r="E19" s="175"/>
      <c r="F19" s="30">
        <v>18</v>
      </c>
      <c r="G19" s="30">
        <v>19</v>
      </c>
      <c r="H19" s="30">
        <v>20</v>
      </c>
      <c r="I19" s="30">
        <v>21</v>
      </c>
      <c r="J19" s="30">
        <v>22</v>
      </c>
      <c r="K19" s="30">
        <v>23</v>
      </c>
      <c r="L19" s="31">
        <v>24</v>
      </c>
      <c r="M19" s="17"/>
      <c r="O19" s="17"/>
    </row>
    <row r="20" spans="4:15" ht="15.75" thickBot="1">
      <c r="D20" s="45"/>
      <c r="E20" s="176"/>
      <c r="F20" s="33">
        <v>25</v>
      </c>
      <c r="G20" s="33">
        <v>26</v>
      </c>
      <c r="H20" s="33">
        <v>27</v>
      </c>
      <c r="I20" s="33">
        <v>28</v>
      </c>
      <c r="J20" s="33">
        <v>29</v>
      </c>
      <c r="K20" s="33">
        <v>30</v>
      </c>
      <c r="L20" s="44">
        <v>31</v>
      </c>
      <c r="M20" s="47">
        <v>20</v>
      </c>
      <c r="O20" s="48">
        <v>31</v>
      </c>
    </row>
    <row r="21" spans="4:15">
      <c r="E21" s="42" t="s">
        <v>37</v>
      </c>
      <c r="F21" s="49">
        <v>1</v>
      </c>
      <c r="G21" s="49">
        <v>2</v>
      </c>
      <c r="H21" s="49">
        <v>3</v>
      </c>
      <c r="I21" s="49">
        <v>4</v>
      </c>
      <c r="J21" s="49">
        <v>5</v>
      </c>
      <c r="K21" s="49">
        <v>6</v>
      </c>
      <c r="L21" s="50">
        <v>7</v>
      </c>
      <c r="M21" s="17"/>
      <c r="O21" s="17"/>
    </row>
    <row r="22" spans="4:15">
      <c r="E22" s="42"/>
      <c r="F22" s="30">
        <v>8</v>
      </c>
      <c r="G22" s="29">
        <v>9</v>
      </c>
      <c r="H22" s="30">
        <v>10</v>
      </c>
      <c r="I22" s="30">
        <v>11</v>
      </c>
      <c r="J22" s="30">
        <v>12</v>
      </c>
      <c r="K22" s="30">
        <v>13</v>
      </c>
      <c r="L22" s="31">
        <v>14</v>
      </c>
      <c r="M22" s="17"/>
      <c r="O22" s="17"/>
    </row>
    <row r="23" spans="4:15">
      <c r="E23" s="42"/>
      <c r="F23" s="30">
        <v>15</v>
      </c>
      <c r="G23" s="30">
        <v>16</v>
      </c>
      <c r="H23" s="30">
        <v>17</v>
      </c>
      <c r="I23" s="30">
        <v>18</v>
      </c>
      <c r="J23" s="30">
        <v>19</v>
      </c>
      <c r="K23" s="30">
        <v>20</v>
      </c>
      <c r="L23" s="31">
        <v>21</v>
      </c>
      <c r="M23" s="17"/>
      <c r="O23" s="17"/>
    </row>
    <row r="24" spans="4:15">
      <c r="D24" s="45"/>
      <c r="E24" s="42"/>
      <c r="F24" s="30">
        <v>22</v>
      </c>
      <c r="G24" s="30">
        <v>23</v>
      </c>
      <c r="H24" s="30">
        <v>24</v>
      </c>
      <c r="I24" s="30">
        <v>25</v>
      </c>
      <c r="J24" s="30">
        <v>26</v>
      </c>
      <c r="K24" s="30">
        <v>27</v>
      </c>
      <c r="L24" s="31">
        <v>28</v>
      </c>
      <c r="M24" s="17"/>
      <c r="O24" s="17"/>
    </row>
    <row r="25" spans="4:15" ht="15.75" thickBot="1">
      <c r="D25" s="45"/>
      <c r="E25" s="42"/>
      <c r="F25" s="30">
        <v>29</v>
      </c>
      <c r="G25" s="30">
        <v>30</v>
      </c>
      <c r="H25" s="30"/>
      <c r="I25" s="30"/>
      <c r="J25" s="30"/>
      <c r="K25" s="30"/>
      <c r="L25" s="31"/>
      <c r="M25" s="17">
        <f>21</f>
        <v>21</v>
      </c>
      <c r="O25" s="17">
        <v>30</v>
      </c>
    </row>
    <row r="26" spans="4:15">
      <c r="D26" s="45"/>
      <c r="E26" s="22" t="s">
        <v>38</v>
      </c>
      <c r="F26" s="23"/>
      <c r="G26" s="40"/>
      <c r="H26" s="40">
        <v>1</v>
      </c>
      <c r="I26" s="40">
        <v>2</v>
      </c>
      <c r="J26" s="51">
        <v>3</v>
      </c>
      <c r="K26" s="51">
        <v>4</v>
      </c>
      <c r="L26" s="46">
        <v>5</v>
      </c>
      <c r="M26" s="17"/>
      <c r="O26" s="17"/>
    </row>
    <row r="27" spans="4:15">
      <c r="D27" s="45"/>
      <c r="E27" s="28"/>
      <c r="F27" s="29">
        <v>6</v>
      </c>
      <c r="G27" s="30">
        <v>7</v>
      </c>
      <c r="H27" s="30">
        <v>8</v>
      </c>
      <c r="I27" s="29">
        <v>9</v>
      </c>
      <c r="J27" s="30">
        <v>10</v>
      </c>
      <c r="K27" s="30">
        <v>11</v>
      </c>
      <c r="L27" s="52">
        <v>12</v>
      </c>
      <c r="M27" s="17"/>
      <c r="O27" s="17"/>
    </row>
    <row r="28" spans="4:15">
      <c r="D28" s="45"/>
      <c r="E28" s="28"/>
      <c r="F28" s="30">
        <v>13</v>
      </c>
      <c r="G28" s="30">
        <v>14</v>
      </c>
      <c r="H28" s="30">
        <v>15</v>
      </c>
      <c r="I28" s="30">
        <v>16</v>
      </c>
      <c r="J28" s="30">
        <v>17</v>
      </c>
      <c r="K28" s="30">
        <v>18</v>
      </c>
      <c r="L28" s="31">
        <v>19</v>
      </c>
      <c r="M28" s="17"/>
      <c r="O28" s="17"/>
    </row>
    <row r="29" spans="4:15">
      <c r="E29" s="28"/>
      <c r="F29" s="30">
        <v>20</v>
      </c>
      <c r="G29" s="30">
        <v>21</v>
      </c>
      <c r="H29" s="30">
        <v>22</v>
      </c>
      <c r="I29" s="30">
        <v>23</v>
      </c>
      <c r="J29" s="30">
        <v>24</v>
      </c>
      <c r="K29" s="30">
        <v>25</v>
      </c>
      <c r="L29" s="52">
        <v>26</v>
      </c>
      <c r="M29" s="17"/>
      <c r="O29" s="17"/>
    </row>
    <row r="30" spans="4:15" ht="15.75" thickBot="1">
      <c r="E30" s="32"/>
      <c r="F30" s="33">
        <v>27</v>
      </c>
      <c r="G30" s="33">
        <v>28</v>
      </c>
      <c r="H30" s="33">
        <v>29</v>
      </c>
      <c r="I30" s="33">
        <v>30</v>
      </c>
      <c r="J30" s="33">
        <v>31</v>
      </c>
      <c r="K30" s="34"/>
      <c r="L30" s="36"/>
      <c r="M30" s="47">
        <v>20</v>
      </c>
      <c r="O30" s="17">
        <v>31</v>
      </c>
    </row>
    <row r="31" spans="4:15">
      <c r="E31" s="37" t="s">
        <v>39</v>
      </c>
      <c r="F31" s="23"/>
      <c r="G31" s="23"/>
      <c r="H31" s="23"/>
      <c r="I31" s="23"/>
      <c r="J31" s="40"/>
      <c r="K31" s="40">
        <v>1</v>
      </c>
      <c r="L31" s="41">
        <v>2</v>
      </c>
      <c r="M31" s="17"/>
      <c r="O31" s="17"/>
    </row>
    <row r="32" spans="4:15">
      <c r="E32" s="42"/>
      <c r="F32" s="30">
        <v>3</v>
      </c>
      <c r="G32" s="30">
        <v>4</v>
      </c>
      <c r="H32" s="30">
        <v>5</v>
      </c>
      <c r="I32" s="30">
        <v>6</v>
      </c>
      <c r="J32" s="30">
        <v>7</v>
      </c>
      <c r="K32" s="30">
        <v>8</v>
      </c>
      <c r="L32" s="31">
        <v>9</v>
      </c>
      <c r="M32" s="17"/>
      <c r="O32" s="17"/>
    </row>
    <row r="33" spans="5:15">
      <c r="E33" s="42"/>
      <c r="F33" s="30">
        <v>10</v>
      </c>
      <c r="G33" s="30">
        <v>11</v>
      </c>
      <c r="H33" s="30">
        <v>12</v>
      </c>
      <c r="I33" s="30">
        <v>13</v>
      </c>
      <c r="J33" s="30">
        <v>14</v>
      </c>
      <c r="K33" s="30">
        <v>15</v>
      </c>
      <c r="L33" s="31">
        <v>16</v>
      </c>
      <c r="M33" s="17"/>
      <c r="O33" s="17"/>
    </row>
    <row r="34" spans="5:15">
      <c r="E34" s="42"/>
      <c r="F34" s="30">
        <v>17</v>
      </c>
      <c r="G34" s="30">
        <v>18</v>
      </c>
      <c r="H34" s="30">
        <v>19</v>
      </c>
      <c r="I34" s="30">
        <v>20</v>
      </c>
      <c r="J34" s="30">
        <v>21</v>
      </c>
      <c r="K34" s="30">
        <v>22</v>
      </c>
      <c r="L34" s="31">
        <v>23</v>
      </c>
      <c r="M34" s="17"/>
      <c r="O34" s="17"/>
    </row>
    <row r="35" spans="5:15" ht="15.75" thickBot="1">
      <c r="E35" s="43"/>
      <c r="F35" s="33">
        <v>24</v>
      </c>
      <c r="G35" s="33">
        <v>25</v>
      </c>
      <c r="H35" s="33">
        <v>26</v>
      </c>
      <c r="I35" s="33">
        <v>27</v>
      </c>
      <c r="J35" s="33">
        <v>28</v>
      </c>
      <c r="K35" s="33">
        <v>29</v>
      </c>
      <c r="L35" s="44">
        <v>30</v>
      </c>
      <c r="M35" s="47">
        <v>20</v>
      </c>
      <c r="O35" s="48">
        <v>30</v>
      </c>
    </row>
    <row r="36" spans="5:15">
      <c r="E36" s="22" t="s">
        <v>40</v>
      </c>
      <c r="F36" s="49">
        <v>1</v>
      </c>
      <c r="G36" s="49">
        <v>2</v>
      </c>
      <c r="H36" s="49">
        <v>3</v>
      </c>
      <c r="I36" s="49">
        <v>4</v>
      </c>
      <c r="J36" s="49">
        <v>5</v>
      </c>
      <c r="K36" s="49">
        <v>6</v>
      </c>
      <c r="L36" s="50">
        <v>7</v>
      </c>
      <c r="M36" s="17"/>
      <c r="O36" s="17"/>
    </row>
    <row r="37" spans="5:15">
      <c r="E37" s="28"/>
      <c r="F37" s="30">
        <v>8</v>
      </c>
      <c r="G37" s="30">
        <v>9</v>
      </c>
      <c r="H37" s="30">
        <v>10</v>
      </c>
      <c r="I37" s="30">
        <v>11</v>
      </c>
      <c r="J37" s="30">
        <v>12</v>
      </c>
      <c r="K37" s="30">
        <v>13</v>
      </c>
      <c r="L37" s="31">
        <v>14</v>
      </c>
      <c r="M37" s="17"/>
      <c r="O37" s="17"/>
    </row>
    <row r="38" spans="5:15">
      <c r="E38" s="28"/>
      <c r="F38" s="30">
        <v>15</v>
      </c>
      <c r="G38" s="30">
        <v>16</v>
      </c>
      <c r="H38" s="30">
        <v>17</v>
      </c>
      <c r="I38" s="30">
        <v>18</v>
      </c>
      <c r="J38" s="30">
        <v>19</v>
      </c>
      <c r="K38" s="30">
        <v>20</v>
      </c>
      <c r="L38" s="31">
        <v>21</v>
      </c>
      <c r="M38" s="17"/>
      <c r="O38" s="17"/>
    </row>
    <row r="39" spans="5:15">
      <c r="E39" s="28"/>
      <c r="F39" s="30">
        <v>22</v>
      </c>
      <c r="G39" s="30">
        <v>23</v>
      </c>
      <c r="H39" s="30">
        <v>24</v>
      </c>
      <c r="I39" s="30">
        <v>25</v>
      </c>
      <c r="J39" s="30">
        <v>26</v>
      </c>
      <c r="K39" s="30">
        <v>27</v>
      </c>
      <c r="L39" s="31">
        <v>28</v>
      </c>
      <c r="M39" s="17"/>
      <c r="O39" s="17"/>
    </row>
    <row r="40" spans="5:15" ht="15.75" thickBot="1">
      <c r="E40" s="28"/>
      <c r="F40" s="30">
        <v>29</v>
      </c>
      <c r="G40" s="30">
        <v>30</v>
      </c>
      <c r="H40" s="30">
        <v>31</v>
      </c>
      <c r="I40" s="30"/>
      <c r="J40" s="30"/>
      <c r="K40" s="30"/>
      <c r="L40" s="31"/>
      <c r="M40" s="17">
        <v>23</v>
      </c>
      <c r="O40" s="17">
        <v>31</v>
      </c>
    </row>
    <row r="41" spans="5:15">
      <c r="E41" s="37" t="s">
        <v>41</v>
      </c>
      <c r="F41" s="23"/>
      <c r="G41" s="23"/>
      <c r="H41" s="40"/>
      <c r="I41" s="40">
        <v>1</v>
      </c>
      <c r="J41" s="40">
        <v>2</v>
      </c>
      <c r="K41" s="40">
        <v>3</v>
      </c>
      <c r="L41" s="41">
        <v>4</v>
      </c>
      <c r="M41" s="17"/>
      <c r="O41" s="17"/>
    </row>
    <row r="42" spans="5:15">
      <c r="E42" s="42"/>
      <c r="F42" s="30">
        <v>5</v>
      </c>
      <c r="G42" s="30">
        <v>6</v>
      </c>
      <c r="H42" s="30">
        <v>7</v>
      </c>
      <c r="I42" s="30">
        <v>8</v>
      </c>
      <c r="J42" s="30">
        <v>9</v>
      </c>
      <c r="K42" s="30">
        <v>10</v>
      </c>
      <c r="L42" s="30">
        <v>11</v>
      </c>
      <c r="M42" s="17"/>
      <c r="O42" s="17"/>
    </row>
    <row r="43" spans="5:15">
      <c r="E43" s="42"/>
      <c r="F43" s="30">
        <v>12</v>
      </c>
      <c r="G43" s="30">
        <v>13</v>
      </c>
      <c r="H43" s="30">
        <v>14</v>
      </c>
      <c r="I43" s="30">
        <v>15</v>
      </c>
      <c r="J43" s="30">
        <v>16</v>
      </c>
      <c r="K43" s="30">
        <v>17</v>
      </c>
      <c r="L43" s="30">
        <v>18</v>
      </c>
      <c r="M43" s="17"/>
      <c r="O43" s="17"/>
    </row>
    <row r="44" spans="5:15">
      <c r="E44" s="42"/>
      <c r="F44" s="30">
        <v>19</v>
      </c>
      <c r="G44" s="30">
        <v>20</v>
      </c>
      <c r="H44" s="30">
        <v>21</v>
      </c>
      <c r="I44" s="30">
        <v>22</v>
      </c>
      <c r="J44" s="30">
        <v>23</v>
      </c>
      <c r="K44" s="30">
        <v>24</v>
      </c>
      <c r="L44" s="30">
        <v>25</v>
      </c>
      <c r="M44" s="17"/>
      <c r="O44" s="17"/>
    </row>
    <row r="45" spans="5:15" ht="15.75" thickBot="1">
      <c r="E45" s="43"/>
      <c r="F45" s="33">
        <v>26</v>
      </c>
      <c r="G45" s="33">
        <v>27</v>
      </c>
      <c r="H45" s="53">
        <v>28</v>
      </c>
      <c r="I45" s="33">
        <v>29</v>
      </c>
      <c r="J45" s="33">
        <v>30</v>
      </c>
      <c r="K45" s="33">
        <v>31</v>
      </c>
      <c r="L45" s="36"/>
      <c r="M45" s="47">
        <v>21</v>
      </c>
      <c r="O45" s="48">
        <v>31</v>
      </c>
    </row>
    <row r="46" spans="5:15">
      <c r="E46" s="22" t="s">
        <v>42</v>
      </c>
      <c r="F46" s="23"/>
      <c r="G46" s="23"/>
      <c r="H46" s="23"/>
      <c r="I46" s="23"/>
      <c r="J46" s="23"/>
      <c r="K46" s="40"/>
      <c r="L46" s="41">
        <v>1</v>
      </c>
      <c r="M46" s="17"/>
      <c r="O46" s="17"/>
    </row>
    <row r="47" spans="5:15">
      <c r="E47" s="28"/>
      <c r="F47" s="30">
        <v>2</v>
      </c>
      <c r="G47" s="30">
        <v>3</v>
      </c>
      <c r="H47" s="30">
        <v>4</v>
      </c>
      <c r="I47" s="30">
        <v>5</v>
      </c>
      <c r="J47" s="30">
        <v>6</v>
      </c>
      <c r="K47" s="30">
        <v>7</v>
      </c>
      <c r="L47" s="30">
        <v>8</v>
      </c>
      <c r="M47" s="17"/>
      <c r="O47" s="17"/>
    </row>
    <row r="48" spans="5:15">
      <c r="E48" s="28"/>
      <c r="F48" s="30">
        <v>9</v>
      </c>
      <c r="G48" s="30">
        <v>10</v>
      </c>
      <c r="H48" s="30">
        <v>11</v>
      </c>
      <c r="I48" s="30">
        <v>12</v>
      </c>
      <c r="J48" s="30">
        <v>13</v>
      </c>
      <c r="K48" s="30">
        <v>14</v>
      </c>
      <c r="L48" s="30">
        <v>15</v>
      </c>
      <c r="M48" s="17"/>
      <c r="O48" s="17"/>
    </row>
    <row r="49" spans="5:15">
      <c r="E49" s="28"/>
      <c r="F49" s="30">
        <v>16</v>
      </c>
      <c r="G49" s="30">
        <v>17</v>
      </c>
      <c r="H49" s="30">
        <v>18</v>
      </c>
      <c r="I49" s="30">
        <v>19</v>
      </c>
      <c r="J49" s="30">
        <v>20</v>
      </c>
      <c r="K49" s="30">
        <v>21</v>
      </c>
      <c r="L49" s="30">
        <v>22</v>
      </c>
      <c r="M49" s="17"/>
      <c r="O49" s="17"/>
    </row>
    <row r="50" spans="5:15">
      <c r="E50" s="28"/>
      <c r="F50" s="54">
        <v>23</v>
      </c>
      <c r="G50" s="54">
        <v>24</v>
      </c>
      <c r="H50" s="54">
        <v>25</v>
      </c>
      <c r="I50" s="54">
        <v>26</v>
      </c>
      <c r="J50" s="54">
        <v>27</v>
      </c>
      <c r="K50" s="54">
        <v>28</v>
      </c>
      <c r="L50" s="54">
        <v>29</v>
      </c>
      <c r="M50" s="17"/>
      <c r="O50" s="17"/>
    </row>
    <row r="51" spans="5:15" ht="15.75" thickBot="1">
      <c r="E51" s="32"/>
      <c r="F51" s="33">
        <v>30</v>
      </c>
      <c r="G51" s="33"/>
      <c r="H51" s="33"/>
      <c r="I51" s="33"/>
      <c r="J51" s="33"/>
      <c r="K51" s="33"/>
      <c r="L51" s="33"/>
      <c r="M51" s="17">
        <v>21</v>
      </c>
      <c r="O51" s="17">
        <v>30</v>
      </c>
    </row>
    <row r="52" spans="5:15">
      <c r="E52" s="37" t="s">
        <v>43</v>
      </c>
      <c r="F52" s="40"/>
      <c r="G52" s="40">
        <v>1</v>
      </c>
      <c r="H52" s="40">
        <v>2</v>
      </c>
      <c r="I52" s="40">
        <v>3</v>
      </c>
      <c r="J52" s="40">
        <v>4</v>
      </c>
      <c r="K52" s="40">
        <v>5</v>
      </c>
      <c r="L52" s="40">
        <v>6</v>
      </c>
      <c r="M52" s="17"/>
    </row>
    <row r="53" spans="5:15">
      <c r="E53" s="42"/>
      <c r="F53" s="30">
        <v>7</v>
      </c>
      <c r="G53" s="30">
        <v>8</v>
      </c>
      <c r="H53" s="30">
        <v>9</v>
      </c>
      <c r="I53" s="30">
        <v>10</v>
      </c>
      <c r="J53" s="30">
        <v>11</v>
      </c>
      <c r="K53" s="30">
        <v>12</v>
      </c>
      <c r="L53" s="30">
        <v>13</v>
      </c>
      <c r="M53" s="17"/>
    </row>
    <row r="54" spans="5:15">
      <c r="E54" s="42"/>
      <c r="F54" s="29">
        <v>14</v>
      </c>
      <c r="G54" s="30">
        <v>15</v>
      </c>
      <c r="H54" s="30">
        <v>16</v>
      </c>
      <c r="I54" s="30">
        <v>17</v>
      </c>
      <c r="J54" s="30">
        <v>18</v>
      </c>
      <c r="K54" s="30">
        <v>19</v>
      </c>
      <c r="L54" s="30">
        <v>20</v>
      </c>
      <c r="M54" s="17"/>
    </row>
    <row r="55" spans="5:15">
      <c r="E55" s="42"/>
      <c r="F55" s="30">
        <v>21</v>
      </c>
      <c r="G55" s="30">
        <v>22</v>
      </c>
      <c r="H55" s="30">
        <v>23</v>
      </c>
      <c r="I55" s="30">
        <v>24</v>
      </c>
      <c r="J55" s="30">
        <v>25</v>
      </c>
      <c r="K55" s="30">
        <v>26</v>
      </c>
      <c r="L55" s="30">
        <v>27</v>
      </c>
      <c r="M55" s="17"/>
    </row>
    <row r="56" spans="5:15" ht="15.75" thickBot="1">
      <c r="E56" s="43"/>
      <c r="F56" s="33">
        <v>28</v>
      </c>
      <c r="G56" s="33">
        <v>29</v>
      </c>
      <c r="H56" s="33">
        <v>30</v>
      </c>
      <c r="I56" s="33">
        <v>31</v>
      </c>
      <c r="J56" s="34"/>
      <c r="K56" s="34"/>
      <c r="L56" s="36"/>
      <c r="M56" s="17">
        <v>22</v>
      </c>
      <c r="O56">
        <v>31</v>
      </c>
    </row>
    <row r="57" spans="5:15">
      <c r="E57" s="22" t="s">
        <v>44</v>
      </c>
      <c r="F57" s="38"/>
      <c r="G57" s="38"/>
      <c r="H57" s="38"/>
      <c r="I57" s="39"/>
      <c r="J57" s="40">
        <v>1</v>
      </c>
      <c r="K57" s="40">
        <v>2</v>
      </c>
      <c r="L57" s="41">
        <v>3</v>
      </c>
      <c r="M57" s="17"/>
    </row>
    <row r="58" spans="5:15">
      <c r="E58" s="28"/>
      <c r="F58" s="30">
        <v>4</v>
      </c>
      <c r="G58" s="30">
        <v>5</v>
      </c>
      <c r="H58" s="30">
        <v>6</v>
      </c>
      <c r="I58" s="30">
        <v>7</v>
      </c>
      <c r="J58" s="30">
        <v>8</v>
      </c>
      <c r="K58" s="30">
        <v>9</v>
      </c>
      <c r="L58" s="31">
        <v>10</v>
      </c>
      <c r="M58" s="17"/>
    </row>
    <row r="59" spans="5:15">
      <c r="E59" s="28"/>
      <c r="F59" s="30">
        <v>11</v>
      </c>
      <c r="G59" s="30">
        <v>12</v>
      </c>
      <c r="H59" s="30">
        <v>13</v>
      </c>
      <c r="I59" s="30">
        <v>14</v>
      </c>
      <c r="J59" s="30">
        <v>15</v>
      </c>
      <c r="K59" s="30">
        <v>16</v>
      </c>
      <c r="L59" s="31">
        <v>17</v>
      </c>
      <c r="M59" s="17"/>
    </row>
    <row r="60" spans="5:15">
      <c r="E60" s="28"/>
      <c r="F60" s="30">
        <v>18</v>
      </c>
      <c r="G60" s="30">
        <v>19</v>
      </c>
      <c r="H60" s="30">
        <v>20</v>
      </c>
      <c r="I60" s="30">
        <v>21</v>
      </c>
      <c r="J60" s="30">
        <v>22</v>
      </c>
      <c r="K60" s="29">
        <v>23</v>
      </c>
      <c r="L60" s="31">
        <v>24</v>
      </c>
      <c r="M60" s="17"/>
    </row>
    <row r="61" spans="5:15" ht="15.75" thickBot="1">
      <c r="E61" s="32"/>
      <c r="F61" s="33">
        <v>25</v>
      </c>
      <c r="G61" s="33">
        <v>26</v>
      </c>
      <c r="H61" s="33">
        <v>27</v>
      </c>
      <c r="I61" s="33">
        <v>28</v>
      </c>
      <c r="J61" s="33">
        <v>29</v>
      </c>
      <c r="K61" s="33">
        <v>30</v>
      </c>
      <c r="L61" s="44"/>
      <c r="M61" s="47">
        <v>21</v>
      </c>
      <c r="O61" s="55">
        <v>30</v>
      </c>
    </row>
    <row r="62" spans="5:15">
      <c r="E62" s="37" t="s">
        <v>45</v>
      </c>
      <c r="F62" s="23"/>
      <c r="G62" s="23"/>
      <c r="H62" s="23"/>
      <c r="I62" s="23"/>
      <c r="J62" s="23"/>
      <c r="K62" s="40"/>
      <c r="L62" s="41">
        <v>1</v>
      </c>
      <c r="M62" s="17"/>
    </row>
    <row r="63" spans="5:15">
      <c r="E63" s="42"/>
      <c r="F63" s="30">
        <v>2</v>
      </c>
      <c r="G63" s="30">
        <v>3</v>
      </c>
      <c r="H63" s="30">
        <v>4</v>
      </c>
      <c r="I63" s="30">
        <v>5</v>
      </c>
      <c r="J63" s="30">
        <v>6</v>
      </c>
      <c r="K63" s="30">
        <v>7</v>
      </c>
      <c r="L63" s="30">
        <v>8</v>
      </c>
      <c r="M63" s="17"/>
    </row>
    <row r="64" spans="5:15">
      <c r="E64" s="42"/>
      <c r="F64" s="30">
        <v>9</v>
      </c>
      <c r="G64" s="30">
        <v>10</v>
      </c>
      <c r="H64" s="30">
        <v>11</v>
      </c>
      <c r="I64" s="30">
        <v>12</v>
      </c>
      <c r="J64" s="30">
        <v>13</v>
      </c>
      <c r="K64" s="30">
        <v>14</v>
      </c>
      <c r="L64" s="30">
        <v>15</v>
      </c>
      <c r="M64" s="17"/>
    </row>
    <row r="65" spans="5:16">
      <c r="E65" s="42"/>
      <c r="F65" s="30">
        <v>16</v>
      </c>
      <c r="G65" s="30">
        <v>17</v>
      </c>
      <c r="H65" s="30">
        <v>18</v>
      </c>
      <c r="I65" s="30">
        <v>19</v>
      </c>
      <c r="J65" s="30">
        <v>20</v>
      </c>
      <c r="K65" s="30">
        <v>21</v>
      </c>
      <c r="L65" s="30">
        <v>22</v>
      </c>
      <c r="M65" s="17"/>
    </row>
    <row r="66" spans="5:16">
      <c r="E66" s="177"/>
      <c r="F66" s="54">
        <v>23</v>
      </c>
      <c r="G66" s="54">
        <v>24</v>
      </c>
      <c r="H66" s="54">
        <v>25</v>
      </c>
      <c r="I66" s="54">
        <v>26</v>
      </c>
      <c r="J66" s="54">
        <v>27</v>
      </c>
      <c r="K66" s="54">
        <v>28</v>
      </c>
      <c r="L66" s="54">
        <v>29</v>
      </c>
      <c r="M66" s="17"/>
    </row>
    <row r="67" spans="5:16" ht="15.75" thickBot="1">
      <c r="E67" s="178"/>
      <c r="F67" s="56">
        <v>30</v>
      </c>
      <c r="G67" s="33">
        <v>31</v>
      </c>
      <c r="H67" s="33"/>
      <c r="I67" s="33"/>
      <c r="J67" s="33"/>
      <c r="K67" s="33"/>
      <c r="L67" s="33"/>
      <c r="M67" s="17">
        <v>22</v>
      </c>
      <c r="N67" s="15">
        <f>M67+M61+M56+M51+M45+M40+M35+M30+M25+M20+M15+M10</f>
        <v>251</v>
      </c>
      <c r="O67">
        <v>31</v>
      </c>
      <c r="P67" s="15">
        <f>O67+O61+O56+O51+O45+O40+O35+O30+O25+O20+O15+O10</f>
        <v>365</v>
      </c>
    </row>
    <row r="69" spans="5:16">
      <c r="F69">
        <f>COUNTA(F5:F67)</f>
        <v>52</v>
      </c>
      <c r="G69">
        <f t="shared" ref="G69:L69" si="0">COUNTA(G5:G67)</f>
        <v>53</v>
      </c>
      <c r="H69">
        <f t="shared" si="0"/>
        <v>52</v>
      </c>
      <c r="I69">
        <f t="shared" si="0"/>
        <v>52</v>
      </c>
      <c r="J69">
        <f t="shared" si="0"/>
        <v>52</v>
      </c>
      <c r="K69">
        <f t="shared" si="0"/>
        <v>52</v>
      </c>
      <c r="L69">
        <f t="shared" si="0"/>
        <v>52</v>
      </c>
    </row>
    <row r="70" spans="5:16">
      <c r="F70">
        <f>F69-3</f>
        <v>49</v>
      </c>
      <c r="G70">
        <f>G69-2</f>
        <v>51</v>
      </c>
      <c r="H70">
        <f>H69-2</f>
        <v>50</v>
      </c>
      <c r="I70">
        <f>I69-1</f>
        <v>51</v>
      </c>
      <c r="J70">
        <f>J69-2</f>
        <v>50</v>
      </c>
      <c r="K70">
        <f>K69-3</f>
        <v>49</v>
      </c>
      <c r="L70">
        <f>L69-4</f>
        <v>48</v>
      </c>
    </row>
    <row r="71" spans="5:16">
      <c r="F71" s="15">
        <f>F70+G70+H70+I70+J70</f>
        <v>251</v>
      </c>
    </row>
  </sheetData>
  <mergeCells count="2">
    <mergeCell ref="E16:E20"/>
    <mergeCell ref="E66:E67"/>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dimension ref="A2:E22"/>
  <sheetViews>
    <sheetView workbookViewId="0">
      <selection activeCell="B8" sqref="B8"/>
    </sheetView>
  </sheetViews>
  <sheetFormatPr defaultRowHeight="15"/>
  <cols>
    <col min="1" max="1" width="106.5703125" bestFit="1" customWidth="1"/>
    <col min="2" max="2" width="11.42578125" bestFit="1" customWidth="1"/>
    <col min="4" max="4" width="10.7109375" bestFit="1" customWidth="1"/>
    <col min="6" max="6" width="10.140625" customWidth="1"/>
  </cols>
  <sheetData>
    <row r="2" spans="1:5" ht="15.75" thickBot="1">
      <c r="A2" s="4" t="s">
        <v>4</v>
      </c>
    </row>
    <row r="3" spans="1:5" ht="16.5" thickTop="1" thickBot="1">
      <c r="A3" s="1" t="s">
        <v>3</v>
      </c>
      <c r="B3" s="10">
        <v>18339</v>
      </c>
    </row>
    <row r="4" spans="1:5" ht="15.75" thickTop="1">
      <c r="A4" s="1" t="s">
        <v>5</v>
      </c>
      <c r="B4" s="6">
        <v>4310</v>
      </c>
    </row>
    <row r="5" spans="1:5">
      <c r="A5" s="1" t="s">
        <v>6</v>
      </c>
      <c r="B5" s="6">
        <v>1071</v>
      </c>
    </row>
    <row r="6" spans="1:5">
      <c r="A6" s="5" t="s">
        <v>2</v>
      </c>
      <c r="B6" s="6"/>
    </row>
    <row r="7" spans="1:5">
      <c r="A7" s="9" t="s">
        <v>7</v>
      </c>
      <c r="B7" s="7">
        <v>2313</v>
      </c>
    </row>
    <row r="8" spans="1:5" ht="30">
      <c r="A8" s="9" t="s">
        <v>8</v>
      </c>
      <c r="B8" s="7">
        <v>506</v>
      </c>
    </row>
    <row r="9" spans="1:5" ht="30">
      <c r="A9" s="9" t="s">
        <v>9</v>
      </c>
      <c r="B9" s="7">
        <v>262284</v>
      </c>
      <c r="C9">
        <f>B9/B7</f>
        <v>113.39559014267185</v>
      </c>
      <c r="D9">
        <f>150-C9</f>
        <v>36.60440985732815</v>
      </c>
      <c r="E9">
        <f>B7*D9</f>
        <v>84666.000000000015</v>
      </c>
    </row>
    <row r="10" spans="1:5" ht="30">
      <c r="A10" s="9" t="s">
        <v>10</v>
      </c>
      <c r="B10" s="6">
        <v>56333</v>
      </c>
      <c r="C10">
        <f>B10/B8</f>
        <v>111.3300395256917</v>
      </c>
      <c r="D10">
        <f>150-C10</f>
        <v>38.669960474308297</v>
      </c>
      <c r="E10">
        <f>B8*D10</f>
        <v>19567</v>
      </c>
    </row>
    <row r="11" spans="1:5">
      <c r="A11" s="9" t="s">
        <v>11</v>
      </c>
      <c r="B11" s="6">
        <v>422850</v>
      </c>
    </row>
    <row r="12" spans="1:5">
      <c r="A12" s="3" t="s">
        <v>1</v>
      </c>
      <c r="B12" s="8">
        <v>104233</v>
      </c>
    </row>
    <row r="21" spans="4:4">
      <c r="D21" s="2"/>
    </row>
    <row r="22" spans="4:4">
      <c r="D22" s="2"/>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tabColor rgb="FF00B050"/>
  </sheetPr>
  <dimension ref="A1:G22"/>
  <sheetViews>
    <sheetView workbookViewId="0">
      <selection activeCell="C24" sqref="C24"/>
    </sheetView>
  </sheetViews>
  <sheetFormatPr defaultRowHeight="15"/>
  <cols>
    <col min="1" max="1" width="4.140625" style="75" bestFit="1" customWidth="1"/>
    <col min="2" max="2" width="15.85546875" style="57" customWidth="1"/>
    <col min="3" max="3" width="21" style="11" customWidth="1"/>
    <col min="4" max="4" width="19.5703125" style="11" customWidth="1"/>
    <col min="5" max="5" width="15.42578125" style="11" customWidth="1"/>
    <col min="6" max="6" width="21.42578125" style="11" customWidth="1"/>
    <col min="7" max="7" width="14.28515625" bestFit="1" customWidth="1"/>
  </cols>
  <sheetData>
    <row r="1" spans="1:7" ht="75">
      <c r="A1" s="62" t="s">
        <v>49</v>
      </c>
      <c r="B1" s="62" t="s">
        <v>51</v>
      </c>
      <c r="C1" s="62" t="s">
        <v>55</v>
      </c>
      <c r="D1" s="62" t="s">
        <v>107</v>
      </c>
      <c r="E1" s="62" t="s">
        <v>54</v>
      </c>
      <c r="F1" s="62" t="s">
        <v>106</v>
      </c>
      <c r="G1" s="62" t="s">
        <v>110</v>
      </c>
    </row>
    <row r="2" spans="1:7">
      <c r="A2" s="13">
        <v>1</v>
      </c>
      <c r="B2" s="63">
        <v>5.2015000000000002</v>
      </c>
      <c r="C2" s="64"/>
      <c r="D2" s="64"/>
      <c r="E2" s="131">
        <v>699560</v>
      </c>
      <c r="F2" s="130"/>
      <c r="G2" s="14"/>
    </row>
    <row r="3" spans="1:7">
      <c r="A3" s="13">
        <v>2</v>
      </c>
      <c r="B3" s="63">
        <v>6.2015000000000002</v>
      </c>
      <c r="C3" s="64">
        <v>5104</v>
      </c>
      <c r="D3" s="64">
        <v>3200</v>
      </c>
      <c r="E3" s="64">
        <f t="shared" ref="E3:E21" si="0">E2+C3-D3</f>
        <v>701464</v>
      </c>
      <c r="F3" s="66"/>
      <c r="G3" s="129"/>
    </row>
    <row r="4" spans="1:7">
      <c r="A4" s="13">
        <v>3</v>
      </c>
      <c r="B4" s="63">
        <v>7.2015000000000002</v>
      </c>
      <c r="C4" s="64">
        <v>4548</v>
      </c>
      <c r="D4" s="64">
        <v>3200</v>
      </c>
      <c r="E4" s="64">
        <f t="shared" si="0"/>
        <v>702812</v>
      </c>
      <c r="F4" s="66"/>
      <c r="G4" s="129"/>
    </row>
    <row r="5" spans="1:7">
      <c r="A5" s="13">
        <v>4</v>
      </c>
      <c r="B5" s="63">
        <v>8.2014999999999993</v>
      </c>
      <c r="C5" s="64">
        <v>4734</v>
      </c>
      <c r="D5" s="64">
        <v>3200</v>
      </c>
      <c r="E5" s="64">
        <f t="shared" si="0"/>
        <v>704346</v>
      </c>
      <c r="F5" s="66"/>
      <c r="G5" s="129"/>
    </row>
    <row r="6" spans="1:7">
      <c r="A6" s="13">
        <v>5</v>
      </c>
      <c r="B6" s="63">
        <v>9.2014999999999993</v>
      </c>
      <c r="C6" s="64">
        <v>4735</v>
      </c>
      <c r="D6" s="64">
        <v>3200</v>
      </c>
      <c r="E6" s="64">
        <f t="shared" si="0"/>
        <v>705881</v>
      </c>
      <c r="F6" s="66"/>
      <c r="G6" s="129"/>
    </row>
    <row r="7" spans="1:7">
      <c r="A7" s="13">
        <v>6</v>
      </c>
      <c r="B7" s="63">
        <v>10.201499999999999</v>
      </c>
      <c r="C7" s="64">
        <v>4190</v>
      </c>
      <c r="D7" s="64">
        <v>3200</v>
      </c>
      <c r="E7" s="64">
        <f t="shared" si="0"/>
        <v>706871</v>
      </c>
      <c r="F7" s="66"/>
      <c r="G7" s="129"/>
    </row>
    <row r="8" spans="1:7">
      <c r="A8" s="13">
        <v>7</v>
      </c>
      <c r="B8" s="63">
        <v>11.201499999999999</v>
      </c>
      <c r="C8" s="64">
        <v>3981</v>
      </c>
      <c r="D8" s="64">
        <v>3200</v>
      </c>
      <c r="E8" s="64">
        <f t="shared" si="0"/>
        <v>707652</v>
      </c>
      <c r="F8" s="66"/>
      <c r="G8" s="123"/>
    </row>
    <row r="9" spans="1:7">
      <c r="A9" s="13">
        <v>8</v>
      </c>
      <c r="B9" s="63">
        <v>12.201499999999999</v>
      </c>
      <c r="C9" s="64">
        <v>3429</v>
      </c>
      <c r="D9" s="64">
        <v>3200</v>
      </c>
      <c r="E9" s="124">
        <f t="shared" si="0"/>
        <v>707881</v>
      </c>
      <c r="F9" s="66"/>
      <c r="G9" s="123"/>
    </row>
    <row r="10" spans="1:7">
      <c r="A10" s="13">
        <v>9</v>
      </c>
      <c r="B10" s="63">
        <v>1.2016</v>
      </c>
      <c r="C10" s="64">
        <v>3199</v>
      </c>
      <c r="D10" s="64">
        <v>3200</v>
      </c>
      <c r="E10" s="64">
        <f t="shared" si="0"/>
        <v>707880</v>
      </c>
      <c r="F10" s="66">
        <v>160</v>
      </c>
      <c r="G10" s="123">
        <f t="shared" ref="G10:G21" si="1">E10*F10</f>
        <v>113260800</v>
      </c>
    </row>
    <row r="11" spans="1:7">
      <c r="A11" s="13">
        <v>10</v>
      </c>
      <c r="B11" s="63">
        <v>2.2016</v>
      </c>
      <c r="C11" s="64">
        <v>5908</v>
      </c>
      <c r="D11" s="64">
        <v>3200</v>
      </c>
      <c r="E11" s="64">
        <f t="shared" si="0"/>
        <v>710588</v>
      </c>
      <c r="F11" s="66">
        <v>160</v>
      </c>
      <c r="G11" s="123">
        <f t="shared" si="1"/>
        <v>113694080</v>
      </c>
    </row>
    <row r="12" spans="1:7">
      <c r="A12" s="13">
        <v>11</v>
      </c>
      <c r="B12" s="63">
        <v>3.2016</v>
      </c>
      <c r="C12" s="64">
        <v>4806</v>
      </c>
      <c r="D12" s="64">
        <v>3200</v>
      </c>
      <c r="E12" s="64">
        <f t="shared" si="0"/>
        <v>712194</v>
      </c>
      <c r="F12" s="66">
        <v>160</v>
      </c>
      <c r="G12" s="123">
        <f t="shared" si="1"/>
        <v>113951040</v>
      </c>
    </row>
    <row r="13" spans="1:7">
      <c r="A13" s="13">
        <v>12</v>
      </c>
      <c r="B13" s="63">
        <v>4.2016</v>
      </c>
      <c r="C13" s="64">
        <v>5088</v>
      </c>
      <c r="D13" s="64">
        <v>3200</v>
      </c>
      <c r="E13" s="64">
        <f t="shared" si="0"/>
        <v>714082</v>
      </c>
      <c r="F13" s="66">
        <v>160</v>
      </c>
      <c r="G13" s="123">
        <f t="shared" si="1"/>
        <v>114253120</v>
      </c>
    </row>
    <row r="14" spans="1:7">
      <c r="A14" s="13">
        <v>13</v>
      </c>
      <c r="B14" s="63">
        <v>5.2016</v>
      </c>
      <c r="C14" s="64">
        <v>4792</v>
      </c>
      <c r="D14" s="64">
        <v>3200</v>
      </c>
      <c r="E14" s="64">
        <f t="shared" si="0"/>
        <v>715674</v>
      </c>
      <c r="F14" s="66">
        <v>160</v>
      </c>
      <c r="G14" s="123">
        <f t="shared" si="1"/>
        <v>114507840</v>
      </c>
    </row>
    <row r="15" spans="1:7">
      <c r="A15" s="13">
        <v>14</v>
      </c>
      <c r="B15" s="63">
        <v>6.2016</v>
      </c>
      <c r="C15" s="64">
        <v>5194</v>
      </c>
      <c r="D15" s="64">
        <v>3200</v>
      </c>
      <c r="E15" s="64">
        <f t="shared" si="0"/>
        <v>717668</v>
      </c>
      <c r="F15" s="66">
        <v>160</v>
      </c>
      <c r="G15" s="123">
        <f t="shared" si="1"/>
        <v>114826880</v>
      </c>
    </row>
    <row r="16" spans="1:7">
      <c r="A16" s="13">
        <v>15</v>
      </c>
      <c r="B16" s="63">
        <v>7.2016</v>
      </c>
      <c r="C16" s="64">
        <v>4540</v>
      </c>
      <c r="D16" s="64">
        <v>3200</v>
      </c>
      <c r="E16" s="64">
        <f t="shared" si="0"/>
        <v>719008</v>
      </c>
      <c r="F16" s="66">
        <v>160</v>
      </c>
      <c r="G16" s="123">
        <f t="shared" si="1"/>
        <v>115041280</v>
      </c>
    </row>
    <row r="17" spans="1:7">
      <c r="A17" s="13">
        <v>16</v>
      </c>
      <c r="B17" s="63">
        <v>8.2015999999999991</v>
      </c>
      <c r="C17" s="64">
        <v>4840</v>
      </c>
      <c r="D17" s="64">
        <v>3200</v>
      </c>
      <c r="E17" s="64">
        <f t="shared" si="0"/>
        <v>720648</v>
      </c>
      <c r="F17" s="66">
        <v>160</v>
      </c>
      <c r="G17" s="123">
        <f t="shared" si="1"/>
        <v>115303680</v>
      </c>
    </row>
    <row r="18" spans="1:7">
      <c r="A18" s="13">
        <v>17</v>
      </c>
      <c r="B18" s="63">
        <v>9.2015999999999991</v>
      </c>
      <c r="C18" s="64">
        <v>4491</v>
      </c>
      <c r="D18" s="64">
        <v>3200</v>
      </c>
      <c r="E18" s="64">
        <f t="shared" si="0"/>
        <v>721939</v>
      </c>
      <c r="F18" s="66">
        <v>160</v>
      </c>
      <c r="G18" s="123">
        <f t="shared" si="1"/>
        <v>115510240</v>
      </c>
    </row>
    <row r="19" spans="1:7">
      <c r="A19" s="13">
        <v>18</v>
      </c>
      <c r="B19" s="63">
        <v>10.201599999999999</v>
      </c>
      <c r="C19" s="64">
        <v>4279</v>
      </c>
      <c r="D19" s="64">
        <v>3200</v>
      </c>
      <c r="E19" s="64">
        <f t="shared" si="0"/>
        <v>723018</v>
      </c>
      <c r="F19" s="66">
        <v>160</v>
      </c>
      <c r="G19" s="123">
        <f t="shared" si="1"/>
        <v>115682880</v>
      </c>
    </row>
    <row r="20" spans="1:7">
      <c r="A20" s="13">
        <v>19</v>
      </c>
      <c r="B20" s="63">
        <v>11.201599999999999</v>
      </c>
      <c r="C20" s="128">
        <v>4135</v>
      </c>
      <c r="D20" s="64">
        <v>3200</v>
      </c>
      <c r="E20" s="64">
        <f t="shared" si="0"/>
        <v>723953</v>
      </c>
      <c r="F20" s="65">
        <v>160</v>
      </c>
      <c r="G20" s="123">
        <f t="shared" si="1"/>
        <v>115832480</v>
      </c>
    </row>
    <row r="21" spans="1:7">
      <c r="A21" s="13">
        <v>20</v>
      </c>
      <c r="B21" s="63">
        <v>12.201599999999999</v>
      </c>
      <c r="C21" s="128">
        <v>3630</v>
      </c>
      <c r="D21" s="64">
        <v>3200</v>
      </c>
      <c r="E21" s="64">
        <f t="shared" si="0"/>
        <v>724383</v>
      </c>
      <c r="F21" s="65">
        <v>160</v>
      </c>
      <c r="G21" s="123">
        <f t="shared" si="1"/>
        <v>115901280</v>
      </c>
    </row>
    <row r="22" spans="1:7">
      <c r="G22" s="122">
        <f>SUM(G10:G21)</f>
        <v>1377765600</v>
      </c>
    </row>
  </sheetData>
  <pageMargins left="0.2" right="0.2" top="0.25" bottom="0.25" header="0.3" footer="0.3"/>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H15"/>
  <sheetViews>
    <sheetView workbookViewId="0">
      <selection activeCell="G15" sqref="G15"/>
    </sheetView>
  </sheetViews>
  <sheetFormatPr defaultRowHeight="15"/>
  <cols>
    <col min="1" max="1" width="4.140625" style="75" bestFit="1" customWidth="1"/>
    <col min="2" max="2" width="15.85546875" style="57" customWidth="1"/>
    <col min="3" max="3" width="21" style="11" customWidth="1"/>
    <col min="4" max="4" width="15.28515625" style="11" customWidth="1"/>
    <col min="5" max="5" width="15.42578125" style="11" customWidth="1"/>
    <col min="6" max="6" width="19.42578125" style="11" customWidth="1"/>
    <col min="7" max="7" width="14.28515625" bestFit="1" customWidth="1"/>
    <col min="8" max="8" width="2.85546875" style="75" bestFit="1" customWidth="1"/>
  </cols>
  <sheetData>
    <row r="1" spans="1:8" ht="105">
      <c r="A1" s="62" t="s">
        <v>49</v>
      </c>
      <c r="B1" s="62" t="s">
        <v>51</v>
      </c>
      <c r="C1" s="62" t="s">
        <v>55</v>
      </c>
      <c r="D1" s="62" t="s">
        <v>107</v>
      </c>
      <c r="E1" s="62" t="s">
        <v>54</v>
      </c>
      <c r="F1" s="62" t="s">
        <v>106</v>
      </c>
      <c r="G1" s="62" t="s">
        <v>109</v>
      </c>
    </row>
    <row r="2" spans="1:8">
      <c r="A2" s="13">
        <v>1</v>
      </c>
      <c r="B2" s="63">
        <v>12.201599999999999</v>
      </c>
      <c r="C2" s="64"/>
      <c r="D2" s="64"/>
      <c r="E2" s="127">
        <v>724383</v>
      </c>
      <c r="F2" s="66"/>
      <c r="G2" s="123">
        <f t="shared" ref="G2:G14" si="0">E2*F2</f>
        <v>0</v>
      </c>
    </row>
    <row r="3" spans="1:8">
      <c r="A3" s="13">
        <v>2</v>
      </c>
      <c r="B3" s="63">
        <v>1.2017</v>
      </c>
      <c r="C3" s="64">
        <v>3391</v>
      </c>
      <c r="D3" s="64">
        <v>3200</v>
      </c>
      <c r="E3" s="64">
        <f t="shared" ref="E3:E14" si="1">E2+C3-D3</f>
        <v>724574</v>
      </c>
      <c r="F3" s="66">
        <v>160</v>
      </c>
      <c r="G3" s="123">
        <f t="shared" si="0"/>
        <v>115931840</v>
      </c>
    </row>
    <row r="4" spans="1:8">
      <c r="A4" s="13">
        <v>3</v>
      </c>
      <c r="B4" s="63">
        <v>2.2017000000000002</v>
      </c>
      <c r="C4" s="64">
        <v>6135</v>
      </c>
      <c r="D4" s="64">
        <v>3200</v>
      </c>
      <c r="E4" s="64">
        <f t="shared" si="1"/>
        <v>727509</v>
      </c>
      <c r="F4" s="66">
        <v>160</v>
      </c>
      <c r="G4" s="123">
        <f t="shared" si="0"/>
        <v>116401440</v>
      </c>
    </row>
    <row r="5" spans="1:8">
      <c r="A5" s="13">
        <v>4</v>
      </c>
      <c r="B5" s="63">
        <v>3.2017000000000002</v>
      </c>
      <c r="C5" s="64">
        <v>4828</v>
      </c>
      <c r="D5" s="64">
        <v>3200</v>
      </c>
      <c r="E5" s="64">
        <f t="shared" si="1"/>
        <v>729137</v>
      </c>
      <c r="F5" s="66">
        <v>160</v>
      </c>
      <c r="G5" s="123">
        <f t="shared" si="0"/>
        <v>116661920</v>
      </c>
    </row>
    <row r="6" spans="1:8">
      <c r="A6" s="13">
        <v>5</v>
      </c>
      <c r="B6" s="63">
        <v>4.2016999999999998</v>
      </c>
      <c r="C6" s="64">
        <v>5375</v>
      </c>
      <c r="D6" s="64">
        <v>3200</v>
      </c>
      <c r="E6" s="64">
        <f t="shared" si="1"/>
        <v>731312</v>
      </c>
      <c r="F6" s="66">
        <v>160</v>
      </c>
      <c r="G6" s="123">
        <f t="shared" si="0"/>
        <v>117009920</v>
      </c>
    </row>
    <row r="7" spans="1:8">
      <c r="A7" s="13">
        <v>6</v>
      </c>
      <c r="B7" s="63">
        <v>5.2016999999999998</v>
      </c>
      <c r="C7" s="64">
        <v>5045</v>
      </c>
      <c r="D7" s="64">
        <v>3200</v>
      </c>
      <c r="E7" s="64">
        <f t="shared" si="1"/>
        <v>733157</v>
      </c>
      <c r="F7" s="66">
        <v>160</v>
      </c>
      <c r="G7" s="123">
        <f t="shared" si="0"/>
        <v>117305120</v>
      </c>
      <c r="H7" s="126"/>
    </row>
    <row r="8" spans="1:8">
      <c r="A8" s="13">
        <v>7</v>
      </c>
      <c r="B8" s="63">
        <v>6.2016999999999998</v>
      </c>
      <c r="C8" s="64">
        <v>5125</v>
      </c>
      <c r="D8" s="64">
        <v>3200</v>
      </c>
      <c r="E8" s="64">
        <f t="shared" si="1"/>
        <v>735082</v>
      </c>
      <c r="F8" s="66">
        <v>160</v>
      </c>
      <c r="G8" s="123">
        <f t="shared" si="0"/>
        <v>117613120</v>
      </c>
    </row>
    <row r="9" spans="1:8">
      <c r="A9" s="13">
        <v>8</v>
      </c>
      <c r="B9" s="63">
        <v>7.2016999999999998</v>
      </c>
      <c r="C9" s="64">
        <v>4669</v>
      </c>
      <c r="D9" s="64">
        <v>3200</v>
      </c>
      <c r="E9" s="124">
        <f t="shared" si="1"/>
        <v>736551</v>
      </c>
      <c r="F9" s="66">
        <v>160</v>
      </c>
      <c r="G9" s="123">
        <f t="shared" si="0"/>
        <v>117848160</v>
      </c>
    </row>
    <row r="10" spans="1:8">
      <c r="A10" s="13">
        <v>9</v>
      </c>
      <c r="B10" s="63">
        <v>8.2017000000000007</v>
      </c>
      <c r="C10" s="64">
        <v>4791</v>
      </c>
      <c r="D10" s="64">
        <v>3200</v>
      </c>
      <c r="E10" s="64">
        <f t="shared" si="1"/>
        <v>738142</v>
      </c>
      <c r="F10" s="66">
        <v>160</v>
      </c>
      <c r="G10" s="123">
        <f t="shared" si="0"/>
        <v>118102720</v>
      </c>
    </row>
    <row r="11" spans="1:8">
      <c r="A11" s="13">
        <v>10</v>
      </c>
      <c r="B11" s="63">
        <v>9.2017000000000007</v>
      </c>
      <c r="C11" s="64">
        <v>4869</v>
      </c>
      <c r="D11" s="64">
        <v>3200</v>
      </c>
      <c r="E11" s="64">
        <f t="shared" si="1"/>
        <v>739811</v>
      </c>
      <c r="F11" s="66">
        <v>160</v>
      </c>
      <c r="G11" s="123">
        <f t="shared" si="0"/>
        <v>118369760</v>
      </c>
    </row>
    <row r="12" spans="1:8">
      <c r="A12" s="13">
        <v>11</v>
      </c>
      <c r="B12" s="63">
        <v>10.201700000000001</v>
      </c>
      <c r="C12" s="64">
        <v>4665</v>
      </c>
      <c r="D12" s="64">
        <v>3200</v>
      </c>
      <c r="E12" s="64">
        <f t="shared" si="1"/>
        <v>741276</v>
      </c>
      <c r="F12" s="66">
        <v>160</v>
      </c>
      <c r="G12" s="123">
        <f t="shared" si="0"/>
        <v>118604160</v>
      </c>
    </row>
    <row r="13" spans="1:8">
      <c r="A13" s="13">
        <v>12</v>
      </c>
      <c r="B13" s="63">
        <v>11.201700000000001</v>
      </c>
      <c r="C13" s="64">
        <v>4556</v>
      </c>
      <c r="D13" s="64">
        <v>3200</v>
      </c>
      <c r="E13" s="64">
        <f t="shared" si="1"/>
        <v>742632</v>
      </c>
      <c r="F13" s="66">
        <v>160</v>
      </c>
      <c r="G13" s="123">
        <f t="shared" si="0"/>
        <v>118821120</v>
      </c>
    </row>
    <row r="14" spans="1:8">
      <c r="A14" s="13">
        <v>13</v>
      </c>
      <c r="B14" s="63">
        <v>12.201700000000001</v>
      </c>
      <c r="C14" s="64">
        <v>3896</v>
      </c>
      <c r="D14" s="64">
        <v>3200</v>
      </c>
      <c r="E14" s="64">
        <f t="shared" si="1"/>
        <v>743328</v>
      </c>
      <c r="F14" s="66">
        <v>160</v>
      </c>
      <c r="G14" s="123">
        <f t="shared" si="0"/>
        <v>118932480</v>
      </c>
    </row>
    <row r="15" spans="1:8">
      <c r="G15" s="122">
        <f>SUM(G3:G14)</f>
        <v>1411601760</v>
      </c>
    </row>
  </sheetData>
  <pageMargins left="0.2" right="0.2" top="0.25" bottom="0.25"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I15"/>
  <sheetViews>
    <sheetView workbookViewId="0">
      <selection activeCell="G15" sqref="G15"/>
    </sheetView>
  </sheetViews>
  <sheetFormatPr defaultRowHeight="15"/>
  <cols>
    <col min="1" max="1" width="4.140625" style="75" bestFit="1" customWidth="1"/>
    <col min="2" max="2" width="15.85546875" style="57" customWidth="1"/>
    <col min="3" max="3" width="21" style="11" customWidth="1"/>
    <col min="4" max="4" width="15.28515625" style="11" customWidth="1"/>
    <col min="5" max="5" width="15.42578125" style="11" customWidth="1"/>
    <col min="6" max="6" width="19.42578125" style="11" customWidth="1"/>
    <col min="7" max="7" width="14.28515625" bestFit="1" customWidth="1"/>
    <col min="8" max="8" width="2.85546875" style="75" bestFit="1" customWidth="1"/>
    <col min="9" max="9" width="18" customWidth="1"/>
  </cols>
  <sheetData>
    <row r="1" spans="1:9" ht="105">
      <c r="A1" s="62" t="s">
        <v>49</v>
      </c>
      <c r="B1" s="62" t="s">
        <v>51</v>
      </c>
      <c r="C1" s="62" t="s">
        <v>55</v>
      </c>
      <c r="D1" s="62" t="s">
        <v>107</v>
      </c>
      <c r="E1" s="62" t="s">
        <v>54</v>
      </c>
      <c r="F1" s="62" t="s">
        <v>106</v>
      </c>
      <c r="G1" s="62" t="s">
        <v>108</v>
      </c>
    </row>
    <row r="2" spans="1:9">
      <c r="A2" s="13">
        <v>1</v>
      </c>
      <c r="B2" s="63">
        <v>12.201700000000001</v>
      </c>
      <c r="C2" s="64"/>
      <c r="D2" s="64"/>
      <c r="E2" s="127">
        <v>743328</v>
      </c>
      <c r="F2" s="66"/>
      <c r="G2" s="123">
        <f t="shared" ref="G2:G14" si="0">E2*F2</f>
        <v>0</v>
      </c>
    </row>
    <row r="3" spans="1:9">
      <c r="A3" s="13">
        <v>2</v>
      </c>
      <c r="B3" s="63">
        <v>1.2018</v>
      </c>
      <c r="C3" s="64">
        <v>3614</v>
      </c>
      <c r="D3" s="64">
        <v>3200</v>
      </c>
      <c r="E3" s="64">
        <f t="shared" ref="E3:E14" si="1">E2+C3-D3</f>
        <v>743742</v>
      </c>
      <c r="F3" s="66">
        <v>160</v>
      </c>
      <c r="G3" s="123">
        <f t="shared" si="0"/>
        <v>118998720</v>
      </c>
    </row>
    <row r="4" spans="1:9">
      <c r="A4" s="13">
        <v>3</v>
      </c>
      <c r="B4" s="63">
        <v>2.2018</v>
      </c>
      <c r="C4" s="64">
        <v>6086</v>
      </c>
      <c r="D4" s="64">
        <v>3200</v>
      </c>
      <c r="E4" s="64">
        <f t="shared" si="1"/>
        <v>746628</v>
      </c>
      <c r="F4" s="66">
        <v>160</v>
      </c>
      <c r="G4" s="123">
        <f t="shared" si="0"/>
        <v>119460480</v>
      </c>
    </row>
    <row r="5" spans="1:9">
      <c r="A5" s="13">
        <v>4</v>
      </c>
      <c r="B5" s="63">
        <v>3.2018</v>
      </c>
      <c r="C5" s="64">
        <v>4987</v>
      </c>
      <c r="D5" s="64">
        <v>3200</v>
      </c>
      <c r="E5" s="64">
        <f t="shared" si="1"/>
        <v>748415</v>
      </c>
      <c r="F5" s="66">
        <v>160</v>
      </c>
      <c r="G5" s="123">
        <f t="shared" si="0"/>
        <v>119746400</v>
      </c>
    </row>
    <row r="6" spans="1:9">
      <c r="A6" s="13">
        <v>5</v>
      </c>
      <c r="B6" s="63">
        <v>4.2018000000000004</v>
      </c>
      <c r="C6" s="64">
        <v>5610</v>
      </c>
      <c r="D6" s="64">
        <v>3200</v>
      </c>
      <c r="E6" s="64">
        <f t="shared" si="1"/>
        <v>750825</v>
      </c>
      <c r="F6" s="66">
        <v>160</v>
      </c>
      <c r="G6" s="123">
        <f t="shared" si="0"/>
        <v>120132000</v>
      </c>
    </row>
    <row r="7" spans="1:9">
      <c r="A7" s="13">
        <v>6</v>
      </c>
      <c r="B7" s="63">
        <v>5.2018000000000004</v>
      </c>
      <c r="C7" s="64">
        <v>4968</v>
      </c>
      <c r="D7" s="64">
        <v>3200</v>
      </c>
      <c r="E7" s="64">
        <f t="shared" si="1"/>
        <v>752593</v>
      </c>
      <c r="F7" s="66">
        <v>160</v>
      </c>
      <c r="G7" s="123">
        <f t="shared" si="0"/>
        <v>120414880</v>
      </c>
      <c r="H7" s="126"/>
      <c r="I7" s="125"/>
    </row>
    <row r="8" spans="1:9">
      <c r="A8" s="13">
        <v>7</v>
      </c>
      <c r="B8" s="63">
        <v>6.2018000000000004</v>
      </c>
      <c r="C8" s="64">
        <v>4989</v>
      </c>
      <c r="D8" s="64">
        <v>3200</v>
      </c>
      <c r="E8" s="64">
        <f t="shared" si="1"/>
        <v>754382</v>
      </c>
      <c r="F8" s="66">
        <v>160</v>
      </c>
      <c r="G8" s="123">
        <f t="shared" si="0"/>
        <v>120701120</v>
      </c>
    </row>
    <row r="9" spans="1:9">
      <c r="A9" s="13">
        <v>8</v>
      </c>
      <c r="B9" s="63">
        <v>7.2018000000000004</v>
      </c>
      <c r="C9" s="64">
        <v>4404</v>
      </c>
      <c r="D9" s="64">
        <v>3200</v>
      </c>
      <c r="E9" s="124">
        <f t="shared" si="1"/>
        <v>755586</v>
      </c>
      <c r="F9" s="66">
        <v>160</v>
      </c>
      <c r="G9" s="123">
        <f t="shared" si="0"/>
        <v>120893760</v>
      </c>
      <c r="I9" s="76"/>
    </row>
    <row r="10" spans="1:9">
      <c r="A10" s="13">
        <v>9</v>
      </c>
      <c r="B10" s="63">
        <v>8.2018000000000004</v>
      </c>
      <c r="C10" s="64">
        <v>4407</v>
      </c>
      <c r="D10" s="64">
        <v>3200</v>
      </c>
      <c r="E10" s="64">
        <f t="shared" si="1"/>
        <v>756793</v>
      </c>
      <c r="F10" s="66">
        <v>160</v>
      </c>
      <c r="G10" s="123">
        <f t="shared" si="0"/>
        <v>121086880</v>
      </c>
    </row>
    <row r="11" spans="1:9">
      <c r="A11" s="13">
        <v>10</v>
      </c>
      <c r="B11" s="63">
        <v>9.2018000000000004</v>
      </c>
      <c r="C11" s="64">
        <v>4619</v>
      </c>
      <c r="D11" s="64">
        <v>3200</v>
      </c>
      <c r="E11" s="64">
        <f t="shared" si="1"/>
        <v>758212</v>
      </c>
      <c r="F11" s="66">
        <v>160</v>
      </c>
      <c r="G11" s="123">
        <f t="shared" si="0"/>
        <v>121313920</v>
      </c>
    </row>
    <row r="12" spans="1:9">
      <c r="A12" s="13">
        <v>11</v>
      </c>
      <c r="B12" s="63">
        <v>10.2018</v>
      </c>
      <c r="C12" s="64">
        <v>4774</v>
      </c>
      <c r="D12" s="64">
        <v>3200</v>
      </c>
      <c r="E12" s="64">
        <f t="shared" si="1"/>
        <v>759786</v>
      </c>
      <c r="F12" s="66">
        <v>160</v>
      </c>
      <c r="G12" s="123">
        <f t="shared" si="0"/>
        <v>121565760</v>
      </c>
      <c r="I12" s="76"/>
    </row>
    <row r="13" spans="1:9">
      <c r="A13" s="13">
        <v>12</v>
      </c>
      <c r="B13" s="63">
        <v>11.2018</v>
      </c>
      <c r="C13" s="64">
        <v>4863</v>
      </c>
      <c r="D13" s="64">
        <v>3200</v>
      </c>
      <c r="E13" s="64">
        <f t="shared" si="1"/>
        <v>761449</v>
      </c>
      <c r="F13" s="66">
        <v>160</v>
      </c>
      <c r="G13" s="123">
        <f t="shared" si="0"/>
        <v>121831840</v>
      </c>
    </row>
    <row r="14" spans="1:9">
      <c r="A14" s="13">
        <v>13</v>
      </c>
      <c r="B14" s="63">
        <v>12.2018</v>
      </c>
      <c r="C14" s="64">
        <v>4398</v>
      </c>
      <c r="D14" s="64">
        <v>3200</v>
      </c>
      <c r="E14" s="64">
        <f t="shared" si="1"/>
        <v>762647</v>
      </c>
      <c r="F14" s="66">
        <v>160</v>
      </c>
      <c r="G14" s="123">
        <f t="shared" si="0"/>
        <v>122023520</v>
      </c>
    </row>
    <row r="15" spans="1:9">
      <c r="G15" s="122">
        <f>SUM(G3:G14)</f>
        <v>1448169280</v>
      </c>
    </row>
  </sheetData>
  <pageMargins left="0.2" right="0.2" top="0.25" bottom="0.2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I15"/>
  <sheetViews>
    <sheetView workbookViewId="0">
      <selection activeCell="G15" sqref="G15"/>
    </sheetView>
  </sheetViews>
  <sheetFormatPr defaultRowHeight="15"/>
  <cols>
    <col min="1" max="1" width="4.140625" style="75" bestFit="1" customWidth="1"/>
    <col min="2" max="2" width="15.85546875" style="57" customWidth="1"/>
    <col min="3" max="3" width="21" style="11" customWidth="1"/>
    <col min="4" max="4" width="15.28515625" style="11" customWidth="1"/>
    <col min="5" max="5" width="15.42578125" style="11" customWidth="1"/>
    <col min="6" max="6" width="19.42578125" style="11" customWidth="1"/>
    <col min="7" max="7" width="14.28515625" bestFit="1" customWidth="1"/>
    <col min="8" max="8" width="2.85546875" style="75" bestFit="1" customWidth="1"/>
    <col min="9" max="9" width="18" customWidth="1"/>
  </cols>
  <sheetData>
    <row r="1" spans="1:9" ht="105">
      <c r="A1" s="62" t="s">
        <v>49</v>
      </c>
      <c r="B1" s="62" t="s">
        <v>51</v>
      </c>
      <c r="C1" s="62" t="s">
        <v>55</v>
      </c>
      <c r="D1" s="62" t="s">
        <v>107</v>
      </c>
      <c r="E1" s="62" t="s">
        <v>54</v>
      </c>
      <c r="F1" s="62" t="s">
        <v>106</v>
      </c>
      <c r="G1" s="62" t="s">
        <v>105</v>
      </c>
    </row>
    <row r="2" spans="1:9">
      <c r="A2" s="13">
        <v>1</v>
      </c>
      <c r="B2" s="63">
        <v>12.2018</v>
      </c>
      <c r="C2" s="64"/>
      <c r="D2" s="64"/>
      <c r="E2" s="127">
        <v>762647</v>
      </c>
      <c r="F2" s="66"/>
      <c r="G2" s="123">
        <f t="shared" ref="G2:G14" si="0">E2*F2</f>
        <v>0</v>
      </c>
    </row>
    <row r="3" spans="1:9">
      <c r="A3" s="13">
        <v>2</v>
      </c>
      <c r="B3" s="63">
        <v>1.2019</v>
      </c>
      <c r="C3" s="64">
        <v>3892</v>
      </c>
      <c r="D3" s="64">
        <v>3200</v>
      </c>
      <c r="E3" s="64">
        <f t="shared" ref="E3:E14" si="1">E2+C3-D3</f>
        <v>763339</v>
      </c>
      <c r="F3" s="66">
        <v>160</v>
      </c>
      <c r="G3" s="123">
        <f t="shared" si="0"/>
        <v>122134240</v>
      </c>
    </row>
    <row r="4" spans="1:9">
      <c r="A4" s="13">
        <v>3</v>
      </c>
      <c r="B4" s="63">
        <v>2.2019000000000002</v>
      </c>
      <c r="C4" s="64">
        <v>6351</v>
      </c>
      <c r="D4" s="64">
        <v>3200</v>
      </c>
      <c r="E4" s="64">
        <f t="shared" si="1"/>
        <v>766490</v>
      </c>
      <c r="F4" s="66">
        <v>160</v>
      </c>
      <c r="G4" s="123">
        <f t="shared" si="0"/>
        <v>122638400</v>
      </c>
    </row>
    <row r="5" spans="1:9">
      <c r="A5" s="13">
        <v>4</v>
      </c>
      <c r="B5" s="63">
        <v>3.2019000000000002</v>
      </c>
      <c r="C5" s="64">
        <v>5379</v>
      </c>
      <c r="D5" s="64">
        <v>3200</v>
      </c>
      <c r="E5" s="64">
        <f t="shared" si="1"/>
        <v>768669</v>
      </c>
      <c r="F5" s="66">
        <v>160</v>
      </c>
      <c r="G5" s="123">
        <f t="shared" si="0"/>
        <v>122987040</v>
      </c>
    </row>
    <row r="6" spans="1:9">
      <c r="A6" s="13">
        <v>5</v>
      </c>
      <c r="B6" s="63">
        <v>4.2019000000000002</v>
      </c>
      <c r="C6" s="64">
        <v>5917</v>
      </c>
      <c r="D6" s="64">
        <v>3200</v>
      </c>
      <c r="E6" s="64">
        <f t="shared" si="1"/>
        <v>771386</v>
      </c>
      <c r="F6" s="66">
        <v>160</v>
      </c>
      <c r="G6" s="123">
        <f t="shared" si="0"/>
        <v>123421760</v>
      </c>
    </row>
    <row r="7" spans="1:9">
      <c r="A7" s="13">
        <v>6</v>
      </c>
      <c r="B7" s="63">
        <v>5.2019000000000002</v>
      </c>
      <c r="C7" s="64">
        <v>5450</v>
      </c>
      <c r="D7" s="64">
        <v>3200</v>
      </c>
      <c r="E7" s="64">
        <f t="shared" si="1"/>
        <v>773636</v>
      </c>
      <c r="F7" s="66">
        <v>160</v>
      </c>
      <c r="G7" s="123">
        <f t="shared" si="0"/>
        <v>123781760</v>
      </c>
      <c r="H7" s="126"/>
      <c r="I7" s="125"/>
    </row>
    <row r="8" spans="1:9">
      <c r="A8" s="13">
        <v>7</v>
      </c>
      <c r="B8" s="63">
        <v>6.2019000000000002</v>
      </c>
      <c r="C8" s="64">
        <v>5669</v>
      </c>
      <c r="D8" s="64">
        <v>3200</v>
      </c>
      <c r="E8" s="64">
        <f t="shared" si="1"/>
        <v>776105</v>
      </c>
      <c r="F8" s="66">
        <v>160</v>
      </c>
      <c r="G8" s="123">
        <f t="shared" si="0"/>
        <v>124176800</v>
      </c>
    </row>
    <row r="9" spans="1:9">
      <c r="A9" s="13">
        <v>8</v>
      </c>
      <c r="B9" s="63">
        <v>7.2019000000000002</v>
      </c>
      <c r="C9" s="64">
        <v>5133</v>
      </c>
      <c r="D9" s="64">
        <v>3200</v>
      </c>
      <c r="E9" s="124">
        <f t="shared" si="1"/>
        <v>778038</v>
      </c>
      <c r="F9" s="66">
        <v>160</v>
      </c>
      <c r="G9" s="123">
        <f t="shared" si="0"/>
        <v>124486080</v>
      </c>
      <c r="I9" s="76"/>
    </row>
    <row r="10" spans="1:9">
      <c r="A10" s="13">
        <v>9</v>
      </c>
      <c r="B10" s="63">
        <v>8.2019000000000002</v>
      </c>
      <c r="C10" s="64">
        <v>5454</v>
      </c>
      <c r="D10" s="64">
        <v>3200</v>
      </c>
      <c r="E10" s="64">
        <f t="shared" si="1"/>
        <v>780292</v>
      </c>
      <c r="F10" s="66">
        <v>160</v>
      </c>
      <c r="G10" s="123">
        <f t="shared" si="0"/>
        <v>124846720</v>
      </c>
    </row>
    <row r="11" spans="1:9">
      <c r="A11" s="13">
        <v>10</v>
      </c>
      <c r="B11" s="63">
        <v>9.2019000000000002</v>
      </c>
      <c r="C11" s="64">
        <v>5480</v>
      </c>
      <c r="D11" s="64">
        <v>3200</v>
      </c>
      <c r="E11" s="64">
        <f t="shared" si="1"/>
        <v>782572</v>
      </c>
      <c r="F11" s="66">
        <v>160</v>
      </c>
      <c r="G11" s="123">
        <f t="shared" si="0"/>
        <v>125211520</v>
      </c>
    </row>
    <row r="12" spans="1:9">
      <c r="A12" s="13">
        <v>11</v>
      </c>
      <c r="B12" s="63">
        <v>10.2019</v>
      </c>
      <c r="C12" s="64">
        <v>5027</v>
      </c>
      <c r="D12" s="64">
        <v>3200</v>
      </c>
      <c r="E12" s="64">
        <f t="shared" si="1"/>
        <v>784399</v>
      </c>
      <c r="F12" s="66">
        <v>160</v>
      </c>
      <c r="G12" s="123">
        <f t="shared" si="0"/>
        <v>125503840</v>
      </c>
      <c r="I12" s="76"/>
    </row>
    <row r="13" spans="1:9">
      <c r="A13" s="13">
        <v>12</v>
      </c>
      <c r="B13" s="63">
        <v>11.2019</v>
      </c>
      <c r="C13" s="64">
        <v>4688</v>
      </c>
      <c r="D13" s="64">
        <v>3200</v>
      </c>
      <c r="E13" s="64">
        <f t="shared" si="1"/>
        <v>785887</v>
      </c>
      <c r="F13" s="66">
        <v>160</v>
      </c>
      <c r="G13" s="123">
        <f t="shared" si="0"/>
        <v>125741920</v>
      </c>
    </row>
    <row r="14" spans="1:9">
      <c r="A14" s="13">
        <v>13</v>
      </c>
      <c r="B14" s="63">
        <v>12.2019</v>
      </c>
      <c r="C14" s="64">
        <v>4122</v>
      </c>
      <c r="D14" s="64">
        <v>3200</v>
      </c>
      <c r="E14" s="64">
        <f t="shared" si="1"/>
        <v>786809</v>
      </c>
      <c r="F14" s="66">
        <v>160</v>
      </c>
      <c r="G14" s="123">
        <f t="shared" si="0"/>
        <v>125889440</v>
      </c>
    </row>
    <row r="15" spans="1:9">
      <c r="G15" s="122">
        <f>SUM(G3:G14)</f>
        <v>1490819520</v>
      </c>
    </row>
  </sheetData>
  <pageMargins left="0.2" right="0.2" top="0.25" bottom="0.25" header="0.3" footer="0.3"/>
  <pageSetup orientation="portrait" r:id="rId1"/>
</worksheet>
</file>

<file path=xl/worksheets/sheet6.xml><?xml version="1.0" encoding="utf-8"?>
<worksheet xmlns="http://schemas.openxmlformats.org/spreadsheetml/2006/main" xmlns:r="http://schemas.openxmlformats.org/officeDocument/2006/relationships">
  <sheetPr>
    <tabColor rgb="FF00B050"/>
    <pageSetUpPr fitToPage="1"/>
  </sheetPr>
  <dimension ref="A1:Q9"/>
  <sheetViews>
    <sheetView zoomScale="93" zoomScaleNormal="93" workbookViewId="0">
      <selection activeCell="C9" sqref="C9"/>
    </sheetView>
  </sheetViews>
  <sheetFormatPr defaultRowHeight="15"/>
  <cols>
    <col min="1" max="1" width="3.140625" style="75" bestFit="1" customWidth="1"/>
    <col min="2" max="2" width="35.28515625" style="4" bestFit="1" customWidth="1"/>
    <col min="3" max="3" width="16.5703125" customWidth="1"/>
    <col min="4" max="4" width="11" customWidth="1"/>
    <col min="5" max="5" width="15.28515625" customWidth="1"/>
    <col min="6" max="6" width="17.42578125" customWidth="1"/>
    <col min="7" max="7" width="11.7109375" customWidth="1"/>
    <col min="8" max="8" width="11.85546875" customWidth="1"/>
    <col min="9" max="9" width="10.28515625" customWidth="1"/>
    <col min="10" max="10" width="9.85546875" customWidth="1"/>
    <col min="11" max="11" width="7.85546875" customWidth="1"/>
    <col min="12" max="12" width="10.140625" customWidth="1"/>
    <col min="13" max="13" width="9" customWidth="1"/>
    <col min="14" max="14" width="9.85546875" customWidth="1"/>
    <col min="15" max="15" width="8.85546875" bestFit="1" customWidth="1"/>
    <col min="16" max="16" width="8.85546875" customWidth="1"/>
    <col min="17" max="17" width="14.28515625" customWidth="1"/>
  </cols>
  <sheetData>
    <row r="1" spans="1:17" ht="135">
      <c r="A1" s="67" t="s">
        <v>49</v>
      </c>
      <c r="B1" s="67"/>
      <c r="C1" s="67" t="s">
        <v>56</v>
      </c>
      <c r="D1" s="67" t="s">
        <v>57</v>
      </c>
      <c r="E1" s="67" t="s">
        <v>58</v>
      </c>
      <c r="F1" s="67" t="s">
        <v>59</v>
      </c>
      <c r="G1" s="67" t="s">
        <v>60</v>
      </c>
      <c r="H1" s="67" t="s">
        <v>61</v>
      </c>
      <c r="I1" s="67" t="s">
        <v>62</v>
      </c>
      <c r="J1" s="67" t="s">
        <v>63</v>
      </c>
      <c r="K1" s="67" t="s">
        <v>64</v>
      </c>
      <c r="L1" s="67" t="s">
        <v>65</v>
      </c>
      <c r="M1" s="67" t="s">
        <v>66</v>
      </c>
      <c r="N1" s="67" t="s">
        <v>67</v>
      </c>
      <c r="O1" s="67" t="s">
        <v>68</v>
      </c>
      <c r="P1" s="67" t="s">
        <v>104</v>
      </c>
      <c r="Q1" s="67" t="s">
        <v>69</v>
      </c>
    </row>
    <row r="2" spans="1:17">
      <c r="A2" s="72">
        <v>1</v>
      </c>
      <c r="B2" s="73" t="s">
        <v>70</v>
      </c>
      <c r="C2" s="68">
        <v>11749</v>
      </c>
      <c r="D2" s="68">
        <v>3218</v>
      </c>
      <c r="E2" s="68">
        <v>946</v>
      </c>
      <c r="F2" s="68">
        <v>215</v>
      </c>
      <c r="G2" s="68">
        <v>671</v>
      </c>
      <c r="H2" s="68">
        <v>69</v>
      </c>
      <c r="I2" s="68">
        <v>4</v>
      </c>
      <c r="J2" s="68">
        <v>19</v>
      </c>
      <c r="K2" s="68">
        <v>12</v>
      </c>
      <c r="L2" s="68">
        <v>46</v>
      </c>
      <c r="M2" s="68">
        <v>41</v>
      </c>
      <c r="N2" s="68">
        <v>3</v>
      </c>
      <c r="O2" s="68">
        <v>562</v>
      </c>
      <c r="P2" s="68">
        <v>349</v>
      </c>
      <c r="Q2" s="68">
        <v>2712</v>
      </c>
    </row>
    <row r="3" spans="1:17">
      <c r="A3" s="72">
        <v>2</v>
      </c>
      <c r="B3" s="73" t="s">
        <v>71</v>
      </c>
      <c r="C3" s="69">
        <f>3387887.72/C2</f>
        <v>288.3554106732488</v>
      </c>
      <c r="D3" s="69">
        <f>831441.25/D2</f>
        <v>258.37204785581105</v>
      </c>
      <c r="E3" s="69">
        <f>(309683.86+328)/E2</f>
        <v>327.70809725158563</v>
      </c>
      <c r="F3" s="69">
        <f>101716.12/F2</f>
        <v>473.0982325581395</v>
      </c>
      <c r="G3" s="69">
        <v>560</v>
      </c>
      <c r="H3" s="69">
        <f>34808.87/H2</f>
        <v>504.47637681159426</v>
      </c>
      <c r="I3" s="69">
        <f>11150/4</f>
        <v>2787.5</v>
      </c>
      <c r="J3" s="69">
        <f>9519.99/J2</f>
        <v>501.0521052631579</v>
      </c>
      <c r="K3" s="69">
        <f>19500/12</f>
        <v>1625</v>
      </c>
      <c r="L3" s="69">
        <f>55200/L2</f>
        <v>1200</v>
      </c>
      <c r="M3" s="69">
        <f>22313.36/M2</f>
        <v>544.22829268292685</v>
      </c>
      <c r="N3" s="69">
        <v>560</v>
      </c>
      <c r="O3" s="69">
        <f>130117/O2</f>
        <v>231.52491103202846</v>
      </c>
      <c r="P3" s="69">
        <f>102358/P2</f>
        <v>293.28939828080229</v>
      </c>
      <c r="Q3" s="69">
        <v>1000</v>
      </c>
    </row>
    <row r="4" spans="1:17">
      <c r="A4" s="72">
        <v>3</v>
      </c>
      <c r="B4" s="73" t="s">
        <v>72</v>
      </c>
      <c r="C4" s="70">
        <f t="shared" ref="C4:Q4" si="0">C2*C3</f>
        <v>3387887.72</v>
      </c>
      <c r="D4" s="70">
        <f t="shared" si="0"/>
        <v>831441.25</v>
      </c>
      <c r="E4" s="70">
        <f t="shared" si="0"/>
        <v>310011.86</v>
      </c>
      <c r="F4" s="70">
        <f t="shared" si="0"/>
        <v>101716.12</v>
      </c>
      <c r="G4" s="70">
        <f t="shared" si="0"/>
        <v>375760</v>
      </c>
      <c r="H4" s="70">
        <f t="shared" si="0"/>
        <v>34808.870000000003</v>
      </c>
      <c r="I4" s="70">
        <f t="shared" si="0"/>
        <v>11150</v>
      </c>
      <c r="J4" s="70">
        <f t="shared" si="0"/>
        <v>9519.99</v>
      </c>
      <c r="K4" s="70">
        <f t="shared" si="0"/>
        <v>19500</v>
      </c>
      <c r="L4" s="70">
        <f t="shared" si="0"/>
        <v>55200</v>
      </c>
      <c r="M4" s="70">
        <f t="shared" si="0"/>
        <v>22313.360000000001</v>
      </c>
      <c r="N4" s="70">
        <f t="shared" si="0"/>
        <v>1680</v>
      </c>
      <c r="O4" s="70">
        <f t="shared" si="0"/>
        <v>130116.99999999999</v>
      </c>
      <c r="P4" s="70">
        <f t="shared" si="0"/>
        <v>102358</v>
      </c>
      <c r="Q4" s="70">
        <f t="shared" si="0"/>
        <v>2712000</v>
      </c>
    </row>
    <row r="5" spans="1:17" ht="31.5" customHeight="1">
      <c r="A5" s="72">
        <v>4</v>
      </c>
      <c r="B5" s="73" t="s">
        <v>14</v>
      </c>
      <c r="C5" s="59">
        <f>SUM(C4:Q4)*12</f>
        <v>97265570.040000021</v>
      </c>
    </row>
    <row r="6" spans="1:17" s="58" customFormat="1" ht="48" customHeight="1">
      <c r="A6" s="72">
        <v>5</v>
      </c>
      <c r="B6" s="73" t="s">
        <v>103</v>
      </c>
      <c r="C6" s="59">
        <f>300*1000*12</f>
        <v>3600000</v>
      </c>
      <c r="E6" s="164"/>
      <c r="F6" s="164"/>
      <c r="G6" s="164"/>
      <c r="H6" s="164"/>
    </row>
    <row r="7" spans="1:17" ht="72.75" customHeight="1">
      <c r="A7" s="1"/>
      <c r="B7" s="121" t="s">
        <v>102</v>
      </c>
      <c r="C7" s="1">
        <f>(C2+D2+E2+P2)*10*12</f>
        <v>1951440</v>
      </c>
      <c r="F7" s="165" t="s">
        <v>101</v>
      </c>
      <c r="G7" s="166"/>
      <c r="H7" s="166"/>
      <c r="I7" s="166"/>
      <c r="J7" s="166"/>
      <c r="K7" s="166"/>
      <c r="L7" s="166"/>
      <c r="M7" s="166"/>
      <c r="N7" s="166"/>
      <c r="O7" s="166"/>
      <c r="P7" s="167"/>
    </row>
    <row r="8" spans="1:17" ht="72.75" customHeight="1">
      <c r="A8" s="157"/>
      <c r="B8" s="158" t="s">
        <v>125</v>
      </c>
      <c r="C8" s="1">
        <v>225000</v>
      </c>
      <c r="F8" s="159"/>
      <c r="G8" s="159"/>
      <c r="H8" s="159"/>
      <c r="I8" s="159"/>
      <c r="J8" s="159"/>
      <c r="K8" s="159"/>
      <c r="L8" s="159"/>
      <c r="M8" s="159"/>
      <c r="N8" s="159"/>
      <c r="O8" s="159"/>
      <c r="P8" s="159"/>
    </row>
    <row r="9" spans="1:17" ht="27.75" customHeight="1">
      <c r="C9" s="120">
        <f>SUM(C5:C8)</f>
        <v>103042010.04000002</v>
      </c>
    </row>
  </sheetData>
  <mergeCells count="2">
    <mergeCell ref="E6:H6"/>
    <mergeCell ref="F7:P7"/>
  </mergeCells>
  <pageMargins left="0.25" right="0.2" top="0.5" bottom="0.5" header="0.3" footer="0.3"/>
  <pageSetup scale="99" orientation="landscape" r:id="rId1"/>
</worksheet>
</file>

<file path=xl/worksheets/sheet7.xml><?xml version="1.0" encoding="utf-8"?>
<worksheet xmlns="http://schemas.openxmlformats.org/spreadsheetml/2006/main" xmlns:r="http://schemas.openxmlformats.org/officeDocument/2006/relationships">
  <sheetPr>
    <tabColor rgb="FF00B050"/>
  </sheetPr>
  <dimension ref="A1:C11"/>
  <sheetViews>
    <sheetView zoomScaleNormal="100" workbookViewId="0">
      <selection activeCell="B4" sqref="B4"/>
    </sheetView>
  </sheetViews>
  <sheetFormatPr defaultRowHeight="15"/>
  <cols>
    <col min="1" max="1" width="67.85546875" style="16" bestFit="1" customWidth="1"/>
    <col min="2" max="2" width="15" style="16" bestFit="1" customWidth="1"/>
    <col min="3" max="3" width="15.28515625" style="16" bestFit="1" customWidth="1"/>
    <col min="4" max="16384" width="9.140625" style="16"/>
  </cols>
  <sheetData>
    <row r="1" spans="1:3" ht="15.75">
      <c r="A1" s="168" t="s">
        <v>46</v>
      </c>
      <c r="B1" s="168"/>
    </row>
    <row r="2" spans="1:3">
      <c r="A2" s="72" t="s">
        <v>48</v>
      </c>
      <c r="B2" s="74">
        <v>25000000</v>
      </c>
    </row>
    <row r="3" spans="1:3">
      <c r="A3" s="72" t="s">
        <v>15</v>
      </c>
      <c r="B3" s="134">
        <v>499079.67888888897</v>
      </c>
    </row>
    <row r="4" spans="1:3">
      <c r="A4" s="72" t="s">
        <v>26</v>
      </c>
      <c r="B4" s="134">
        <v>450000</v>
      </c>
    </row>
    <row r="5" spans="1:3" s="60" customFormat="1">
      <c r="A5" s="74" t="s">
        <v>12</v>
      </c>
      <c r="B5" s="132">
        <f>SUM(B2:B4)*12</f>
        <v>311388956.14666665</v>
      </c>
      <c r="C5" s="16"/>
    </row>
    <row r="7" spans="1:3">
      <c r="A7" s="169"/>
      <c r="B7" s="169"/>
    </row>
    <row r="8" spans="1:3">
      <c r="A8" s="77"/>
      <c r="B8" s="79"/>
    </row>
    <row r="9" spans="1:3">
      <c r="A9" s="77"/>
      <c r="B9" s="79"/>
    </row>
    <row r="10" spans="1:3">
      <c r="A10" s="77"/>
      <c r="B10" s="79"/>
    </row>
    <row r="11" spans="1:3">
      <c r="A11" s="77"/>
      <c r="B11" s="79"/>
    </row>
  </sheetData>
  <mergeCells count="2">
    <mergeCell ref="A1:B1"/>
    <mergeCell ref="A7:B7"/>
  </mergeCells>
  <pageMargins left="0.45" right="0.45"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sheetPr>
    <tabColor rgb="FF00B050"/>
  </sheetPr>
  <dimension ref="A1:C12"/>
  <sheetViews>
    <sheetView workbookViewId="0">
      <selection activeCell="E23" sqref="E23"/>
    </sheetView>
  </sheetViews>
  <sheetFormatPr defaultRowHeight="15"/>
  <cols>
    <col min="1" max="1" width="3.7109375" style="93" bestFit="1" customWidth="1"/>
    <col min="2" max="2" width="60.5703125" style="93" bestFit="1" customWidth="1"/>
    <col min="3" max="3" width="16.85546875" style="93" bestFit="1" customWidth="1"/>
    <col min="4" max="4" width="2.85546875" style="93" bestFit="1" customWidth="1"/>
    <col min="5" max="5" width="15.28515625" style="93" bestFit="1" customWidth="1"/>
    <col min="6" max="16384" width="9.140625" style="93"/>
  </cols>
  <sheetData>
    <row r="1" spans="1:3" ht="15.75">
      <c r="A1" s="102" t="s">
        <v>49</v>
      </c>
      <c r="B1" s="102" t="s">
        <v>47</v>
      </c>
      <c r="C1" s="102" t="s">
        <v>53</v>
      </c>
    </row>
    <row r="2" spans="1:3" ht="15.75">
      <c r="A2" s="103">
        <v>1</v>
      </c>
      <c r="B2" s="103" t="s">
        <v>111</v>
      </c>
      <c r="C2" s="104">
        <v>169012</v>
      </c>
    </row>
    <row r="3" spans="1:3" ht="15.75">
      <c r="A3" s="103">
        <v>2</v>
      </c>
      <c r="B3" s="103" t="s">
        <v>13</v>
      </c>
      <c r="C3" s="105">
        <f>C4/C2</f>
        <v>99.86522850448489</v>
      </c>
    </row>
    <row r="4" spans="1:3" ht="15.75">
      <c r="A4" s="103">
        <v>3</v>
      </c>
      <c r="B4" s="103" t="s">
        <v>50</v>
      </c>
      <c r="C4" s="103">
        <v>16878422</v>
      </c>
    </row>
    <row r="5" spans="1:3" ht="15.75">
      <c r="A5" s="103"/>
      <c r="B5" s="104" t="s">
        <v>14</v>
      </c>
      <c r="C5" s="108">
        <f>C4*12</f>
        <v>202541064</v>
      </c>
    </row>
    <row r="7" spans="1:3">
      <c r="B7" s="135" t="s">
        <v>112</v>
      </c>
      <c r="C7" s="135">
        <v>9200</v>
      </c>
    </row>
    <row r="8" spans="1:3">
      <c r="B8" s="136" t="s">
        <v>113</v>
      </c>
      <c r="C8" s="137">
        <v>60</v>
      </c>
    </row>
    <row r="9" spans="1:3">
      <c r="B9" s="136" t="s">
        <v>115</v>
      </c>
      <c r="C9" s="138">
        <f>(C7*C8)*12</f>
        <v>6624000</v>
      </c>
    </row>
    <row r="10" spans="1:3">
      <c r="B10" s="106"/>
      <c r="C10" s="107"/>
    </row>
    <row r="11" spans="1:3">
      <c r="B11" s="106"/>
      <c r="C11" s="107"/>
    </row>
    <row r="12" spans="1:3" s="139" customFormat="1" ht="15.75">
      <c r="B12" s="139" t="s">
        <v>114</v>
      </c>
      <c r="C12" s="140">
        <f>C5+C9</f>
        <v>209165064</v>
      </c>
    </row>
  </sheetData>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sheetPr>
    <tabColor rgb="FF00B050"/>
  </sheetPr>
  <dimension ref="A1:G11"/>
  <sheetViews>
    <sheetView workbookViewId="0">
      <selection activeCell="D12" sqref="D12"/>
    </sheetView>
  </sheetViews>
  <sheetFormatPr defaultRowHeight="15"/>
  <cols>
    <col min="1" max="1" width="3.5703125" style="16" bestFit="1" customWidth="1"/>
    <col min="2" max="2" width="60.5703125" style="16" bestFit="1" customWidth="1"/>
    <col min="3" max="3" width="16.28515625" style="16" customWidth="1"/>
    <col min="4" max="4" width="14" style="16" customWidth="1"/>
    <col min="5" max="5" width="13.28515625" style="16" customWidth="1"/>
    <col min="6" max="7" width="14.85546875" style="16" customWidth="1"/>
    <col min="8" max="16384" width="9.140625" style="16"/>
  </cols>
  <sheetData>
    <row r="1" spans="1:7" ht="27">
      <c r="A1" s="80" t="s">
        <v>49</v>
      </c>
      <c r="B1" s="67" t="s">
        <v>52</v>
      </c>
      <c r="C1" s="67"/>
      <c r="D1" s="80" t="s">
        <v>118</v>
      </c>
      <c r="E1" s="147">
        <v>2017</v>
      </c>
      <c r="F1" s="147">
        <v>2018</v>
      </c>
      <c r="G1" s="147">
        <v>2019</v>
      </c>
    </row>
    <row r="2" spans="1:7" s="61" customFormat="1">
      <c r="A2" s="81">
        <v>1</v>
      </c>
      <c r="B2" s="141" t="s">
        <v>116</v>
      </c>
      <c r="C2" s="74">
        <v>220959</v>
      </c>
      <c r="D2" s="74">
        <f>C2+C6</f>
        <v>222959</v>
      </c>
      <c r="E2" s="145">
        <f>D2+2000</f>
        <v>224959</v>
      </c>
      <c r="F2" s="145">
        <f>E2+2000</f>
        <v>226959</v>
      </c>
      <c r="G2" s="145">
        <f>F2+2000</f>
        <v>228959</v>
      </c>
    </row>
    <row r="3" spans="1:7">
      <c r="A3" s="81">
        <v>2</v>
      </c>
      <c r="B3" s="81" t="s">
        <v>13</v>
      </c>
      <c r="C3" s="81"/>
      <c r="D3" s="71">
        <v>45</v>
      </c>
      <c r="E3" s="146">
        <v>45</v>
      </c>
      <c r="F3" s="146">
        <v>45</v>
      </c>
      <c r="G3" s="146">
        <v>45</v>
      </c>
    </row>
    <row r="4" spans="1:7">
      <c r="A4" s="81"/>
      <c r="B4" s="82" t="s">
        <v>14</v>
      </c>
      <c r="C4" s="82"/>
      <c r="D4" s="74">
        <f>(D2*D3)*12</f>
        <v>120397860</v>
      </c>
      <c r="E4" s="74">
        <f t="shared" ref="E4:G4" si="0">(E2*E3)*12</f>
        <v>121477860</v>
      </c>
      <c r="F4" s="74">
        <f>(F2*F3)*12</f>
        <v>122557860</v>
      </c>
      <c r="G4" s="74">
        <f t="shared" si="0"/>
        <v>123637860</v>
      </c>
    </row>
    <row r="5" spans="1:7">
      <c r="A5" s="142"/>
      <c r="B5" s="143"/>
      <c r="C5" s="143"/>
      <c r="D5" s="144"/>
      <c r="E5" s="144"/>
    </row>
    <row r="6" spans="1:7" s="133" customFormat="1">
      <c r="B6" s="133" t="s">
        <v>117</v>
      </c>
      <c r="C6" s="133">
        <v>2000</v>
      </c>
    </row>
    <row r="7" spans="1:7">
      <c r="B7" s="169"/>
      <c r="C7" s="169"/>
      <c r="D7" s="169"/>
    </row>
    <row r="8" spans="1:7">
      <c r="B8" s="77"/>
      <c r="C8" s="78"/>
      <c r="D8" s="79"/>
    </row>
    <row r="9" spans="1:7">
      <c r="B9" s="77"/>
      <c r="C9" s="78"/>
      <c r="D9" s="79"/>
    </row>
    <row r="10" spans="1:7">
      <c r="B10" s="77"/>
      <c r="C10" s="78"/>
      <c r="D10" s="79"/>
    </row>
    <row r="11" spans="1:7">
      <c r="B11" s="77"/>
      <c r="C11" s="78"/>
      <c r="D11" s="79"/>
    </row>
  </sheetData>
  <mergeCells count="1">
    <mergeCell ref="B7:D7"/>
  </mergeCells>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მთლიანი</vt:lpstr>
      <vt:lpstr>პენსია_2016</vt:lpstr>
      <vt:lpstr>პენსია_2017</vt:lpstr>
      <vt:lpstr>პენსია_2018</vt:lpstr>
      <vt:lpstr>პენსია_2019</vt:lpstr>
      <vt:lpstr>სახ კომპენსაცია (2)</vt:lpstr>
      <vt:lpstr>საარსებო შემწეობა</vt:lpstr>
      <vt:lpstr>სოციალური პაკეტი</vt:lpstr>
      <vt:lpstr>დევნილთა შემწეობა</vt:lpstr>
      <vt:lpstr>მე-3 და შემდგომი ბავშვი</vt:lpstr>
      <vt:lpstr>რეგრესული პენსია</vt:lpstr>
      <vt:lpstr>რეინტეგრაციის შემწეობა</vt:lpstr>
      <vt:lpstr>c 2013</vt:lpstr>
      <vt:lpstr>კომპენსაცია_სტიპენდია</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2015-05-27T10:21:39Z</dcterms:modified>
</cp:coreProperties>
</file>