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9164"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67" i="1" l="1"/>
  <c r="K36" i="1" l="1"/>
  <c r="J36" i="1"/>
  <c r="K18" i="1"/>
  <c r="G34" i="1" l="1"/>
  <c r="N34" i="1"/>
  <c r="I33" i="1"/>
  <c r="H33" i="1"/>
  <c r="I36" i="1" l="1"/>
  <c r="J28" i="1"/>
  <c r="I28" i="1"/>
  <c r="I23" i="1"/>
  <c r="I18" i="1" l="1"/>
  <c r="I22" i="1"/>
  <c r="I68" i="1" l="1"/>
  <c r="I65" i="1" l="1"/>
  <c r="I64" i="1"/>
  <c r="I63" i="1"/>
  <c r="I73" i="1" l="1"/>
  <c r="I24" i="1" l="1"/>
  <c r="N20" i="1"/>
  <c r="N21" i="1" l="1"/>
  <c r="N35" i="1" l="1"/>
  <c r="N33" i="1"/>
  <c r="N30" i="1"/>
  <c r="H29" i="1" l="1"/>
  <c r="G29" i="1"/>
  <c r="I49" i="1"/>
  <c r="H49" i="1"/>
  <c r="H51" i="1"/>
  <c r="H50" i="1"/>
  <c r="G49" i="1"/>
  <c r="G46" i="1"/>
  <c r="G45" i="1"/>
  <c r="G44" i="1"/>
  <c r="G43" i="1"/>
  <c r="G42" i="1"/>
  <c r="G33" i="1"/>
  <c r="G30" i="1"/>
  <c r="H28" i="1"/>
  <c r="G28" i="1"/>
  <c r="G21" i="1"/>
  <c r="G18" i="1"/>
  <c r="G52" i="1" l="1"/>
  <c r="H52" i="1" l="1"/>
  <c r="I52" i="1"/>
  <c r="J52" i="1"/>
  <c r="C52" i="1"/>
  <c r="G39" i="1"/>
  <c r="J39" i="1"/>
  <c r="I39" i="1"/>
  <c r="H39" i="1"/>
  <c r="C39" i="1"/>
</calcChain>
</file>

<file path=xl/sharedStrings.xml><?xml version="1.0" encoding="utf-8"?>
<sst xmlns="http://schemas.openxmlformats.org/spreadsheetml/2006/main" count="178" uniqueCount="134">
  <si>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</si>
  <si>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</si>
  <si>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</si>
  <si>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</si>
  <si>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</si>
  <si>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</si>
  <si>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</si>
  <si>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</si>
  <si>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</si>
  <si>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</si>
  <si>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</si>
  <si>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ინფორმაციული უსაფრთხოების სისტემების დანერგვა</t>
  </si>
  <si>
    <t>ssl(2x2year)</t>
  </si>
  <si>
    <t>SRM(3x25)</t>
  </si>
  <si>
    <t>OMS standart(3x25)</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</si>
  <si>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</si>
  <si>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</si>
  <si>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სულ</t>
  </si>
  <si>
    <t>CPV კოდი</t>
  </si>
  <si>
    <t>არაფინანს</t>
  </si>
  <si>
    <t>მომსახურება</t>
  </si>
  <si>
    <t>ოფისი (მომსახ)</t>
  </si>
  <si>
    <t>ოფისი (საქონელი)</t>
  </si>
  <si>
    <t>microsoft Premier Support</t>
  </si>
  <si>
    <t>სერვერული ცენტრის ინფრასტრუქტურის მომსახურება</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</si>
  <si>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</si>
  <si>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</si>
  <si>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</si>
  <si>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</si>
  <si>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</si>
  <si>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</si>
  <si>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</si>
  <si>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</si>
  <si>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</si>
  <si>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</si>
  <si>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</si>
  <si>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</si>
  <si>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</si>
  <si>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</si>
  <si>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</si>
  <si>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</si>
  <si>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</si>
  <si>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</si>
  <si>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</si>
  <si>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</si>
  <si>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</si>
  <si>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</si>
  <si>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</si>
  <si>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</si>
  <si>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</si>
  <si>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</si>
  <si>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</si>
  <si>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</si>
  <si>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</si>
  <si>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</si>
  <si>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</si>
  <si>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</si>
  <si>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</si>
  <si>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</si>
  <si>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</si>
  <si>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</si>
  <si>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</si>
  <si>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</si>
  <si>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</si>
  <si>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</si>
  <si>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Backup VDPA 25TB</t>
  </si>
  <si>
    <t>storage 2 x (upgrade to 35-38 TB)</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</si>
  <si>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</si>
  <si>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</si>
  <si>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სარეზერვო სერვერული ცენტრის სერვერული ტექნიკა servers (2 encloser, 32 blade) </t>
  </si>
  <si>
    <t xml:space="preserve">დამარქაფების სისტემა </t>
  </si>
  <si>
    <t>მონაცემთა სანახის მოცულობის გაზრდა</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</si>
  <si>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</si>
  <si>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</si>
  <si>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ქსელის სინქრონიზაციის გადაწყვეტილება</t>
  </si>
  <si>
    <t xml:space="preserve">SAN ინფრასტრუქტურა </t>
  </si>
  <si>
    <t>გრძელ მანძილზე კავშირის საშუალებები</t>
  </si>
  <si>
    <t xml:space="preserve"> (CWDM 4xFC 8GB 70km, 4xLAN 10GB, 70km)</t>
  </si>
  <si>
    <t xml:space="preserve"> ქსელის აქტიური-აქტიური რეჟიმის ტექნოლოგია Nexus (4), ASA(4)</t>
  </si>
  <si>
    <t>9.1</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</si>
  <si>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</si>
  <si>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</si>
  <si>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</si>
  <si>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</si>
  <si>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</si>
  <si>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მოწყობა</t>
  </si>
  <si>
    <t>9.5</t>
  </si>
  <si>
    <t>დამატებითი სისტემები</t>
  </si>
  <si>
    <t>16</t>
  </si>
  <si>
    <t xml:space="preserve"> არაფინანს</t>
  </si>
  <si>
    <t>მთავრობის განკარგულებით</t>
  </si>
  <si>
    <t>storage 2 x (35-38 TB)</t>
  </si>
  <si>
    <t>მონაცემთა სანახების შესყიდვა (2 x 35-38 TB)</t>
  </si>
  <si>
    <t>13</t>
  </si>
  <si>
    <t>9.6</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</si>
  <si>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უზრუნველყოფის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</si>
  <si>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15</t>
  </si>
  <si>
    <t>ინფორმაციული ტექნოლოგიების დეპარტამენტი</t>
  </si>
  <si>
    <t>სერვერული ცენტრის გაგრილების სისტემის აღდგენა</t>
  </si>
  <si>
    <t>17</t>
  </si>
  <si>
    <t>მწყობრიდან გამოსული გაგრილების მოწყობილობების აღდგენა</t>
  </si>
  <si>
    <t>სავარაუდო
თანხა 
(ლარი)</t>
  </si>
  <si>
    <t>$-is 
kursi</t>
  </si>
  <si>
    <t>დესკტოპ კომპიუტერი (100 კომპლ) სტანდარტული</t>
  </si>
  <si>
    <t>კონსოლიდირებული ტენდერით შესყდვა (100 ერთეული), მწყობრიდან გამოსული და არარენტაბელური ტექნიკის განახლების მიზნით</t>
  </si>
  <si>
    <t>ძირითადი (ლოკალი 500, გლობალი 100)</t>
  </si>
  <si>
    <t>ალტერნატიული (ლოკალი 500, გლობალი 50)</t>
  </si>
  <si>
    <t>CDMA - 6 ერთეული</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</si>
  <si>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- 10 ერთეული</t>
  </si>
  <si>
    <t>კონსოლიდირებული ტენდერით შესყდვა (20 ერთეული), მწყობრიდან გამოსული და არარენტაბელური ტექნიკის განახლების მიზნით</t>
  </si>
  <si>
    <t xml:space="preserve">არსებული UPS-ების რეაბილიტაცია- 100 ერთეული </t>
  </si>
  <si>
    <t xml:space="preserve">მუდმივი კვების წყარო (UPS) 100 ერთ. </t>
  </si>
  <si>
    <t>კონსოლიდირებული ტენდერით შესყდვა 100 ერთეული კომპიუტერის აღჭურვის მიზნით</t>
  </si>
  <si>
    <t>პერიფერია (სკანერი-10 ერთეული)</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</si>
  <si>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t>
  </si>
  <si>
    <t>პრინტერი-20 ერთეული</t>
  </si>
  <si>
    <t>ბრანდმაუერი - 2 ერთული</t>
  </si>
  <si>
    <t>სამინისტროს შენობაში არსებული მოწყობილობის გასახლებლად  (აპარატურა ექსპლოატაციაშია 2010 წლიდან)</t>
  </si>
  <si>
    <t>IP ტელეფონი სათანადო ლიცენზიით (10 ერთ)</t>
  </si>
  <si>
    <t>უკაბელო ქსელის მოწყობილობები (გადაწყვეტილება მთლიანად სამინისტროს შენობისთვის)</t>
  </si>
  <si>
    <t>საქსელო მოწყობილობები</t>
  </si>
  <si>
    <t>სერვერული ინფრასტრუქტურა (SAN ინფრასტრუქტურასთან ერთად)</t>
  </si>
  <si>
    <t>ინფორმაციის საცავი</t>
  </si>
  <si>
    <t>DarkFiber ინსტალაცია და მომსახურება</t>
  </si>
  <si>
    <t>პორტაბელური კომპიუტერი(8 ერთ) სტანდარტული</t>
  </si>
  <si>
    <t>მუდმივი კვების წყაროს (UPS) (რეაბილიტაცია-100 ერთეული)</t>
  </si>
  <si>
    <t>ძირითადი ინტერნეტ კავშირი (ლოკალი 500, გლობალი 100)</t>
  </si>
  <si>
    <t>ალტერნატიული ინტერნეტ კავშირი (ლოკალი 500, გლობალი 50), ალტერნატიული კავშირი ასევე იქნება აქტიური</t>
  </si>
  <si>
    <t>2018 წლის მოსალოდნელი შესყიდვები</t>
  </si>
  <si>
    <t>barracuda, backup exe(7tb), symantec (mail (400), antivirus(800)</t>
  </si>
  <si>
    <t>სერვერულიცენტრის მოწყობა (ინჟინერია)</t>
  </si>
  <si>
    <t>მონაცემთა სანახის თანმხლები მომსახურების გაგრძელება</t>
  </si>
  <si>
    <t>მონაცემთა სანახის ტექნიკური მომსახურების (Support) გაგრძელება</t>
  </si>
  <si>
    <t>კონსოლიდირებული ტენდერით შესყდვა (8 ერთეული), მწყობრიდან გამოსული და არარენტაბელური ტექნიკის განახლების მიზნით</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</si>
</sst>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1" fontId="0" fillId="0" borderId="0" xfId="0" applyNumberFormat="1" applyFill="1" applyAlignment="1">
      <alignment wrapText="1"/>
    </xf>
    <xf numFmtId="1" fontId="0" fillId="3" borderId="1" xfId="0" applyNumberFormat="1" applyFill="1" applyBorder="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xf numFmtId="1" fontId="3" fillId="0" borderId="0" xfId="0" applyNumberFormat="1" applyFont="1" applyFill="1" applyBorder="1" applyAlignment="1">
      <alignment wrapText="1"/>
    </xf>
    <xf numFmtId="0" fontId="3" fillId="0" borderId="2" xfId="0" applyFont="1" applyBorder="1" applyAlignment="1">
      <alignment wrapText="1"/>
    </xf>
    <xf numFmtId="1" fontId="3" fillId="0" borderId="2" xfId="0" applyNumberFormat="1" applyFont="1" applyFill="1" applyBorder="1" applyAlignment="1">
      <alignment wrapText="1"/>
    </xf>
    <xf numFmtId="1" fontId="0" fillId="2" borderId="2" xfId="0" applyNumberFormat="1" applyFill="1" applyBorder="1" applyAlignment="1">
      <alignment wrapText="1"/>
    </xf>
    <xf numFmtId="1" fontId="0" fillId="0" borderId="2" xfId="0" applyNumberFormat="1" applyFill="1" applyBorder="1" applyAlignment="1">
      <alignment wrapText="1"/>
    </xf>
    <xf numFmtId="1" fontId="4" fillId="0" borderId="2" xfId="0" applyNumberFormat="1" applyFont="1" applyBorder="1" applyAlignment="1">
      <alignment wrapText="1"/>
    </xf>
    <xf numFmtId="1" fontId="4" fillId="0" borderId="2" xfId="0" applyNumberFormat="1" applyFont="1" applyFill="1" applyBorder="1" applyAlignment="1">
      <alignment wrapText="1"/>
    </xf>
    <xf numFmtId="1" fontId="1" fillId="0" borderId="2" xfId="0" applyNumberFormat="1" applyFont="1" applyFill="1" applyBorder="1" applyAlignment="1">
      <alignment vertical="top" wrapText="1"/>
    </xf>
    <xf numFmtId="0" fontId="0" fillId="2" borderId="2" xfId="0" applyFill="1" applyBorder="1" applyAlignment="1">
      <alignment vertical="top" wrapText="1"/>
    </xf>
    <xf numFmtId="1" fontId="3" fillId="0" borderId="2" xfId="0" applyNumberFormat="1" applyFont="1" applyBorder="1" applyAlignment="1">
      <alignment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abSelected="1" workbookViewId="0">
      <selection activeCell="G73" sqref="G73"/>
    </sheetView>
  </sheetViews>
  <sheetFormatPr defaultColWidth="8.88671875" defaultRowHeight="14.4" x14ac:dyDescent="0.3"/>
  <cols>
    <col min="1" max="1" width="3.5546875" style="16" bestFit="1" customWidth="1"/>
    <col min="2" max="2" width="41.109375" style="1" customWidth="1"/>
    <col min="3" max="3" width="17.44140625" style="1" customWidth="1"/>
    <col min="4" max="4" width="12.109375" style="1" bestFit="1" customWidth="1"/>
    <col min="5" max="5" width="6.21875" style="1" bestFit="1" customWidth="1"/>
    <col min="6" max="6" width="42" style="38" customWidth="1"/>
    <col min="7" max="7" width="8.109375" style="3" customWidth="1"/>
    <col min="8" max="8" width="11.5546875" style="1" customWidth="1"/>
    <col min="9" max="9" width="10" style="1" customWidth="1"/>
    <col min="10" max="12" width="8.77734375" style="1" customWidth="1"/>
    <col min="13" max="13" width="5.33203125" style="1" customWidth="1"/>
    <col min="14" max="14" width="9.77734375" style="1" customWidth="1"/>
    <col min="15" max="15" width="24.77734375" style="1" customWidth="1"/>
    <col min="16" max="16384" width="8.88671875" style="1"/>
  </cols>
  <sheetData>
    <row r="1" spans="1:14" x14ac:dyDescent="0.3">
      <c r="B1" s="69" t="s">
        <v>97</v>
      </c>
      <c r="C1" s="69"/>
    </row>
    <row r="2" spans="1:14" x14ac:dyDescent="0.3">
      <c r="B2" s="67" t="s">
        <v>128</v>
      </c>
      <c r="C2" s="67"/>
    </row>
    <row r="3" spans="1:14" ht="43.2" x14ac:dyDescent="0.3">
      <c r="A3" s="23" t="s">
        <v>0</v>
      </c>
      <c r="B3" s="24" t="s">
        <v>1</v>
      </c>
      <c r="C3" s="24" t="s">
        <v>101</v>
      </c>
      <c r="D3" s="7"/>
      <c r="E3" s="7" t="s">
        <v>18</v>
      </c>
      <c r="F3" s="48" t="s">
        <v>43</v>
      </c>
      <c r="G3" s="2">
        <v>2016</v>
      </c>
      <c r="H3" s="7">
        <v>2017</v>
      </c>
      <c r="I3" s="37">
        <v>2018</v>
      </c>
      <c r="J3" s="58">
        <v>2019</v>
      </c>
      <c r="K3" s="22">
        <v>2020</v>
      </c>
      <c r="L3" s="22">
        <v>2021</v>
      </c>
      <c r="M3" s="1" t="s">
        <v>102</v>
      </c>
    </row>
    <row r="4" spans="1:14" ht="72" x14ac:dyDescent="0.3">
      <c r="A4" s="17">
        <v>1</v>
      </c>
      <c r="B4" s="4" t="s">
        <v>6</v>
      </c>
      <c r="C4" s="27">
        <v>30000</v>
      </c>
      <c r="D4" s="2" t="s">
        <v>22</v>
      </c>
      <c r="E4" s="2">
        <v>302</v>
      </c>
      <c r="F4" s="39" t="s">
        <v>68</v>
      </c>
      <c r="G4" s="52"/>
      <c r="H4" s="27">
        <v>25000</v>
      </c>
      <c r="I4" s="31">
        <v>40000</v>
      </c>
      <c r="J4" s="59">
        <v>25000</v>
      </c>
      <c r="K4" s="35">
        <v>35000</v>
      </c>
      <c r="L4" s="35">
        <v>25000</v>
      </c>
      <c r="M4" s="10">
        <v>2.4</v>
      </c>
      <c r="N4" s="3">
        <v>25000</v>
      </c>
    </row>
    <row r="5" spans="1:14" ht="43.2" x14ac:dyDescent="0.3">
      <c r="A5" s="17">
        <v>2</v>
      </c>
      <c r="B5" s="4" t="s">
        <v>15</v>
      </c>
      <c r="C5" s="27">
        <v>67000</v>
      </c>
      <c r="D5" s="2" t="s">
        <v>22</v>
      </c>
      <c r="E5" s="2">
        <v>302</v>
      </c>
      <c r="F5" s="39" t="s">
        <v>44</v>
      </c>
      <c r="G5" s="27">
        <v>48000</v>
      </c>
      <c r="H5" s="27">
        <v>48000</v>
      </c>
      <c r="I5" s="31">
        <v>35000</v>
      </c>
      <c r="J5" s="59">
        <v>75000</v>
      </c>
      <c r="K5" s="35">
        <v>35000</v>
      </c>
      <c r="L5" s="35">
        <v>75000</v>
      </c>
      <c r="M5" s="10"/>
      <c r="N5" s="3">
        <v>35000</v>
      </c>
    </row>
    <row r="6" spans="1:14" ht="43.2" x14ac:dyDescent="0.3">
      <c r="A6" s="17">
        <v>3</v>
      </c>
      <c r="B6" s="4" t="s">
        <v>45</v>
      </c>
      <c r="C6" s="27">
        <v>10600</v>
      </c>
      <c r="D6" s="2" t="s">
        <v>21</v>
      </c>
      <c r="E6" s="11">
        <v>483</v>
      </c>
      <c r="F6" s="39" t="s">
        <v>62</v>
      </c>
      <c r="G6" s="27">
        <v>10600</v>
      </c>
      <c r="H6" s="27">
        <v>10600</v>
      </c>
      <c r="I6" s="31">
        <v>5000</v>
      </c>
      <c r="J6" s="59">
        <v>5000</v>
      </c>
      <c r="K6" s="35">
        <v>5000</v>
      </c>
      <c r="L6" s="35">
        <v>5000</v>
      </c>
      <c r="M6" s="13"/>
      <c r="N6" s="54">
        <v>5000</v>
      </c>
    </row>
    <row r="7" spans="1:14" ht="57.6" x14ac:dyDescent="0.3">
      <c r="A7" s="17">
        <v>4</v>
      </c>
      <c r="B7" s="4" t="s">
        <v>8</v>
      </c>
      <c r="C7" s="27">
        <v>2400</v>
      </c>
      <c r="D7" s="2" t="s">
        <v>21</v>
      </c>
      <c r="E7" s="11">
        <v>724</v>
      </c>
      <c r="F7" s="39" t="s">
        <v>47</v>
      </c>
      <c r="G7" s="27">
        <v>2400</v>
      </c>
      <c r="H7" s="27">
        <v>2400</v>
      </c>
      <c r="I7" s="31">
        <v>2400</v>
      </c>
      <c r="J7" s="59">
        <v>2400</v>
      </c>
      <c r="K7" s="35">
        <v>2400</v>
      </c>
      <c r="L7" s="35">
        <v>2400</v>
      </c>
      <c r="M7" s="14"/>
      <c r="N7" s="3"/>
    </row>
    <row r="8" spans="1:14" ht="43.2" x14ac:dyDescent="0.3">
      <c r="A8" s="17" t="s">
        <v>31</v>
      </c>
      <c r="B8" s="5" t="s">
        <v>7</v>
      </c>
      <c r="C8" s="27">
        <v>15000</v>
      </c>
      <c r="D8" s="11" t="s">
        <v>21</v>
      </c>
      <c r="E8" s="11">
        <v>503</v>
      </c>
      <c r="F8" s="40" t="s">
        <v>46</v>
      </c>
      <c r="G8" s="31">
        <v>15000</v>
      </c>
      <c r="H8" s="31"/>
      <c r="I8" s="31">
        <v>15000</v>
      </c>
      <c r="J8" s="59">
        <v>15000</v>
      </c>
      <c r="K8" s="35">
        <v>15000</v>
      </c>
      <c r="L8" s="35">
        <v>15000</v>
      </c>
      <c r="M8" s="57"/>
      <c r="N8" s="3">
        <v>15000</v>
      </c>
    </row>
    <row r="9" spans="1:14" ht="28.8" x14ac:dyDescent="0.3">
      <c r="A9" s="17">
        <v>6</v>
      </c>
      <c r="B9" s="28" t="s">
        <v>2</v>
      </c>
      <c r="C9" s="28"/>
      <c r="D9" s="28" t="s">
        <v>21</v>
      </c>
      <c r="E9" s="28"/>
      <c r="F9" s="41"/>
      <c r="G9" s="27"/>
      <c r="H9" s="28"/>
      <c r="I9" s="28"/>
      <c r="J9" s="60"/>
      <c r="K9" s="28"/>
      <c r="L9" s="28"/>
      <c r="M9" s="10"/>
      <c r="N9" s="3"/>
    </row>
    <row r="10" spans="1:14" ht="28.8" x14ac:dyDescent="0.3">
      <c r="A10" s="17" t="s">
        <v>36</v>
      </c>
      <c r="B10" s="4" t="s">
        <v>105</v>
      </c>
      <c r="C10" s="27">
        <v>20000</v>
      </c>
      <c r="D10" s="2" t="s">
        <v>21</v>
      </c>
      <c r="E10" s="2">
        <v>724</v>
      </c>
      <c r="F10" s="39" t="s">
        <v>126</v>
      </c>
      <c r="G10" s="27">
        <v>18000</v>
      </c>
      <c r="H10" s="27">
        <v>18000</v>
      </c>
      <c r="I10" s="31">
        <v>27000</v>
      </c>
      <c r="J10" s="59">
        <v>27000</v>
      </c>
      <c r="K10" s="35">
        <v>27000</v>
      </c>
      <c r="L10" s="35">
        <v>27000</v>
      </c>
      <c r="M10" s="10"/>
      <c r="N10" s="54"/>
    </row>
    <row r="11" spans="1:14" ht="57.6" x14ac:dyDescent="0.3">
      <c r="A11" s="17" t="s">
        <v>37</v>
      </c>
      <c r="B11" s="4" t="s">
        <v>106</v>
      </c>
      <c r="C11" s="27">
        <v>20000</v>
      </c>
      <c r="D11" s="2" t="s">
        <v>21</v>
      </c>
      <c r="E11" s="2">
        <v>724</v>
      </c>
      <c r="F11" s="39" t="s">
        <v>127</v>
      </c>
      <c r="G11" s="27">
        <v>18000</v>
      </c>
      <c r="H11" s="27">
        <v>18000</v>
      </c>
      <c r="I11" s="31">
        <v>27000</v>
      </c>
      <c r="J11" s="59">
        <v>27000</v>
      </c>
      <c r="K11" s="59">
        <v>27000</v>
      </c>
      <c r="L11" s="59">
        <v>27000</v>
      </c>
      <c r="M11" s="10"/>
      <c r="N11" s="54"/>
    </row>
    <row r="12" spans="1:14" ht="28.8" x14ac:dyDescent="0.3">
      <c r="A12" s="17" t="s">
        <v>38</v>
      </c>
      <c r="B12" s="4" t="s">
        <v>107</v>
      </c>
      <c r="C12" s="27">
        <v>5000</v>
      </c>
      <c r="D12" s="2" t="s">
        <v>21</v>
      </c>
      <c r="E12" s="2">
        <v>724</v>
      </c>
      <c r="F12" s="39" t="s">
        <v>48</v>
      </c>
      <c r="G12" s="27">
        <v>4500</v>
      </c>
      <c r="H12" s="27">
        <v>4500</v>
      </c>
      <c r="I12" s="31">
        <v>4000</v>
      </c>
      <c r="J12" s="59">
        <v>4000</v>
      </c>
      <c r="K12" s="35">
        <v>7000</v>
      </c>
      <c r="L12" s="35">
        <v>7000</v>
      </c>
      <c r="M12" s="10"/>
      <c r="N12" s="54"/>
    </row>
    <row r="13" spans="1:14" ht="28.8" x14ac:dyDescent="0.3">
      <c r="A13" s="17">
        <v>7</v>
      </c>
      <c r="B13" s="4" t="s">
        <v>3</v>
      </c>
      <c r="C13" s="27">
        <v>12000</v>
      </c>
      <c r="D13" s="2" t="s">
        <v>21</v>
      </c>
      <c r="E13" s="2">
        <v>805</v>
      </c>
      <c r="F13" s="39" t="s">
        <v>49</v>
      </c>
      <c r="G13" s="27">
        <v>12000</v>
      </c>
      <c r="H13" s="27">
        <v>12000</v>
      </c>
      <c r="I13" s="31">
        <v>12000</v>
      </c>
      <c r="J13" s="59">
        <v>12000</v>
      </c>
      <c r="K13" s="59">
        <v>12000</v>
      </c>
      <c r="L13" s="59">
        <v>12000</v>
      </c>
      <c r="M13" s="10"/>
      <c r="N13" s="56"/>
    </row>
    <row r="14" spans="1:14" ht="43.2" x14ac:dyDescent="0.3">
      <c r="A14" s="17">
        <v>8</v>
      </c>
      <c r="B14" s="25" t="s">
        <v>5</v>
      </c>
      <c r="C14" s="28"/>
      <c r="D14" s="26"/>
      <c r="E14" s="26"/>
      <c r="F14" s="41"/>
      <c r="G14" s="27"/>
      <c r="H14" s="28"/>
      <c r="I14" s="28"/>
      <c r="J14" s="60"/>
      <c r="K14" s="28"/>
      <c r="L14" s="28"/>
      <c r="M14" s="15"/>
      <c r="N14" s="3"/>
    </row>
    <row r="15" spans="1:14" ht="57.6" x14ac:dyDescent="0.3">
      <c r="A15" s="17">
        <v>8.1</v>
      </c>
      <c r="B15" s="4" t="s">
        <v>103</v>
      </c>
      <c r="C15" s="27">
        <v>75000</v>
      </c>
      <c r="D15" s="2" t="s">
        <v>19</v>
      </c>
      <c r="E15" s="2">
        <v>302</v>
      </c>
      <c r="F15" s="39" t="s">
        <v>104</v>
      </c>
      <c r="G15" s="27">
        <v>75000</v>
      </c>
      <c r="H15" s="27"/>
      <c r="I15" s="31">
        <v>120000</v>
      </c>
      <c r="J15" s="61"/>
      <c r="K15" s="27">
        <v>120000</v>
      </c>
      <c r="L15" s="27"/>
      <c r="M15" s="15"/>
      <c r="N15" s="68">
        <v>70000</v>
      </c>
    </row>
    <row r="16" spans="1:14" ht="43.2" x14ac:dyDescent="0.3">
      <c r="A16" s="17">
        <v>8.4</v>
      </c>
      <c r="B16" s="4" t="s">
        <v>111</v>
      </c>
      <c r="C16" s="27">
        <v>19500</v>
      </c>
      <c r="D16" s="2" t="s">
        <v>19</v>
      </c>
      <c r="E16" s="2">
        <v>302</v>
      </c>
      <c r="F16" s="39" t="s">
        <v>112</v>
      </c>
      <c r="G16" s="27">
        <v>10000</v>
      </c>
      <c r="H16" s="27">
        <v>4500</v>
      </c>
      <c r="I16" s="31">
        <v>12000</v>
      </c>
      <c r="J16" s="59"/>
      <c r="K16" s="35">
        <v>12000</v>
      </c>
      <c r="L16" s="35"/>
      <c r="M16" s="15"/>
      <c r="N16" s="68"/>
    </row>
    <row r="17" spans="1:14" ht="57.6" x14ac:dyDescent="0.3">
      <c r="A17" s="17">
        <v>8.1999999999999993</v>
      </c>
      <c r="B17" s="4" t="s">
        <v>124</v>
      </c>
      <c r="C17" s="27">
        <v>8500</v>
      </c>
      <c r="D17" s="2" t="s">
        <v>19</v>
      </c>
      <c r="E17" s="2">
        <v>302</v>
      </c>
      <c r="F17" s="39" t="s">
        <v>133</v>
      </c>
      <c r="G17" s="27">
        <v>8500</v>
      </c>
      <c r="H17" s="27"/>
      <c r="I17" s="31">
        <v>15000</v>
      </c>
      <c r="J17" s="61"/>
      <c r="K17" s="27">
        <v>15000</v>
      </c>
      <c r="L17" s="27"/>
      <c r="M17" s="15"/>
      <c r="N17" s="68"/>
    </row>
    <row r="18" spans="1:14" ht="100.8" x14ac:dyDescent="0.3">
      <c r="A18" s="17">
        <v>8.3000000000000007</v>
      </c>
      <c r="B18" s="4" t="s">
        <v>63</v>
      </c>
      <c r="C18" s="27">
        <v>46000</v>
      </c>
      <c r="D18" s="2" t="s">
        <v>19</v>
      </c>
      <c r="E18" s="2">
        <v>302</v>
      </c>
      <c r="F18" s="39" t="s">
        <v>108</v>
      </c>
      <c r="G18" s="27">
        <f>2500*M4*6+800*M4*40</f>
        <v>112800</v>
      </c>
      <c r="H18" s="27"/>
      <c r="I18" s="31">
        <f>2500*M4*6+1000*M4*10</f>
        <v>60000</v>
      </c>
      <c r="J18" s="61"/>
      <c r="K18" s="27">
        <f>1000*M4*20</f>
        <v>48000</v>
      </c>
      <c r="L18" s="27"/>
      <c r="M18" s="15"/>
      <c r="N18" s="3"/>
    </row>
    <row r="19" spans="1:14" ht="28.8" x14ac:dyDescent="0.3">
      <c r="A19" s="17">
        <v>8.4</v>
      </c>
      <c r="B19" s="4" t="s">
        <v>125</v>
      </c>
      <c r="C19" s="27">
        <v>19500</v>
      </c>
      <c r="D19" s="2" t="s">
        <v>19</v>
      </c>
      <c r="E19" s="2">
        <v>302</v>
      </c>
      <c r="F19" s="39" t="s">
        <v>110</v>
      </c>
      <c r="G19" s="27"/>
      <c r="H19" s="27"/>
      <c r="I19" s="31">
        <v>4000</v>
      </c>
      <c r="J19" s="59">
        <v>4000</v>
      </c>
      <c r="K19" s="59">
        <v>4000</v>
      </c>
      <c r="L19" s="59">
        <v>4000</v>
      </c>
      <c r="M19" s="15"/>
      <c r="N19" s="55">
        <v>5000</v>
      </c>
    </row>
    <row r="20" spans="1:14" ht="57.6" x14ac:dyDescent="0.3">
      <c r="A20" s="17">
        <v>8.5</v>
      </c>
      <c r="B20" s="4" t="s">
        <v>115</v>
      </c>
      <c r="C20" s="27">
        <v>72000</v>
      </c>
      <c r="D20" s="2" t="s">
        <v>19</v>
      </c>
      <c r="E20" s="2">
        <v>302</v>
      </c>
      <c r="F20" s="39" t="s">
        <v>109</v>
      </c>
      <c r="G20" s="27"/>
      <c r="H20" s="27"/>
      <c r="I20" s="35"/>
      <c r="J20" s="59">
        <v>10000</v>
      </c>
      <c r="K20" s="35"/>
      <c r="L20" s="35"/>
      <c r="M20" s="15"/>
      <c r="N20" s="55" t="e">
        <f>1200*M3*10+400*M3*10</f>
        <v>#VALUE!</v>
      </c>
    </row>
    <row r="21" spans="1:14" ht="57.6" x14ac:dyDescent="0.3">
      <c r="A21" s="17">
        <v>8.5</v>
      </c>
      <c r="B21" s="4" t="s">
        <v>113</v>
      </c>
      <c r="C21" s="27">
        <v>72000</v>
      </c>
      <c r="D21" s="2" t="s">
        <v>19</v>
      </c>
      <c r="E21" s="2">
        <v>302</v>
      </c>
      <c r="F21" s="39" t="s">
        <v>114</v>
      </c>
      <c r="G21" s="27">
        <f>1200*M4*10+400*M4*10</f>
        <v>38400</v>
      </c>
      <c r="H21" s="27"/>
      <c r="I21" s="35"/>
      <c r="J21" s="59">
        <v>17000</v>
      </c>
      <c r="K21" s="35"/>
      <c r="L21" s="35">
        <v>17000</v>
      </c>
      <c r="M21" s="15"/>
      <c r="N21" s="55">
        <f>1200*M4*10+400*M4*10</f>
        <v>38400</v>
      </c>
    </row>
    <row r="22" spans="1:14" ht="28.8" x14ac:dyDescent="0.3">
      <c r="A22" s="17">
        <v>8.6</v>
      </c>
      <c r="B22" s="4" t="s">
        <v>118</v>
      </c>
      <c r="C22" s="27">
        <v>10000</v>
      </c>
      <c r="D22" s="2" t="s">
        <v>19</v>
      </c>
      <c r="E22" s="2">
        <v>325</v>
      </c>
      <c r="F22" s="39" t="s">
        <v>64</v>
      </c>
      <c r="G22" s="27">
        <v>13000</v>
      </c>
      <c r="H22" s="27"/>
      <c r="I22" s="31">
        <f>160*10*M4</f>
        <v>3840</v>
      </c>
      <c r="J22" s="61"/>
      <c r="K22" s="27">
        <v>4000</v>
      </c>
      <c r="L22" s="27"/>
      <c r="M22" s="15"/>
      <c r="N22" s="55"/>
    </row>
    <row r="23" spans="1:14" ht="43.2" x14ac:dyDescent="0.3">
      <c r="A23" s="17">
        <v>8.6999999999999993</v>
      </c>
      <c r="B23" s="4" t="s">
        <v>116</v>
      </c>
      <c r="C23" s="27">
        <v>50000</v>
      </c>
      <c r="D23" s="2" t="s">
        <v>19</v>
      </c>
      <c r="E23" s="2">
        <v>324</v>
      </c>
      <c r="F23" s="39" t="s">
        <v>117</v>
      </c>
      <c r="G23" s="27">
        <v>50000</v>
      </c>
      <c r="H23" s="27"/>
      <c r="I23" s="31">
        <f>2*28000*M4</f>
        <v>134400</v>
      </c>
      <c r="J23" s="61"/>
      <c r="K23" s="27"/>
      <c r="L23" s="27"/>
      <c r="M23" s="15"/>
      <c r="N23" s="3">
        <v>14000</v>
      </c>
    </row>
    <row r="24" spans="1:14" ht="57.6" x14ac:dyDescent="0.3">
      <c r="A24" s="17">
        <v>8.8000000000000007</v>
      </c>
      <c r="B24" s="4" t="s">
        <v>119</v>
      </c>
      <c r="C24" s="27">
        <v>10000</v>
      </c>
      <c r="D24" s="2" t="s">
        <v>19</v>
      </c>
      <c r="E24" s="2">
        <v>324</v>
      </c>
      <c r="F24" s="39" t="s">
        <v>83</v>
      </c>
      <c r="G24" s="27"/>
      <c r="H24" s="27"/>
      <c r="I24" s="31">
        <f>14000*M4</f>
        <v>33600</v>
      </c>
      <c r="J24" s="61"/>
      <c r="K24" s="27"/>
      <c r="L24" s="27"/>
      <c r="M24" s="15"/>
      <c r="N24" s="3"/>
    </row>
    <row r="25" spans="1:14" ht="28.8" x14ac:dyDescent="0.3">
      <c r="A25" s="17">
        <v>9</v>
      </c>
      <c r="B25" s="25" t="s">
        <v>4</v>
      </c>
      <c r="C25" s="28"/>
      <c r="D25" s="26"/>
      <c r="E25" s="26"/>
      <c r="F25" s="41"/>
      <c r="G25" s="27"/>
      <c r="H25" s="28"/>
      <c r="I25" s="28"/>
      <c r="J25" s="60"/>
      <c r="K25" s="28"/>
      <c r="L25" s="28"/>
      <c r="M25" s="10"/>
      <c r="N25" s="3"/>
    </row>
    <row r="26" spans="1:14" ht="43.2" x14ac:dyDescent="0.3">
      <c r="A26" s="17" t="s">
        <v>79</v>
      </c>
      <c r="B26" s="7" t="s">
        <v>12</v>
      </c>
      <c r="C26" s="29">
        <v>6000</v>
      </c>
      <c r="D26" s="2" t="s">
        <v>19</v>
      </c>
      <c r="E26" s="7">
        <v>487</v>
      </c>
      <c r="F26" s="39" t="s">
        <v>54</v>
      </c>
      <c r="G26" s="27">
        <v>8000</v>
      </c>
      <c r="H26" s="29"/>
      <c r="I26" s="30">
        <v>8000</v>
      </c>
      <c r="J26" s="61"/>
      <c r="K26" s="27">
        <v>8000</v>
      </c>
      <c r="L26" s="27"/>
      <c r="M26" s="10"/>
      <c r="N26" s="53">
        <v>8000</v>
      </c>
    </row>
    <row r="27" spans="1:14" ht="201.6" x14ac:dyDescent="0.3">
      <c r="A27" s="17" t="s">
        <v>28</v>
      </c>
      <c r="B27" s="7" t="s">
        <v>39</v>
      </c>
      <c r="C27" s="31">
        <v>110000</v>
      </c>
      <c r="D27" s="11" t="s">
        <v>41</v>
      </c>
      <c r="E27" s="7">
        <v>486</v>
      </c>
      <c r="F27" s="39" t="s">
        <v>55</v>
      </c>
      <c r="G27" s="27">
        <v>180000</v>
      </c>
      <c r="H27" s="27">
        <v>180000</v>
      </c>
      <c r="I27" s="27">
        <v>180000</v>
      </c>
      <c r="J27" s="61">
        <v>180000</v>
      </c>
      <c r="K27" s="27">
        <v>180000</v>
      </c>
      <c r="L27" s="27">
        <v>180000</v>
      </c>
      <c r="M27" s="10"/>
      <c r="N27" s="3"/>
    </row>
    <row r="28" spans="1:14" ht="72" x14ac:dyDescent="0.3">
      <c r="A28" s="17" t="s">
        <v>29</v>
      </c>
      <c r="B28" s="7" t="s">
        <v>129</v>
      </c>
      <c r="C28" s="29">
        <v>65000</v>
      </c>
      <c r="D28" s="11" t="s">
        <v>41</v>
      </c>
      <c r="E28" s="7">
        <v>487</v>
      </c>
      <c r="F28" s="42" t="s">
        <v>56</v>
      </c>
      <c r="G28" s="27">
        <f>40000*M4</f>
        <v>96000</v>
      </c>
      <c r="H28" s="29">
        <f>40000*M4</f>
        <v>96000</v>
      </c>
      <c r="I28" s="30">
        <f>17800*M4+15000+26000</f>
        <v>83720</v>
      </c>
      <c r="J28" s="62">
        <f>17800*M4+15000+26000</f>
        <v>83720</v>
      </c>
      <c r="K28" s="30">
        <v>83720</v>
      </c>
      <c r="L28" s="30">
        <v>83720</v>
      </c>
      <c r="M28" s="10"/>
      <c r="N28" s="53">
        <v>80000</v>
      </c>
    </row>
    <row r="29" spans="1:14" x14ac:dyDescent="0.3">
      <c r="A29" s="17" t="s">
        <v>30</v>
      </c>
      <c r="B29" s="11" t="s">
        <v>82</v>
      </c>
      <c r="C29" s="31">
        <v>170000</v>
      </c>
      <c r="D29" s="6" t="s">
        <v>89</v>
      </c>
      <c r="E29" s="11">
        <v>486</v>
      </c>
      <c r="F29" s="40" t="s">
        <v>90</v>
      </c>
      <c r="G29" s="3">
        <f>1214552*40/100*M4</f>
        <v>1165969.9199999999</v>
      </c>
      <c r="H29" s="1">
        <f>1214552*40/100*M4</f>
        <v>1165969.9199999999</v>
      </c>
      <c r="I29" s="31"/>
      <c r="J29" s="63"/>
      <c r="K29" s="31"/>
      <c r="L29" s="31"/>
      <c r="M29" s="10"/>
      <c r="N29" s="3"/>
    </row>
    <row r="30" spans="1:14" ht="172.8" x14ac:dyDescent="0.3">
      <c r="A30" s="17" t="s">
        <v>86</v>
      </c>
      <c r="B30" s="2" t="s">
        <v>42</v>
      </c>
      <c r="C30" s="27">
        <v>110000</v>
      </c>
      <c r="D30" s="2" t="s">
        <v>19</v>
      </c>
      <c r="E30" s="2">
        <v>325</v>
      </c>
      <c r="F30" s="39" t="s">
        <v>95</v>
      </c>
      <c r="G30" s="27">
        <f>47000*M4</f>
        <v>112800</v>
      </c>
      <c r="H30" s="27"/>
      <c r="I30" s="27"/>
      <c r="J30" s="61"/>
      <c r="K30" s="27"/>
      <c r="L30" s="27"/>
      <c r="M30" s="8"/>
      <c r="N30" s="53">
        <f>47000*M4</f>
        <v>112800</v>
      </c>
    </row>
    <row r="31" spans="1:14" ht="72" x14ac:dyDescent="0.3">
      <c r="A31" s="17" t="s">
        <v>94</v>
      </c>
      <c r="B31" s="6" t="s">
        <v>27</v>
      </c>
      <c r="C31" s="27">
        <v>5000</v>
      </c>
      <c r="D31" s="11" t="s">
        <v>19</v>
      </c>
      <c r="E31" s="11">
        <v>489</v>
      </c>
      <c r="F31" s="39" t="s">
        <v>57</v>
      </c>
      <c r="G31" s="27">
        <v>5000</v>
      </c>
      <c r="H31" s="27">
        <v>5000</v>
      </c>
      <c r="I31" s="31">
        <v>5000</v>
      </c>
      <c r="J31" s="59">
        <v>5000</v>
      </c>
      <c r="K31" s="59">
        <v>5000</v>
      </c>
      <c r="L31" s="59">
        <v>5000</v>
      </c>
      <c r="M31" s="14"/>
      <c r="N31" s="53"/>
    </row>
    <row r="32" spans="1:14" ht="86.4" x14ac:dyDescent="0.3">
      <c r="A32" s="18" t="s">
        <v>32</v>
      </c>
      <c r="B32" s="5" t="s">
        <v>9</v>
      </c>
      <c r="C32" s="27">
        <v>7500</v>
      </c>
      <c r="D32" s="2" t="s">
        <v>21</v>
      </c>
      <c r="E32" s="2">
        <v>506</v>
      </c>
      <c r="F32" s="39" t="s">
        <v>58</v>
      </c>
      <c r="G32" s="27">
        <v>7500</v>
      </c>
      <c r="H32" s="27">
        <v>7500</v>
      </c>
      <c r="I32" s="27">
        <v>7500</v>
      </c>
      <c r="J32" s="61">
        <v>7500</v>
      </c>
      <c r="K32" s="61">
        <v>7500</v>
      </c>
      <c r="L32" s="61">
        <v>7500</v>
      </c>
      <c r="M32" s="10"/>
      <c r="N32" s="55">
        <v>5000</v>
      </c>
    </row>
    <row r="33" spans="1:14" ht="129.6" x14ac:dyDescent="0.3">
      <c r="A33" s="17" t="s">
        <v>33</v>
      </c>
      <c r="B33" s="5" t="s">
        <v>50</v>
      </c>
      <c r="C33" s="32">
        <v>200000</v>
      </c>
      <c r="D33" s="5" t="s">
        <v>22</v>
      </c>
      <c r="E33" s="5">
        <v>314</v>
      </c>
      <c r="F33" s="43" t="s">
        <v>52</v>
      </c>
      <c r="G33" s="32">
        <f>16000*M4</f>
        <v>38400</v>
      </c>
      <c r="H33" s="32">
        <f>16000*M4</f>
        <v>38400</v>
      </c>
      <c r="I33" s="32">
        <f>16000*M4</f>
        <v>38400</v>
      </c>
      <c r="J33" s="64"/>
      <c r="K33" s="32"/>
      <c r="L33" s="32"/>
      <c r="N33" s="55">
        <f>16000*M4</f>
        <v>38400</v>
      </c>
    </row>
    <row r="34" spans="1:14" ht="28.8" x14ac:dyDescent="0.3">
      <c r="A34" s="17" t="s">
        <v>35</v>
      </c>
      <c r="B34" s="11" t="s">
        <v>71</v>
      </c>
      <c r="C34" s="11"/>
      <c r="D34" s="6" t="s">
        <v>26</v>
      </c>
      <c r="E34" s="11">
        <v>302</v>
      </c>
      <c r="F34" s="50" t="s">
        <v>66</v>
      </c>
      <c r="G34" s="31">
        <f>195000*M4</f>
        <v>468000</v>
      </c>
      <c r="H34" s="31"/>
      <c r="I34" s="31"/>
      <c r="J34" s="63"/>
      <c r="K34" s="31"/>
      <c r="L34" s="31"/>
      <c r="N34" s="53" t="e">
        <f>195000*M3</f>
        <v>#VALUE!</v>
      </c>
    </row>
    <row r="35" spans="1:14" ht="28.8" x14ac:dyDescent="0.3">
      <c r="A35" s="17" t="s">
        <v>35</v>
      </c>
      <c r="B35" s="11" t="s">
        <v>131</v>
      </c>
      <c r="C35" s="11"/>
      <c r="D35" s="2" t="s">
        <v>20</v>
      </c>
      <c r="E35" s="37">
        <v>724</v>
      </c>
      <c r="F35" s="50" t="s">
        <v>132</v>
      </c>
      <c r="G35" s="31"/>
      <c r="H35" s="7">
        <v>48000</v>
      </c>
      <c r="I35" s="7">
        <v>48000</v>
      </c>
      <c r="J35" s="63"/>
      <c r="K35" s="31"/>
      <c r="L35" s="31"/>
      <c r="N35" s="53">
        <f>195000*M4</f>
        <v>468000</v>
      </c>
    </row>
    <row r="36" spans="1:14" ht="72" x14ac:dyDescent="0.3">
      <c r="A36" s="17" t="s">
        <v>93</v>
      </c>
      <c r="B36" s="37" t="s">
        <v>80</v>
      </c>
      <c r="C36" s="31">
        <v>9000</v>
      </c>
      <c r="D36" s="2" t="s">
        <v>20</v>
      </c>
      <c r="E36" s="37">
        <v>724</v>
      </c>
      <c r="F36" s="44" t="s">
        <v>60</v>
      </c>
      <c r="G36" s="31">
        <v>17000</v>
      </c>
      <c r="H36" s="30">
        <v>12000</v>
      </c>
      <c r="I36" s="30">
        <f>1400*2.81+2000*2.81</f>
        <v>9554</v>
      </c>
      <c r="J36" s="62">
        <f>2000*2.81</f>
        <v>5620</v>
      </c>
      <c r="K36" s="62">
        <f>2000*2.81</f>
        <v>5620</v>
      </c>
      <c r="L36" s="30"/>
      <c r="M36" s="9"/>
      <c r="N36" s="53">
        <v>17000</v>
      </c>
    </row>
    <row r="37" spans="1:14" ht="57.6" x14ac:dyDescent="0.3">
      <c r="A37" s="17" t="s">
        <v>34</v>
      </c>
      <c r="B37" s="7" t="s">
        <v>24</v>
      </c>
      <c r="C37" s="30">
        <v>12000</v>
      </c>
      <c r="D37" s="7" t="s">
        <v>19</v>
      </c>
      <c r="E37" s="7">
        <v>503</v>
      </c>
      <c r="F37" s="42" t="s">
        <v>53</v>
      </c>
      <c r="G37" s="27">
        <v>20000</v>
      </c>
      <c r="H37" s="27">
        <v>20000</v>
      </c>
      <c r="I37" s="27">
        <v>20000</v>
      </c>
      <c r="J37" s="61">
        <v>20000</v>
      </c>
      <c r="K37" s="27"/>
      <c r="L37" s="27"/>
      <c r="M37" s="8"/>
      <c r="N37" s="53">
        <v>20000</v>
      </c>
    </row>
    <row r="38" spans="1:14" ht="28.8" x14ac:dyDescent="0.3">
      <c r="A38" s="17" t="s">
        <v>96</v>
      </c>
      <c r="B38" s="7" t="s">
        <v>98</v>
      </c>
      <c r="C38" s="30">
        <v>12000</v>
      </c>
      <c r="D38" s="7" t="s">
        <v>19</v>
      </c>
      <c r="E38" s="7">
        <v>503</v>
      </c>
      <c r="F38" s="42" t="s">
        <v>100</v>
      </c>
      <c r="G38" s="27">
        <v>20000</v>
      </c>
      <c r="H38" s="27">
        <v>20000</v>
      </c>
      <c r="I38" s="27"/>
      <c r="J38" s="61"/>
      <c r="K38" s="27"/>
      <c r="L38" s="27"/>
      <c r="M38" s="8"/>
      <c r="N38" s="53">
        <v>20000</v>
      </c>
    </row>
    <row r="39" spans="1:14" x14ac:dyDescent="0.3">
      <c r="A39" s="21"/>
      <c r="B39" s="9" t="s">
        <v>17</v>
      </c>
      <c r="C39" s="34">
        <f>SUM(C4:C38)</f>
        <v>1271000</v>
      </c>
      <c r="D39" s="34"/>
      <c r="E39" s="34"/>
      <c r="F39" s="45"/>
      <c r="G39" s="34">
        <f>SUM(G4:G38)</f>
        <v>2574869.92</v>
      </c>
      <c r="H39" s="34">
        <f>SUM(H4:H38)</f>
        <v>1735869.92</v>
      </c>
      <c r="I39" s="34">
        <f>SUM(I4:I38)</f>
        <v>950414</v>
      </c>
      <c r="J39" s="34">
        <f>SUM(J4:J38)</f>
        <v>525240</v>
      </c>
      <c r="K39" s="32"/>
      <c r="L39" s="32"/>
      <c r="M39" s="9"/>
    </row>
    <row r="40" spans="1:14" x14ac:dyDescent="0.3">
      <c r="A40" s="21"/>
      <c r="H40" s="9"/>
      <c r="I40" s="9"/>
      <c r="J40" s="9"/>
      <c r="K40" s="5"/>
      <c r="L40" s="5"/>
      <c r="M40" s="9"/>
    </row>
    <row r="41" spans="1:14" x14ac:dyDescent="0.3">
      <c r="A41" s="21" t="s">
        <v>88</v>
      </c>
      <c r="B41" s="25" t="s">
        <v>85</v>
      </c>
      <c r="C41" s="28"/>
      <c r="D41" s="26"/>
      <c r="E41" s="26"/>
      <c r="F41" s="41"/>
      <c r="G41" s="27"/>
      <c r="H41" s="28"/>
      <c r="I41" s="28"/>
      <c r="J41" s="60"/>
      <c r="K41" s="28"/>
      <c r="L41" s="28"/>
      <c r="M41" s="9"/>
    </row>
    <row r="42" spans="1:14" ht="57.6" x14ac:dyDescent="0.3">
      <c r="A42" s="17"/>
      <c r="B42" s="11" t="s">
        <v>81</v>
      </c>
      <c r="C42" s="31">
        <v>344200</v>
      </c>
      <c r="D42" s="6" t="s">
        <v>26</v>
      </c>
      <c r="E42" s="11">
        <v>486</v>
      </c>
      <c r="F42" s="40" t="s">
        <v>84</v>
      </c>
      <c r="G42" s="31">
        <f>192000*M4</f>
        <v>460800</v>
      </c>
      <c r="H42" s="31">
        <v>180000</v>
      </c>
      <c r="I42" s="31">
        <v>180000</v>
      </c>
      <c r="J42" s="63">
        <v>180000</v>
      </c>
      <c r="K42" s="63">
        <v>180000</v>
      </c>
      <c r="L42" s="63">
        <v>180000</v>
      </c>
      <c r="M42" s="10"/>
      <c r="N42" s="53"/>
    </row>
    <row r="43" spans="1:14" ht="28.8" x14ac:dyDescent="0.3">
      <c r="A43" s="19"/>
      <c r="B43" s="11" t="s">
        <v>92</v>
      </c>
      <c r="C43" s="11"/>
      <c r="D43" s="6" t="s">
        <v>26</v>
      </c>
      <c r="E43" s="11">
        <v>302</v>
      </c>
      <c r="F43" s="50" t="s">
        <v>91</v>
      </c>
      <c r="G43" s="31">
        <f>2*207500*M4</f>
        <v>996000</v>
      </c>
      <c r="H43" s="31"/>
      <c r="I43" s="31"/>
      <c r="J43" s="63"/>
      <c r="K43" s="31"/>
      <c r="L43" s="31"/>
      <c r="N43" s="53"/>
    </row>
    <row r="44" spans="1:14" ht="28.8" x14ac:dyDescent="0.3">
      <c r="A44" s="19"/>
      <c r="B44" s="11" t="s">
        <v>72</v>
      </c>
      <c r="C44" s="11"/>
      <c r="D44" s="6" t="s">
        <v>26</v>
      </c>
      <c r="E44" s="11">
        <v>302</v>
      </c>
      <c r="F44" s="50"/>
      <c r="G44" s="31">
        <f>481000*M4</f>
        <v>1154400</v>
      </c>
      <c r="H44" s="31"/>
      <c r="I44" s="31"/>
      <c r="J44" s="63"/>
      <c r="K44" s="31"/>
      <c r="L44" s="31"/>
      <c r="N44" s="53"/>
    </row>
    <row r="45" spans="1:14" ht="43.2" x14ac:dyDescent="0.3">
      <c r="A45" s="19"/>
      <c r="B45" s="11" t="s">
        <v>73</v>
      </c>
      <c r="C45" s="11"/>
      <c r="D45" s="6" t="s">
        <v>26</v>
      </c>
      <c r="E45" s="11">
        <v>302</v>
      </c>
      <c r="F45" s="50" t="s">
        <v>69</v>
      </c>
      <c r="G45" s="31">
        <f>318000*M4</f>
        <v>763200</v>
      </c>
      <c r="H45" s="31"/>
      <c r="I45" s="31"/>
      <c r="J45" s="63"/>
      <c r="K45" s="31"/>
      <c r="L45" s="31"/>
      <c r="N45" s="53"/>
    </row>
    <row r="46" spans="1:14" ht="28.8" x14ac:dyDescent="0.3">
      <c r="A46" s="19"/>
      <c r="B46" s="11" t="s">
        <v>75</v>
      </c>
      <c r="C46" s="11"/>
      <c r="D46" s="6" t="s">
        <v>26</v>
      </c>
      <c r="E46" s="11">
        <v>302</v>
      </c>
      <c r="F46" s="50" t="s">
        <v>40</v>
      </c>
      <c r="G46" s="31">
        <f>113000*M4</f>
        <v>271200</v>
      </c>
      <c r="H46" s="31"/>
      <c r="I46" s="31"/>
      <c r="J46" s="63"/>
      <c r="K46" s="31"/>
      <c r="L46" s="31"/>
      <c r="N46" s="53"/>
    </row>
    <row r="47" spans="1:14" ht="28.8" x14ac:dyDescent="0.3">
      <c r="A47" s="19"/>
      <c r="B47" s="11" t="s">
        <v>76</v>
      </c>
      <c r="C47" s="31">
        <v>75000</v>
      </c>
      <c r="D47" s="6" t="s">
        <v>26</v>
      </c>
      <c r="E47" s="11">
        <v>324</v>
      </c>
      <c r="F47" s="40" t="s">
        <v>77</v>
      </c>
      <c r="G47" s="31">
        <v>95000</v>
      </c>
      <c r="H47" s="31"/>
      <c r="I47" s="31"/>
      <c r="J47" s="63"/>
      <c r="K47" s="31"/>
      <c r="L47" s="31"/>
      <c r="M47" s="8"/>
      <c r="N47" s="53"/>
    </row>
    <row r="48" spans="1:14" ht="43.2" x14ac:dyDescent="0.3">
      <c r="A48" s="17"/>
      <c r="B48" s="6" t="s">
        <v>25</v>
      </c>
      <c r="C48" s="31">
        <v>180000</v>
      </c>
      <c r="D48" s="6" t="s">
        <v>26</v>
      </c>
      <c r="E48" s="11">
        <v>642</v>
      </c>
      <c r="F48" s="40"/>
      <c r="G48" s="31">
        <v>180000</v>
      </c>
      <c r="H48" s="31">
        <v>180000</v>
      </c>
      <c r="I48" s="31">
        <v>180000</v>
      </c>
      <c r="J48" s="63">
        <v>180000</v>
      </c>
      <c r="K48" s="63">
        <v>180000</v>
      </c>
      <c r="L48" s="63">
        <v>180000</v>
      </c>
      <c r="M48" s="14"/>
      <c r="N48" s="53"/>
    </row>
    <row r="49" spans="1:15" ht="57.6" x14ac:dyDescent="0.3">
      <c r="A49" s="17"/>
      <c r="B49" s="6" t="s">
        <v>67</v>
      </c>
      <c r="C49" s="31">
        <v>180000</v>
      </c>
      <c r="D49" s="6" t="s">
        <v>26</v>
      </c>
      <c r="E49" s="11"/>
      <c r="F49" s="40"/>
      <c r="G49" s="31">
        <f>65000*M4</f>
        <v>156000</v>
      </c>
      <c r="H49" s="31">
        <f>65000*M4</f>
        <v>156000</v>
      </c>
      <c r="I49" s="31">
        <f>65000*M4</f>
        <v>156000</v>
      </c>
      <c r="J49" s="63"/>
      <c r="K49" s="31"/>
      <c r="L49" s="31"/>
      <c r="M49" s="14"/>
      <c r="N49" s="53"/>
    </row>
    <row r="50" spans="1:15" ht="28.8" x14ac:dyDescent="0.3">
      <c r="A50" s="20"/>
      <c r="B50" s="6" t="s">
        <v>70</v>
      </c>
      <c r="C50" s="6"/>
      <c r="D50" s="6" t="s">
        <v>26</v>
      </c>
      <c r="E50" s="6">
        <v>302</v>
      </c>
      <c r="F50" s="49" t="s">
        <v>65</v>
      </c>
      <c r="G50" s="31"/>
      <c r="H50" s="31">
        <f>360000*M4+5000</f>
        <v>869000</v>
      </c>
      <c r="I50" s="31"/>
      <c r="J50" s="63"/>
      <c r="K50" s="31"/>
      <c r="L50" s="31"/>
      <c r="M50" s="9"/>
      <c r="N50" s="55"/>
    </row>
    <row r="51" spans="1:15" ht="28.8" x14ac:dyDescent="0.3">
      <c r="A51" s="19"/>
      <c r="B51" s="11" t="s">
        <v>74</v>
      </c>
      <c r="C51" s="11"/>
      <c r="D51" s="6" t="s">
        <v>26</v>
      </c>
      <c r="E51" s="11">
        <v>324</v>
      </c>
      <c r="F51" s="50" t="s">
        <v>78</v>
      </c>
      <c r="G51" s="31"/>
      <c r="H51" s="31">
        <f>650000*M4+3000</f>
        <v>1563000</v>
      </c>
      <c r="I51" s="31"/>
      <c r="J51" s="63"/>
      <c r="K51" s="31"/>
      <c r="L51" s="31"/>
      <c r="N51" s="55"/>
    </row>
    <row r="52" spans="1:15" x14ac:dyDescent="0.3">
      <c r="B52" s="1" t="s">
        <v>17</v>
      </c>
      <c r="C52" s="36">
        <f>SUM(C42:C49)</f>
        <v>779200</v>
      </c>
      <c r="D52" s="36"/>
      <c r="E52" s="36"/>
      <c r="F52" s="47"/>
      <c r="G52" s="51">
        <f>SUM(G42:G50)</f>
        <v>4076600</v>
      </c>
      <c r="H52" s="36">
        <f>SUM(H42:H49)</f>
        <v>516000</v>
      </c>
      <c r="I52" s="36">
        <f>SUM(I42:I49)</f>
        <v>516000</v>
      </c>
      <c r="J52" s="36">
        <f>SUM(J42:J49)</f>
        <v>360000</v>
      </c>
      <c r="K52" s="29"/>
      <c r="L52" s="29"/>
    </row>
    <row r="53" spans="1:15" x14ac:dyDescent="0.3">
      <c r="K53" s="7"/>
      <c r="L53" s="7"/>
    </row>
    <row r="54" spans="1:15" x14ac:dyDescent="0.3">
      <c r="A54" s="16" t="s">
        <v>99</v>
      </c>
      <c r="B54" s="25" t="s">
        <v>87</v>
      </c>
      <c r="C54" s="25"/>
      <c r="D54" s="25"/>
      <c r="E54" s="25"/>
      <c r="F54" s="25"/>
      <c r="G54" s="4"/>
      <c r="H54" s="25"/>
      <c r="I54" s="25"/>
      <c r="J54" s="65"/>
      <c r="K54" s="25"/>
      <c r="L54" s="25"/>
    </row>
    <row r="55" spans="1:15" ht="129.6" x14ac:dyDescent="0.3">
      <c r="A55" s="17"/>
      <c r="B55" s="7" t="s">
        <v>51</v>
      </c>
      <c r="C55" s="27">
        <v>80000</v>
      </c>
      <c r="D55" s="2" t="s">
        <v>20</v>
      </c>
      <c r="E55" s="2">
        <v>722</v>
      </c>
      <c r="F55" s="39" t="s">
        <v>59</v>
      </c>
      <c r="G55" s="27">
        <v>80000</v>
      </c>
      <c r="H55" s="27"/>
      <c r="I55" s="27">
        <v>80000</v>
      </c>
      <c r="J55" s="61"/>
      <c r="K55" s="27"/>
      <c r="L55" s="27"/>
      <c r="M55" s="10"/>
      <c r="O55" s="1" t="s">
        <v>10</v>
      </c>
    </row>
    <row r="56" spans="1:15" x14ac:dyDescent="0.3">
      <c r="K56" s="7"/>
      <c r="L56" s="7"/>
    </row>
    <row r="57" spans="1:15" ht="100.8" x14ac:dyDescent="0.3">
      <c r="A57" s="17"/>
      <c r="B57" s="37" t="s">
        <v>23</v>
      </c>
      <c r="C57" s="31">
        <v>280000</v>
      </c>
      <c r="D57" s="2" t="s">
        <v>20</v>
      </c>
      <c r="E57" s="37">
        <v>722</v>
      </c>
      <c r="F57" s="44" t="s">
        <v>61</v>
      </c>
      <c r="G57" s="31">
        <v>280000</v>
      </c>
      <c r="H57" s="32"/>
      <c r="I57" s="32"/>
      <c r="J57" s="64"/>
      <c r="K57" s="32"/>
      <c r="L57" s="32"/>
      <c r="M57" s="9"/>
      <c r="O57" s="1" t="s">
        <v>16</v>
      </c>
    </row>
    <row r="58" spans="1:15" ht="28.8" x14ac:dyDescent="0.3">
      <c r="A58" s="17"/>
      <c r="B58" s="37" t="s">
        <v>11</v>
      </c>
      <c r="C58" s="31">
        <v>200000</v>
      </c>
      <c r="D58" s="2" t="s">
        <v>26</v>
      </c>
      <c r="E58" s="37">
        <v>487</v>
      </c>
      <c r="F58" s="44"/>
      <c r="G58" s="35">
        <v>200000</v>
      </c>
      <c r="H58" s="33"/>
      <c r="I58" s="33"/>
      <c r="J58" s="66"/>
      <c r="K58" s="33"/>
      <c r="L58" s="33"/>
      <c r="M58" s="10"/>
      <c r="N58" s="55"/>
      <c r="O58" s="1" t="s">
        <v>16</v>
      </c>
    </row>
    <row r="59" spans="1:15" ht="28.8" x14ac:dyDescent="0.3">
      <c r="A59" s="17"/>
      <c r="B59" s="22" t="s">
        <v>13</v>
      </c>
      <c r="C59" s="33">
        <v>75000</v>
      </c>
      <c r="D59" s="12" t="s">
        <v>26</v>
      </c>
      <c r="E59" s="22">
        <v>486</v>
      </c>
      <c r="F59" s="46"/>
      <c r="G59" s="35"/>
      <c r="H59" s="33"/>
      <c r="I59" s="33"/>
      <c r="J59" s="66"/>
      <c r="K59" s="33"/>
      <c r="L59" s="33"/>
      <c r="M59" s="10"/>
      <c r="N59" s="3"/>
    </row>
    <row r="60" spans="1:15" ht="28.8" x14ac:dyDescent="0.3">
      <c r="A60" s="17"/>
      <c r="B60" s="22" t="s">
        <v>14</v>
      </c>
      <c r="C60" s="33">
        <v>20000</v>
      </c>
      <c r="D60" s="12" t="s">
        <v>26</v>
      </c>
      <c r="E60" s="22">
        <v>486</v>
      </c>
      <c r="F60" s="46"/>
      <c r="G60" s="35"/>
      <c r="H60" s="33"/>
      <c r="I60" s="33"/>
      <c r="J60" s="66"/>
      <c r="K60" s="33"/>
      <c r="L60" s="33"/>
      <c r="M60" s="10"/>
      <c r="N60" s="3"/>
    </row>
    <row r="63" spans="1:15" x14ac:dyDescent="0.3">
      <c r="B63" s="1" t="s">
        <v>120</v>
      </c>
      <c r="I63" s="1">
        <f>472815.9*M4</f>
        <v>1134758.1599999999</v>
      </c>
    </row>
    <row r="64" spans="1:15" ht="28.8" x14ac:dyDescent="0.3">
      <c r="B64" s="1" t="s">
        <v>121</v>
      </c>
      <c r="I64" s="1">
        <f>607759*M4</f>
        <v>1458621.5999999999</v>
      </c>
    </row>
    <row r="65" spans="2:9" x14ac:dyDescent="0.3">
      <c r="B65" s="1" t="s">
        <v>122</v>
      </c>
      <c r="I65" s="1">
        <f>578840.72*M4</f>
        <v>1389217.7279999999</v>
      </c>
    </row>
    <row r="67" spans="2:9" x14ac:dyDescent="0.3">
      <c r="B67" s="1" t="s">
        <v>130</v>
      </c>
      <c r="I67" s="1">
        <f>345000*M4</f>
        <v>828000</v>
      </c>
    </row>
    <row r="68" spans="2:9" x14ac:dyDescent="0.3">
      <c r="B68" s="1" t="s">
        <v>123</v>
      </c>
      <c r="I68" s="1">
        <f>5935+5299+13265*12</f>
        <v>170414</v>
      </c>
    </row>
    <row r="73" spans="2:9" x14ac:dyDescent="0.3">
      <c r="I73" s="1">
        <f>SUM(I63:I72)</f>
        <v>4981011.4879999999</v>
      </c>
    </row>
  </sheetData>
  <mergeCells count="3">
    <mergeCell ref="B2:C2"/>
    <mergeCell ref="N15:N17"/>
    <mergeCell ref="B1:C1"/>
  </mergeCells>
  <pageMargins left="0.25" right="0.2" top="0.23" bottom="0.28999999999999998" header="0.2" footer="0.2"/>
  <pageSetup paperSize="256" orientation="landscape" r:id="rId1"/>
  <ignoredErrors>
    <ignoredError sqref="H39:J39 G39 C39:E3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2016-01-14T12:31:16Z</cp:lastPrinted>
  <dcterms:created xsi:type="dcterms:W3CDTF">2012-08-20T14:21:13Z</dcterms:created>
  <dcterms:modified xsi:type="dcterms:W3CDTF">2017-09-06T10:46:17Z</dcterms:modified>
</cp:coreProperties>
</file>