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gvaramadze\Desktop\New folder\რეაბილიტაციის ბიუჯეტი\"/>
    </mc:Choice>
  </mc:AlternateContent>
  <bookViews>
    <workbookView xWindow="0" yWindow="120" windowWidth="21570" windowHeight="7965" tabRatio="776" firstSheet="1" activeTab="1"/>
  </bookViews>
  <sheets>
    <sheet name="დანართი N3.2" sheetId="7" state="hidden" r:id="rId1"/>
    <sheet name="რეაბილიტაცია_ბავშვზე ზრუნვა" sheetId="8" r:id="rId2"/>
    <sheet name="კრიზისული_ბავშვის კვება " sheetId="33" state="hidden" r:id="rId3"/>
    <sheet name="ადრეული განვითარება " sheetId="35" r:id="rId4"/>
    <sheet name="აბილიტაცია_რეაბილიტაცია" sheetId="38" r:id="rId5"/>
    <sheet name="ომის მონაწილეთა ქვეპროგრამა" sheetId="42" r:id="rId6"/>
    <sheet name="დღის ცენტრების " sheetId="53" r:id="rId7"/>
    <sheet name="დღის ცენტრების ახალი" sheetId="54" r:id="rId8"/>
    <sheet name="დამხმარე საშუალებები" sheetId="45" r:id="rId9"/>
    <sheet name="დედათა და ბავშვთა თავშესაფარი" sheetId="46" r:id="rId10"/>
    <sheet name="მინდობით აღზრდა " sheetId="47" r:id="rId11"/>
    <sheet name="მცირე საოჯახო ტიპის სახლი" sheetId="48" r:id="rId12"/>
    <sheet name="მიუსაფარ ბავშვთა" sheetId="49" r:id="rId13"/>
    <sheet name="სათემო ორგანიზაციები" sheetId="50" r:id="rId14"/>
    <sheet name="მძიმე და ღრმა" sheetId="51" r:id="rId15"/>
  </sheets>
  <externalReferences>
    <externalReference r:id="rId16"/>
  </externalReferences>
  <definedNames>
    <definedName name="_xlnm._FilterDatabase" localSheetId="1" hidden="1">'რეაბილიტაცია_ბავშვზე ზრუნვა'!$A$8:$AA$23</definedName>
    <definedName name="_xlnm.Print_Area" localSheetId="0">'დანართი N3.2'!$A$1:$T$381</definedName>
    <definedName name="_xlnm.Print_Area" localSheetId="1">'რეაბილიტაცია_ბავშვზე ზრუნვა'!$B$1:$AC$23</definedName>
    <definedName name="workingdays">[1]C_2012!$E$69</definedName>
  </definedNames>
  <calcPr calcId="162913"/>
</workbook>
</file>

<file path=xl/calcChain.xml><?xml version="1.0" encoding="utf-8"?>
<calcChain xmlns="http://schemas.openxmlformats.org/spreadsheetml/2006/main">
  <c r="E4" i="33" l="1"/>
  <c r="E30" i="50"/>
  <c r="C44" i="45" l="1"/>
  <c r="C6" i="33"/>
  <c r="E62" i="35"/>
  <c r="D30" i="50"/>
  <c r="F28" i="50"/>
  <c r="F24" i="50"/>
  <c r="F12" i="50"/>
  <c r="F16" i="50"/>
  <c r="F20" i="50"/>
  <c r="F10" i="51" l="1"/>
  <c r="D10" i="51"/>
  <c r="H5" i="54" l="1"/>
  <c r="H4" i="54"/>
  <c r="I5" i="54"/>
  <c r="B15" i="54"/>
  <c r="F7" i="54"/>
  <c r="G6" i="54"/>
  <c r="F6" i="54"/>
  <c r="E6" i="54"/>
  <c r="C6" i="54"/>
  <c r="B6" i="54"/>
  <c r="E5" i="54"/>
  <c r="I4" i="54"/>
  <c r="E4" i="54"/>
  <c r="I3" i="54"/>
  <c r="E3" i="54"/>
  <c r="I6" i="54" l="1"/>
  <c r="L6" i="54" s="1"/>
  <c r="J6" i="54" l="1"/>
  <c r="K6" i="54"/>
  <c r="M6" i="54"/>
  <c r="C24" i="47" l="1"/>
  <c r="H10" i="50" l="1"/>
  <c r="H9" i="50"/>
  <c r="H4" i="53"/>
  <c r="H5" i="53"/>
  <c r="F7" i="53"/>
  <c r="C50" i="45" l="1"/>
  <c r="C61" i="45" s="1"/>
  <c r="C46" i="45"/>
  <c r="C60" i="45" s="1"/>
  <c r="C38" i="45"/>
  <c r="C59" i="45" s="1"/>
  <c r="C34" i="45"/>
  <c r="C58" i="45" s="1"/>
  <c r="C12" i="45"/>
  <c r="C30" i="45" s="1"/>
  <c r="C8" i="45"/>
  <c r="C51" i="45" l="1"/>
  <c r="D53" i="35" l="1"/>
  <c r="C7" i="38" l="1"/>
  <c r="D47" i="35" l="1"/>
  <c r="D52" i="35"/>
  <c r="D48" i="35"/>
  <c r="D46" i="35"/>
  <c r="D45" i="35"/>
  <c r="D41" i="35"/>
  <c r="D40" i="35"/>
  <c r="D17" i="51" l="1"/>
  <c r="G11" i="46"/>
  <c r="F11" i="46"/>
  <c r="E14" i="47" l="1"/>
  <c r="E12" i="47" l="1"/>
  <c r="S9" i="8"/>
  <c r="T9" i="8"/>
  <c r="U9" i="8"/>
  <c r="V9" i="8"/>
  <c r="W9" i="8"/>
  <c r="X9" i="8"/>
  <c r="Y9" i="8"/>
  <c r="Z9" i="8"/>
  <c r="AA9" i="8"/>
  <c r="AB9" i="8"/>
  <c r="AC9" i="8"/>
  <c r="C10" i="38"/>
  <c r="C8" i="38"/>
  <c r="D18" i="49"/>
  <c r="G7" i="49"/>
  <c r="G6" i="49"/>
  <c r="G5" i="49"/>
  <c r="D14" i="49"/>
  <c r="C57" i="45" l="1"/>
  <c r="D25" i="48"/>
  <c r="F7" i="50" l="1"/>
  <c r="F6" i="50"/>
  <c r="F5" i="50"/>
  <c r="D30" i="48"/>
  <c r="D31" i="48" s="1"/>
  <c r="E31" i="48" s="1"/>
  <c r="C30" i="48"/>
  <c r="C31" i="48" s="1"/>
  <c r="C63" i="45" l="1"/>
  <c r="F8" i="50"/>
  <c r="E59" i="35"/>
  <c r="F59" i="35" s="1"/>
  <c r="C64" i="35" s="1"/>
  <c r="F24" i="53"/>
  <c r="B15" i="53"/>
  <c r="G6" i="53"/>
  <c r="C6" i="53"/>
  <c r="B6" i="53"/>
  <c r="I5" i="53"/>
  <c r="E5" i="53"/>
  <c r="I4" i="53"/>
  <c r="E4" i="53"/>
  <c r="I3" i="53"/>
  <c r="F6" i="53"/>
  <c r="E3" i="53"/>
  <c r="E6" i="53" s="1"/>
  <c r="I6" i="53" l="1"/>
  <c r="J6" i="53" s="1"/>
  <c r="H59" i="35"/>
  <c r="G59" i="35"/>
  <c r="K6" i="53" l="1"/>
  <c r="L6" i="53"/>
  <c r="M6" i="53"/>
  <c r="G4" i="35"/>
  <c r="G5" i="35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E36" i="35"/>
  <c r="D36" i="35"/>
  <c r="G36" i="35" l="1"/>
  <c r="H36" i="35" s="1"/>
  <c r="H37" i="35" s="1"/>
  <c r="D10" i="47"/>
  <c r="D7" i="47"/>
  <c r="C7" i="42" l="1"/>
  <c r="R9" i="8" l="1"/>
  <c r="V8" i="8"/>
  <c r="L23" i="8" l="1"/>
  <c r="M23" i="8" l="1"/>
  <c r="M22" i="8"/>
  <c r="M21" i="8"/>
  <c r="M20" i="8"/>
  <c r="M19" i="8"/>
  <c r="M18" i="8"/>
  <c r="M17" i="8"/>
  <c r="M15" i="8"/>
  <c r="M14" i="8"/>
  <c r="M13" i="8"/>
  <c r="M12" i="8"/>
  <c r="M11" i="8"/>
  <c r="M10" i="8"/>
  <c r="O9" i="8"/>
  <c r="N9" i="8"/>
  <c r="M9" i="8" l="1"/>
  <c r="Q23" i="8" l="1"/>
  <c r="I23" i="8"/>
  <c r="E23" i="8"/>
  <c r="Q22" i="8"/>
  <c r="I22" i="8"/>
  <c r="E22" i="8"/>
  <c r="Q21" i="8"/>
  <c r="I21" i="8"/>
  <c r="E21" i="8"/>
  <c r="Q20" i="8"/>
  <c r="I20" i="8"/>
  <c r="E20" i="8"/>
  <c r="Q19" i="8"/>
  <c r="I19" i="8"/>
  <c r="E19" i="8"/>
  <c r="Q18" i="8"/>
  <c r="I18" i="8"/>
  <c r="E18" i="8"/>
  <c r="Q17" i="8"/>
  <c r="I17" i="8"/>
  <c r="E17" i="8"/>
  <c r="E16" i="8"/>
  <c r="Q15" i="8"/>
  <c r="I15" i="8"/>
  <c r="E15" i="8"/>
  <c r="Q14" i="8"/>
  <c r="I14" i="8"/>
  <c r="E14" i="8"/>
  <c r="Q13" i="8"/>
  <c r="I13" i="8"/>
  <c r="E13" i="8"/>
  <c r="Q12" i="8"/>
  <c r="I12" i="8"/>
  <c r="E12" i="8"/>
  <c r="Q11" i="8"/>
  <c r="I11" i="8"/>
  <c r="E11" i="8"/>
  <c r="Q10" i="8"/>
  <c r="I10" i="8"/>
  <c r="E10" i="8"/>
  <c r="P9" i="8"/>
  <c r="K9" i="8"/>
  <c r="J9" i="8"/>
  <c r="H9" i="8"/>
  <c r="G9" i="8"/>
  <c r="F9" i="8"/>
  <c r="I9" i="8" l="1"/>
  <c r="Q9" i="8"/>
  <c r="E9" i="8"/>
  <c r="R65" i="7" l="1"/>
  <c r="N65" i="7"/>
  <c r="R66" i="7"/>
  <c r="N66" i="7"/>
  <c r="J65" i="7"/>
  <c r="F65" i="7"/>
  <c r="J66" i="7"/>
  <c r="F66" i="7"/>
  <c r="V7" i="8" l="1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J110" i="7" l="1"/>
  <c r="J106" i="7"/>
  <c r="J95" i="7"/>
  <c r="J87" i="7" s="1"/>
  <c r="J88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R19" i="7" l="1"/>
  <c r="N19" i="7"/>
  <c r="J19" i="7"/>
  <c r="F19" i="7"/>
  <c r="T355" i="7" l="1"/>
  <c r="S355" i="7"/>
  <c r="R355" i="7"/>
  <c r="T354" i="7"/>
  <c r="S354" i="7"/>
  <c r="R354" i="7"/>
  <c r="P355" i="7"/>
  <c r="O355" i="7"/>
  <c r="N355" i="7"/>
  <c r="P354" i="7"/>
  <c r="O354" i="7"/>
  <c r="N354" i="7"/>
  <c r="L355" i="7"/>
  <c r="K355" i="7"/>
  <c r="J355" i="7"/>
  <c r="L354" i="7"/>
  <c r="K354" i="7"/>
  <c r="J354" i="7"/>
  <c r="G354" i="7"/>
  <c r="H354" i="7"/>
  <c r="G355" i="7"/>
  <c r="H355" i="7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I368" i="7" s="1"/>
  <c r="T368" i="7"/>
  <c r="T360" i="7" s="1"/>
  <c r="N368" i="7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N369" i="7"/>
  <c r="L369" i="7"/>
  <c r="K369" i="7"/>
  <c r="J369" i="7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R365" i="7"/>
  <c r="P365" i="7"/>
  <c r="O365" i="7"/>
  <c r="N365" i="7"/>
  <c r="L365" i="7"/>
  <c r="K365" i="7"/>
  <c r="J365" i="7"/>
  <c r="H365" i="7"/>
  <c r="G365" i="7"/>
  <c r="F365" i="7"/>
  <c r="E365" i="7" s="1"/>
  <c r="T364" i="7"/>
  <c r="S364" i="7"/>
  <c r="Q364" i="7" s="1"/>
  <c r="P364" i="7"/>
  <c r="O364" i="7"/>
  <c r="O356" i="7" s="1"/>
  <c r="L364" i="7"/>
  <c r="L356" i="7" s="1"/>
  <c r="K364" i="7"/>
  <c r="H364" i="7"/>
  <c r="G364" i="7"/>
  <c r="E364" i="7" s="1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S383" i="7"/>
  <c r="R383" i="7"/>
  <c r="P383" i="7"/>
  <c r="O383" i="7"/>
  <c r="N383" i="7"/>
  <c r="L383" i="7"/>
  <c r="K383" i="7"/>
  <c r="J383" i="7"/>
  <c r="H383" i="7"/>
  <c r="G383" i="7"/>
  <c r="F383" i="7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P356" i="7"/>
  <c r="P352" i="7" s="1"/>
  <c r="H356" i="7"/>
  <c r="H352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E345" i="7" s="1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E335" i="7" s="1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R64" i="7" s="1"/>
  <c r="P68" i="7"/>
  <c r="O68" i="7"/>
  <c r="N68" i="7"/>
  <c r="N64" i="7" s="1"/>
  <c r="L68" i="7"/>
  <c r="K68" i="7"/>
  <c r="J68" i="7"/>
  <c r="J64" i="7" s="1"/>
  <c r="H68" i="7"/>
  <c r="G68" i="7"/>
  <c r="F68" i="7"/>
  <c r="F64" i="7" s="1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H353" i="7" l="1"/>
  <c r="N353" i="7"/>
  <c r="S353" i="7"/>
  <c r="O352" i="7"/>
  <c r="H11" i="7"/>
  <c r="L11" i="7"/>
  <c r="T11" i="7"/>
  <c r="J353" i="7"/>
  <c r="O353" i="7"/>
  <c r="T353" i="7"/>
  <c r="R352" i="7"/>
  <c r="Q368" i="7"/>
  <c r="G11" i="7"/>
  <c r="O11" i="7"/>
  <c r="F353" i="7"/>
  <c r="K353" i="7"/>
  <c r="P353" i="7"/>
  <c r="Q365" i="7"/>
  <c r="P11" i="7"/>
  <c r="G353" i="7"/>
  <c r="L353" i="7"/>
  <c r="R353" i="7"/>
  <c r="L352" i="7"/>
  <c r="I365" i="7"/>
  <c r="M365" i="7"/>
  <c r="I369" i="7"/>
  <c r="M369" i="7"/>
  <c r="N352" i="7"/>
  <c r="M368" i="7"/>
  <c r="K11" i="7"/>
  <c r="S11" i="7"/>
  <c r="Q354" i="7"/>
  <c r="E355" i="7"/>
  <c r="Q355" i="7"/>
  <c r="I355" i="7"/>
  <c r="M355" i="7"/>
  <c r="E354" i="7"/>
  <c r="M354" i="7"/>
  <c r="I354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E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F12" i="7" s="1"/>
  <c r="Q357" i="7"/>
  <c r="H14" i="7"/>
  <c r="H63" i="7"/>
  <c r="S63" i="7"/>
  <c r="H64" i="7"/>
  <c r="S64" i="7"/>
  <c r="M357" i="7"/>
  <c r="J63" i="7"/>
  <c r="T63" i="7"/>
  <c r="O64" i="7"/>
  <c r="T64" i="7"/>
  <c r="K116" i="7"/>
  <c r="K12" i="7" s="1"/>
  <c r="I357" i="7"/>
  <c r="I38" i="7"/>
  <c r="I45" i="7"/>
  <c r="I46" i="7"/>
  <c r="I50" i="7"/>
  <c r="F63" i="7"/>
  <c r="K63" i="7"/>
  <c r="P63" i="7"/>
  <c r="K64" i="7"/>
  <c r="P64" i="7"/>
  <c r="G63" i="7"/>
  <c r="L116" i="7"/>
  <c r="L12" i="7" s="1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O13" i="7"/>
  <c r="Q56" i="7"/>
  <c r="L14" i="7"/>
  <c r="Q17" i="7"/>
  <c r="M32" i="7"/>
  <c r="M33" i="7"/>
  <c r="G116" i="7"/>
  <c r="G12" i="7" s="1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R12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H12" i="7" s="1"/>
  <c r="S114" i="7"/>
  <c r="N172" i="7"/>
  <c r="M172" i="7" s="1"/>
  <c r="I173" i="7"/>
  <c r="E197" i="7"/>
  <c r="J116" i="7"/>
  <c r="J12" i="7" s="1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T12" i="7" s="1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P12" i="7" s="1"/>
  <c r="K121" i="7"/>
  <c r="E161" i="7"/>
  <c r="E162" i="7"/>
  <c r="E167" i="7"/>
  <c r="E168" i="7"/>
  <c r="E172" i="7"/>
  <c r="M173" i="7"/>
  <c r="N196" i="7"/>
  <c r="M196" i="7" s="1"/>
  <c r="O116" i="7"/>
  <c r="O12" i="7" s="1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S12" i="7" s="1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M16" i="7"/>
  <c r="Q16" i="7"/>
  <c r="E17" i="7"/>
  <c r="E18" i="7"/>
  <c r="R26" i="7"/>
  <c r="R14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S10" i="7" l="1"/>
  <c r="L10" i="7"/>
  <c r="P10" i="7"/>
  <c r="K10" i="7"/>
  <c r="T10" i="7"/>
  <c r="H10" i="7"/>
  <c r="O10" i="7"/>
  <c r="I63" i="7"/>
  <c r="Q352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F10" i="7" s="1"/>
  <c r="I64" i="7"/>
  <c r="M64" i="7"/>
  <c r="Q124" i="7"/>
  <c r="Q63" i="7"/>
  <c r="E64" i="7"/>
  <c r="Q64" i="7"/>
  <c r="R122" i="7"/>
  <c r="R114" i="7" s="1"/>
  <c r="Q114" i="7" s="1"/>
  <c r="E13" i="7"/>
  <c r="N114" i="7"/>
  <c r="N10" i="7" s="1"/>
  <c r="M73" i="7"/>
  <c r="I116" i="7"/>
  <c r="E63" i="7"/>
  <c r="E116" i="7"/>
  <c r="J114" i="7"/>
  <c r="I114" i="7" s="1"/>
  <c r="G113" i="7"/>
  <c r="G9" i="7" s="1"/>
  <c r="O113" i="7"/>
  <c r="O9" i="7" s="1"/>
  <c r="E236" i="7"/>
  <c r="E12" i="7"/>
  <c r="Q13" i="7"/>
  <c r="P113" i="7"/>
  <c r="P9" i="7" s="1"/>
  <c r="Q116" i="7"/>
  <c r="N116" i="7"/>
  <c r="M124" i="7"/>
  <c r="M14" i="7"/>
  <c r="E14" i="7"/>
  <c r="L113" i="7"/>
  <c r="L9" i="7" s="1"/>
  <c r="I12" i="7"/>
  <c r="S113" i="7"/>
  <c r="S9" i="7" s="1"/>
  <c r="M26" i="7"/>
  <c r="Q12" i="7"/>
  <c r="G114" i="7"/>
  <c r="G10" i="7" s="1"/>
  <c r="Q26" i="7"/>
  <c r="I11" i="7"/>
  <c r="I15" i="7"/>
  <c r="H113" i="7"/>
  <c r="H9" i="7" s="1"/>
  <c r="M240" i="7"/>
  <c r="N236" i="7"/>
  <c r="M236" i="7" s="1"/>
  <c r="Q172" i="7"/>
  <c r="R121" i="7"/>
  <c r="T113" i="7"/>
  <c r="T9" i="7" s="1"/>
  <c r="E121" i="7"/>
  <c r="F113" i="7"/>
  <c r="F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9" i="7" l="1"/>
  <c r="M116" i="7"/>
  <c r="N12" i="7"/>
  <c r="M12" i="7" s="1"/>
  <c r="I352" i="7"/>
  <c r="R10" i="7"/>
  <c r="J10" i="7"/>
  <c r="E114" i="7"/>
  <c r="E12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Tea Gvaramadze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Tea Gvaramadze:</t>
        </r>
        <r>
          <rPr>
            <sz val="9"/>
            <color indexed="81"/>
            <rFont val="Tahoma"/>
            <family val="2"/>
          </rPr>
          <t xml:space="preserve">
დავკეტეთ ჩერნოვეცკი და დივაინი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Tea Gvaramadze:</t>
        </r>
        <r>
          <rPr>
            <sz val="9"/>
            <color indexed="81"/>
            <rFont val="Tahoma"/>
            <family val="2"/>
          </rPr>
          <t xml:space="preserve">
გაუუქმდა რეგისტრაცია 2019 წლის ივლისიდან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Tea Gvaramadze:</t>
        </r>
        <r>
          <rPr>
            <sz val="9"/>
            <color indexed="81"/>
            <rFont val="Tahoma"/>
            <family val="2"/>
          </rPr>
          <t xml:space="preserve">
გაუუქმდა რეგისტრაცია 2019 წლის 22 თებერვლიდან </t>
        </r>
      </text>
    </comment>
  </commentList>
</comments>
</file>

<file path=xl/sharedStrings.xml><?xml version="1.0" encoding="utf-8"?>
<sst xmlns="http://schemas.openxmlformats.org/spreadsheetml/2006/main" count="1063" uniqueCount="736">
  <si>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</si>
  <si>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</si>
  <si>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</si>
  <si>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</si>
  <si>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</si>
  <si>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</si>
  <si>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</si>
  <si>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</si>
  <si>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</si>
  <si>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</si>
  <si>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</si>
  <si>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</si>
  <si>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</si>
  <si>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</si>
  <si>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</si>
  <si>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</si>
  <si>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</si>
  <si>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</si>
  <si>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</si>
  <si>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</si>
  <si>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</si>
  <si>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</si>
  <si>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</si>
  <si>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</si>
  <si>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</si>
  <si>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</si>
  <si>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</si>
  <si>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</si>
  <si>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</si>
  <si>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</si>
  <si>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</si>
  <si>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</si>
  <si>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</si>
  <si>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</si>
  <si>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</si>
  <si>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</si>
  <si>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</si>
  <si>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</si>
  <si>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</si>
  <si>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</si>
  <si>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</si>
  <si>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</si>
  <si>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</si>
  <si>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</si>
  <si>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</si>
  <si>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</si>
  <si>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</si>
  <si>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</si>
  <si>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</si>
  <si>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</si>
  <si>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</si>
  <si>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</si>
  <si>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</si>
  <si>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</si>
  <si>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</si>
  <si>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</si>
  <si>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</si>
  <si>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</si>
  <si>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</si>
  <si>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</si>
  <si>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</si>
  <si>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</si>
  <si>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</si>
  <si>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</si>
  <si>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</si>
  <si>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</si>
  <si>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</si>
  <si>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</si>
  <si>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</si>
  <si>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</si>
  <si>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</si>
  <si>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</si>
  <si>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</si>
  <si>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</si>
  <si>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</si>
  <si>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</si>
  <si>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</si>
  <si>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</si>
  <si>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</si>
  <si>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</si>
  <si>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</si>
  <si>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</si>
  <si>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</si>
  <si>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</si>
  <si>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</si>
  <si>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</si>
  <si>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</si>
  <si>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</si>
  <si>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</si>
  <si>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</si>
  <si>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</si>
  <si>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</si>
  <si>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</si>
  <si>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</si>
  <si>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</si>
  <si>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</si>
  <si>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</si>
  <si>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</si>
  <si>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</si>
  <si>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</si>
  <si>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</si>
  <si>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</si>
  <si>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</si>
  <si>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</si>
  <si>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</si>
  <si>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</si>
  <si>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</si>
  <si>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</si>
  <si>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</si>
  <si>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</si>
  <si>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</si>
  <si>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</si>
  <si>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</si>
  <si>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</si>
  <si>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</si>
  <si>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</si>
  <si>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</si>
  <si>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</si>
  <si>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</si>
  <si>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</si>
  <si>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</si>
  <si>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</si>
  <si>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</si>
  <si>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</si>
  <si>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</si>
  <si>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</si>
  <si>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</si>
  <si>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</si>
  <si>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</si>
  <si>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</si>
  <si>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</si>
  <si>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</si>
  <si>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</si>
  <si>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</si>
  <si>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</si>
  <si>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</si>
  <si>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</si>
  <si>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</si>
  <si>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</si>
  <si>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</si>
  <si>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</si>
  <si>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</si>
  <si>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</si>
  <si>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</si>
  <si>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</si>
  <si>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</si>
  <si>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</si>
  <si>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</si>
  <si>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</si>
  <si>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</si>
  <si>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</si>
  <si>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</si>
  <si>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</si>
  <si>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</si>
  <si>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</si>
  <si>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</si>
  <si>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</si>
  <si>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</si>
  <si>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</si>
  <si>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</si>
  <si>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</si>
  <si>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</si>
  <si>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</si>
  <si>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</si>
  <si>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</si>
  <si>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</si>
  <si>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</si>
  <si>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</si>
  <si>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</si>
  <si>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</si>
  <si>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</si>
  <si>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</si>
  <si>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</si>
  <si>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</si>
  <si>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</si>
  <si>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</si>
  <si>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</si>
  <si>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</si>
  <si>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</si>
  <si>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</si>
  <si>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</si>
  <si>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</si>
  <si>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</si>
  <si>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</si>
  <si>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</si>
  <si>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</si>
  <si>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</si>
  <si>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</si>
  <si>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</si>
  <si>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</si>
  <si>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</si>
  <si>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</si>
  <si>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</si>
  <si>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</si>
  <si>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</si>
  <si>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</si>
  <si>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</si>
  <si>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</si>
  <si>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</si>
  <si>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</si>
  <si>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</si>
  <si>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</si>
  <si>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</si>
  <si>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</si>
  <si>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</si>
  <si>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</si>
  <si>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</si>
  <si>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</si>
  <si>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</si>
  <si>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</si>
  <si>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</si>
  <si>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</si>
  <si>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</si>
  <si>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</si>
  <si>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</si>
  <si>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</si>
  <si>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</si>
  <si>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</si>
  <si>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</si>
  <si>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</si>
  <si>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</si>
  <si>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</si>
  <si>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</si>
  <si>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</si>
  <si>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</si>
  <si>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</si>
  <si>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</si>
  <si>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</si>
  <si>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</si>
  <si>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</si>
  <si>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</si>
  <si>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</si>
  <si>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</si>
  <si>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</si>
  <si>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</si>
  <si>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</si>
  <si>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</si>
  <si>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</si>
  <si>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</si>
  <si>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</si>
  <si>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</si>
  <si>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</si>
  <si>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</si>
  <si>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</si>
  <si>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</si>
  <si>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</si>
  <si>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</si>
  <si>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</si>
  <si>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</si>
  <si>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</si>
  <si>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</si>
  <si>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</si>
  <si>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</si>
  <si>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</si>
  <si>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</si>
  <si>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</si>
  <si>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</si>
  <si>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</si>
  <si>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</si>
  <si>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</si>
  <si>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</si>
  <si>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</si>
  <si>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</si>
  <si>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</si>
  <si>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</si>
  <si>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</si>
  <si>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</si>
  <si>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</si>
  <si>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</si>
  <si>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</si>
  <si>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</si>
  <si>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</si>
  <si>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</si>
  <si>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</si>
  <si>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</si>
  <si>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</si>
  <si>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</si>
  <si>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</si>
  <si>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</si>
  <si>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</si>
  <si>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</si>
  <si>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</si>
  <si>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</si>
  <si>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</si>
  <si>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</si>
  <si>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</si>
  <si>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</si>
  <si>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</si>
  <si>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</si>
  <si>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</si>
  <si>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</si>
  <si>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</si>
  <si>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</si>
  <si>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</si>
  <si>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</si>
  <si>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</si>
  <si>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</si>
  <si>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</si>
  <si>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</si>
  <si>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</si>
  <si>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</si>
  <si>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</si>
  <si>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</si>
  <si>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</si>
  <si>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</si>
  <si>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</si>
  <si>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</si>
  <si>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</si>
  <si>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</si>
  <si>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</si>
  <si>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</si>
  <si>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</si>
  <si>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</si>
  <si>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</si>
  <si>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</si>
  <si>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</si>
  <si>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</si>
  <si>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</si>
  <si>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</si>
  <si>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</si>
  <si>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</si>
  <si>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</si>
  <si>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</si>
  <si>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</si>
  <si>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</si>
  <si>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</si>
  <si>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</si>
  <si>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</si>
  <si>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</si>
  <si>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</si>
  <si>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</si>
  <si>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</si>
  <si>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</si>
  <si>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</si>
  <si>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</si>
  <si>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</si>
  <si>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</si>
  <si>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</si>
  <si>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</si>
  <si>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</si>
  <si>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</si>
  <si>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</si>
  <si>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</si>
  <si>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</si>
  <si>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</si>
  <si>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</si>
  <si>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</si>
  <si>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</si>
  <si>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</si>
  <si>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</si>
  <si>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</si>
  <si>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</si>
  <si>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</si>
  <si>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</si>
  <si>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</si>
  <si>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</si>
  <si>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</si>
  <si>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</si>
  <si>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</si>
  <si>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</si>
  <si>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</si>
  <si>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</si>
  <si>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</si>
  <si>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</si>
  <si>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</si>
  <si>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</si>
  <si>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</si>
  <si>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</si>
  <si>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</si>
  <si>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</si>
  <si>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</si>
  <si>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</si>
  <si>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</si>
  <si>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</si>
  <si>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</si>
  <si>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</si>
  <si>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</si>
  <si>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</si>
  <si>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</si>
  <si>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</si>
  <si>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</si>
  <si>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</si>
  <si>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</si>
  <si>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</si>
  <si>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</si>
  <si>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</si>
  <si>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</si>
  <si>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</si>
  <si>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</si>
  <si>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</si>
  <si>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</si>
  <si>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</si>
  <si>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</si>
  <si>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</si>
  <si>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</si>
  <si>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</si>
  <si>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</si>
  <si>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</si>
  <si>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</si>
  <si>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</si>
  <si>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</si>
  <si>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</si>
  <si>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</si>
  <si>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</si>
  <si>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</si>
  <si>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</si>
  <si>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</si>
  <si>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</si>
  <si>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</si>
  <si>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</si>
  <si>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</si>
  <si>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</si>
  <si>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</si>
  <si>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</si>
  <si>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</si>
  <si>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</si>
  <si>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</si>
  <si>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</si>
  <si>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</si>
  <si>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</si>
  <si>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</si>
  <si>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</si>
  <si>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</si>
  <si>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</si>
  <si>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</si>
  <si>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</si>
  <si>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</si>
  <si>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</si>
  <si>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</si>
  <si>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</si>
  <si>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</si>
  <si>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</si>
  <si>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</si>
  <si>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</si>
  <si>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</si>
  <si>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</si>
  <si>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</si>
  <si>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</si>
  <si>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</si>
  <si>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</si>
  <si>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</si>
  <si>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</si>
  <si>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</si>
  <si>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</si>
  <si>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</si>
  <si>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</si>
  <si>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</si>
  <si>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</si>
  <si>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</si>
  <si>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</si>
  <si>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</si>
  <si>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</si>
  <si>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</si>
  <si>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</si>
  <si>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</si>
  <si>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</si>
  <si>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</si>
  <si>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</si>
  <si>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</si>
  <si>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</si>
  <si>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</si>
  <si>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</si>
  <si>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</si>
  <si>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</si>
  <si>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27 02 03</t>
  </si>
  <si>
    <t>2019 წლის დამტკიცებული</t>
  </si>
  <si>
    <t>2020 წელი ჭერის ფარგლებში</t>
  </si>
  <si>
    <t>სხვაობა MOF-სა და 2019 დამტკ.</t>
  </si>
  <si>
    <t>2020 წელი ჭერს ზევით მოთხოვნილი</t>
  </si>
  <si>
    <t xml:space="preserve">    MOF  2020             </t>
  </si>
  <si>
    <t>კრიზისული</t>
  </si>
  <si>
    <t xml:space="preserve">ბავშვის კვება </t>
  </si>
  <si>
    <t xml:space="preserve">ბენეფიციართა რაოდენობა </t>
  </si>
  <si>
    <t>ერთეულის ფასი</t>
  </si>
  <si>
    <t>სულ წლიური თანხა</t>
  </si>
  <si>
    <t>ადრეული განვითარების
 ქვეპროგრამა (მიმწოდებლები)</t>
  </si>
  <si>
    <t>რეგიონი</t>
  </si>
  <si>
    <t>რეგიონი (ლიმიტი)</t>
  </si>
  <si>
    <t xml:space="preserve">ერთ თვეში დაფინანსებული
 ვიზიტების რაოდენობა </t>
  </si>
  <si>
    <t xml:space="preserve">აბილიტაცია/რეაბილიტაციის 
ქვეპროგრამა </t>
  </si>
  <si>
    <t xml:space="preserve">ომის მონაწილეთა ქვეპროგრამა </t>
  </si>
  <si>
    <t>რაიონი</t>
  </si>
  <si>
    <t>ლიმიტი</t>
  </si>
  <si>
    <t>თანხა</t>
  </si>
  <si>
    <t>რაოდენობა</t>
  </si>
  <si>
    <t>კურსი</t>
  </si>
  <si>
    <t>სულ თანხა</t>
  </si>
  <si>
    <t xml:space="preserve">დამხმარე საშუალებებით უზრუნველყოფის ქვეპროგრამა </t>
  </si>
  <si>
    <t>ფასი</t>
  </si>
  <si>
    <t>ღირებულება</t>
  </si>
  <si>
    <t>მექანიკური სავარძელ-ეტლი</t>
  </si>
  <si>
    <t>ელექტრო სავარძელ-ეტლი</t>
  </si>
  <si>
    <t>საპროთეზო-ორთოპედიული საშუალებებით უზრუნველყოფის კომპონენტი</t>
  </si>
  <si>
    <t>საშუალო ფასი</t>
  </si>
  <si>
    <t xml:space="preserve">ქვედა კიდურის პროთეზირება </t>
  </si>
  <si>
    <t xml:space="preserve">ზედა კიდურის პროთეზირება </t>
  </si>
  <si>
    <t xml:space="preserve">ორთეზირება </t>
  </si>
  <si>
    <t>თვალის პროთეზირება</t>
  </si>
  <si>
    <t>სულ საჭირო თანხა</t>
  </si>
  <si>
    <t>სმენის აპარატების უზრუნველყოფის კომპონენტი</t>
  </si>
  <si>
    <t>სმარტფონებით უზრუნველყოფის კომპონენტი</t>
  </si>
  <si>
    <t>კოხლეარული იმპლანტის უზრუნველყოფის კომპონენტი</t>
  </si>
  <si>
    <t xml:space="preserve">მორგება-რეგულირება </t>
  </si>
  <si>
    <t>ლოგოპედი</t>
  </si>
  <si>
    <t>ღირებულება სულ</t>
  </si>
  <si>
    <t xml:space="preserve"> ფასი</t>
  </si>
  <si>
    <t xml:space="preserve">დედათა და ბავშვთა თავშესაფარით უზრუნველყოფა </t>
  </si>
  <si>
    <t>იმერეთი</t>
  </si>
  <si>
    <t>ქუთაისი</t>
  </si>
  <si>
    <t>თბილისი</t>
  </si>
  <si>
    <t>შიდა ქართლი</t>
  </si>
  <si>
    <t>ხაშური</t>
  </si>
  <si>
    <t>მინდობით აღზრდის ტიპები</t>
  </si>
  <si>
    <t xml:space="preserve">თანხა </t>
  </si>
  <si>
    <t>ნათესაური მინდობით აღზრდა</t>
  </si>
  <si>
    <t xml:space="preserve">ნათესაური მინდობით აღზრდა განსხვავებული საჭიროების
მქონე ბავშვისათვის </t>
  </si>
  <si>
    <t>სპეციალიზებულ მინდობით აღზრდაში
განთავსებული განსხვავებული საჭიროების (დღეში)</t>
  </si>
  <si>
    <t>გადაუდებელი მინდობით აღზრდა  (დღეში)</t>
  </si>
  <si>
    <t>ჩამნაცვლებელ მინოდბით აღზრდაში
 განთავსებული განსხვავებული საჭიროების მქონე ბავშვისთვის (დღეში)</t>
  </si>
  <si>
    <t>21 წლამდე (დღეში)</t>
  </si>
  <si>
    <t>21 წლამდე განსხვავებული საჭიროების (დღეში)</t>
  </si>
  <si>
    <t xml:space="preserve">მცირე საოჯახო ტიპის სახლებში
 მომსახურებით უზრუნველყოფის ქვეპროგრამა </t>
  </si>
  <si>
    <r>
      <t>ადმინისტრაციულ</t>
    </r>
    <r>
      <rPr>
        <b/>
        <sz val="12"/>
        <color theme="1"/>
        <rFont val="Times New Roman"/>
        <family val="1"/>
      </rPr>
      <t>-</t>
    </r>
    <r>
      <rPr>
        <b/>
        <sz val="12"/>
        <color theme="1"/>
        <rFont val="Sylfaen"/>
        <family val="1"/>
      </rPr>
      <t>ტერიტორიული</t>
    </r>
    <r>
      <rPr>
        <sz val="12"/>
        <color theme="1"/>
        <rFont val="Times New Roman"/>
        <family val="1"/>
      </rPr>
      <t> </t>
    </r>
    <r>
      <rPr>
        <b/>
        <sz val="12"/>
        <color theme="1"/>
        <rFont val="Sylfaen"/>
        <family val="1"/>
      </rPr>
      <t>ერთეული</t>
    </r>
  </si>
  <si>
    <r>
      <t>ქ</t>
    </r>
    <r>
      <rPr>
        <sz val="12"/>
        <color theme="1"/>
        <rFont val="Times New Roman"/>
        <family val="1"/>
      </rPr>
      <t xml:space="preserve">. </t>
    </r>
    <r>
      <rPr>
        <sz val="12"/>
        <color theme="1"/>
        <rFont val="Sylfaen"/>
        <family val="1"/>
      </rPr>
      <t>თბილისი</t>
    </r>
  </si>
  <si>
    <r>
      <t>ქ</t>
    </r>
    <r>
      <rPr>
        <sz val="12"/>
        <color theme="1"/>
        <rFont val="Times New Roman"/>
        <family val="1"/>
      </rPr>
      <t xml:space="preserve">. </t>
    </r>
    <r>
      <rPr>
        <sz val="12"/>
        <color theme="1"/>
        <rFont val="Sylfaen"/>
        <family val="1"/>
      </rPr>
      <t>რუსთავი</t>
    </r>
  </si>
  <si>
    <r>
      <t>გარდაბნის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</si>
  <si>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მცხეთის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</si>
  <si>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დუშეთის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</si>
  <si>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ქ</t>
    </r>
    <r>
      <rPr>
        <sz val="12"/>
        <color theme="1"/>
        <rFont val="Times New Roman"/>
        <family val="1"/>
      </rPr>
      <t xml:space="preserve">. </t>
    </r>
    <r>
      <rPr>
        <sz val="12"/>
        <color theme="1"/>
        <rFont val="Sylfaen"/>
        <family val="1"/>
      </rPr>
      <t>ქუთაისი</t>
    </r>
  </si>
  <si>
    <r>
      <t>ხონის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</si>
  <si>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ზესტაფონის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</si>
  <si>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საჩხერის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</si>
  <si>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ქ</t>
    </r>
    <r>
      <rPr>
        <sz val="12"/>
        <color theme="1"/>
        <rFont val="Times New Roman"/>
        <family val="1"/>
      </rPr>
      <t xml:space="preserve">. </t>
    </r>
    <r>
      <rPr>
        <sz val="12"/>
        <color theme="1"/>
        <rFont val="Sylfaen"/>
        <family val="1"/>
      </rPr>
      <t>ბათუმი</t>
    </r>
  </si>
  <si>
    <r>
      <t>თელავის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</si>
  <si>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ლაგოდეხის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</si>
  <si>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ოზურგეთის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</si>
  <si>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ლანჩხუთის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</si>
  <si>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წალენჯიხის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</si>
  <si>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ჩხოროწყუს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</si>
  <si>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ამბროლაურის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</si>
  <si>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გორის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</si>
  <si>
    <r>
      <t>ხაშურის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მუნიციპალიტეტი</t>
    </r>
    <r>
      <rPr>
        <sz val="12"/>
        <color theme="1"/>
        <rFont val="Times New Roman"/>
        <family val="1"/>
      </rPr>
      <t> </t>
    </r>
  </si>
  <si>
    <t xml:space="preserve">სულ ლიმიტი </t>
  </si>
  <si>
    <t>მიუსაფარ ბავშვთა თავშესაფრით 
უზრუნველყოფის ქვეპროგრამა</t>
  </si>
  <si>
    <t>დღის ცენტრი (დღეში)</t>
  </si>
  <si>
    <t>სადღეღამისო თავშესაფარი (დღეში)</t>
  </si>
  <si>
    <t>მომსახურების 
დღეები</t>
  </si>
  <si>
    <t xml:space="preserve">მობილური ჯგუფი </t>
  </si>
  <si>
    <t xml:space="preserve">რაოდენობა </t>
  </si>
  <si>
    <t>World Vision International</t>
  </si>
  <si>
    <t> ა(ა)იპ – საქველმოქმედო ფონდი საქართველოს კარიტასი</t>
  </si>
  <si>
    <t>ა(ა)იპ - ბავშვი და გარემო</t>
  </si>
  <si>
    <t xml:space="preserve">სულ თანხა წელიწადში </t>
  </si>
  <si>
    <t xml:space="preserve">სულ ქვეპროგრამის ბიუჯეტი </t>
  </si>
  <si>
    <t xml:space="preserve">სათემო ორგანიზაციების ქვეპროგრამა </t>
  </si>
  <si>
    <t>18 წლისა და უფროსი ასაკის შშმ პირები</t>
  </si>
  <si>
    <t>ხანდაზმულები </t>
  </si>
  <si>
    <t>შშმ პირთა საოჯახო ტიპის დამოუკიდებელი 
ცხოვრების ხელშეწყობის უზრუნველყოფის კომპონენტი</t>
  </si>
  <si>
    <t>მძიმე და ღრმა გონებრივი განვითარების შეფერხების მქონე  ბავშვთა ბინაზე მოვლით უზრუნველყოფა</t>
  </si>
  <si>
    <t xml:space="preserve">ქ. თბილისი </t>
  </si>
  <si>
    <t xml:space="preserve">ბენეფიციართა 
რაოდენობა </t>
  </si>
  <si>
    <t>ზუგდიდი</t>
  </si>
  <si>
    <t>თელავი</t>
  </si>
  <si>
    <t>მძიმე და ღრმა გონებრივი განვითარების შეფერხების მქონე  ბავშვთა მცირე საოჯახო</t>
  </si>
  <si>
    <t>ბენეფიციართა
 რაოდენობა (2020)</t>
  </si>
  <si>
    <t>კრიზისულ მდგომარეობაში მყოფი
 ბავშვიანი ოჯახების გადაუდებელი დახმარების ქვეპროგრამა</t>
  </si>
  <si>
    <t xml:space="preserve">2020 წელი </t>
  </si>
  <si>
    <t>მარტო მორგება-რეგულირების საჭიროება</t>
  </si>
  <si>
    <t xml:space="preserve">პროთეზირება </t>
  </si>
  <si>
    <t xml:space="preserve">კატეგორია </t>
  </si>
  <si>
    <t xml:space="preserve">2019 წელი </t>
  </si>
  <si>
    <t>წლიური თანხა</t>
  </si>
  <si>
    <t>შშმ ბავშვი (დღეში)</t>
  </si>
  <si>
    <t>შშმ არმქონე ბავშვი (დღეში)</t>
  </si>
  <si>
    <t>ა(ა)იპ რეგისტრირებული კავშირი "საქართველოს ბავშვები"</t>
  </si>
  <si>
    <t>ა(ა)იპ "პირველი ნაბიჯი საქართველო"</t>
  </si>
  <si>
    <t>ა(ა)იპ განვითარებისა და სოციალური რეაბილიტაციის ცენტრი "თაირისი"</t>
  </si>
  <si>
    <t>ა(ა)იპ ,,საქართველოს პორტიჯის ასოციაცია"</t>
  </si>
  <si>
    <t>შპს "ი.ბოკერიას სახ. ნეიროგანვითარების ცენტრი"</t>
  </si>
  <si>
    <t>ა(ა)იპ საქართველოს საზოგადოებრივი ინტერესების დაცვის ასოციაცია</t>
  </si>
  <si>
    <t>ა(ა)იპ "თავისუფალი პედაგოგიკის ცენტრი"</t>
  </si>
  <si>
    <t>ა(ა)იპ ,,ხიდი სოციალური ინკლუზიისთვის"</t>
  </si>
  <si>
    <t>ა(ა)იპ ,,ფსიქოლოგიური მომსახურების ცენტრი მწვანე სახლი"'</t>
  </si>
  <si>
    <t>ა(ა)იპ ინვალიდ ბავშვთა და მოზარდთა რეაბილიტაციის ხელშეწყობა "ნერგები"</t>
  </si>
  <si>
    <t xml:space="preserve">ა(ა)იპ ,,საქართველოს სამარიტელთა კავშირი" </t>
  </si>
  <si>
    <t xml:space="preserve">სს ევექსის კლინიკები </t>
  </si>
  <si>
    <t>ა(ა)იპ აბილიტაციისა და განვითარების ცენტრი</t>
  </si>
  <si>
    <t>შპს ,,ი.ბოკერიას სახ. ნეიროგანვითარების ცენტრი''</t>
  </si>
  <si>
    <t>ა(ა)იპ ,,ბავში, ოჯახი, საზოგადოება''</t>
  </si>
  <si>
    <t>ა(ა)იპ კავშირი ,,საქართველოს პორტიჯის ასოციაცია''</t>
  </si>
  <si>
    <t>ა(ა)იპ საზოგადოება ბილიკი</t>
  </si>
  <si>
    <t>ა(ა)იპ ხედვა, ზრუნვა, მხარდაჭერა</t>
  </si>
  <si>
    <t>,,პირველი ნაბიჯი საქართველო''</t>
  </si>
  <si>
    <t>ქართულ ავსტრიული ბავშვთა და მოზარდთა ნეიროფსიქიატრიული ცენტრი ,,სანნი კიდს''</t>
  </si>
  <si>
    <t>,,ავადმყოფთა მომსახურე სასულიერო პირთა ორდენის (კამილიელების) ფილიალი საქართველოში''</t>
  </si>
  <si>
    <t>ა(ა)იპ ,,ორიონი''</t>
  </si>
  <si>
    <t>ა(ა)იპ ასოციაცია ,,ანიკა''</t>
  </si>
  <si>
    <t>შპს ,,დი მედი ბავშვთა და მოზარდთა ნევროლოგიისა და ნეირორეაბილიტაციის ცენტრი''</t>
  </si>
  <si>
    <t>,,მარნეულის მუნიციპალიტეტის ტერიტორიაზე არსებული ბაგა-ბაღების გაერთიანება (სკოლამდელი აღზრდის ცენტრი)''</t>
  </si>
  <si>
    <t>შპს ,,ქობულეთის ბავშვთა განვითარების ცენტრი''</t>
  </si>
  <si>
    <t>ა(ა)იპ ,,ფანშეტი''</t>
  </si>
  <si>
    <t>ასოციაცია ,,საქართველოს ეს ო ეს ბავშვთა სოფელი''</t>
  </si>
  <si>
    <t>ა(ა)იპ ,,ღია სახლი''</t>
  </si>
  <si>
    <t>რეგისტრირებული ადგილების რაოდენობა</t>
  </si>
  <si>
    <t xml:space="preserve">თბილისი </t>
  </si>
  <si>
    <t xml:space="preserve">თბილისი  </t>
  </si>
  <si>
    <t xml:space="preserve">ქუთაისი </t>
  </si>
  <si>
    <t xml:space="preserve">თელავი </t>
  </si>
  <si>
    <t xml:space="preserve">ზუგდიდი </t>
  </si>
  <si>
    <t xml:space="preserve">ლაგოდეხი </t>
  </si>
  <si>
    <t xml:space="preserve">ქობულეთი </t>
  </si>
  <si>
    <t xml:space="preserve">ბათუმი </t>
  </si>
  <si>
    <t>მარნეული ( არაუმეტეს 240 ვიზიტისა თვეში)</t>
  </si>
  <si>
    <t>ახალციხე  (არაუმეტეს  200 ვიზიტისა თვეში)</t>
  </si>
  <si>
    <t>გორი  (არაუმეტეს 400 ვიზიტისა თვეში)</t>
  </si>
  <si>
    <t>ბორჯომი  (არაუმეტეს 320 ვიზიტისა თვეში)</t>
  </si>
  <si>
    <t xml:space="preserve">რუსთავი </t>
  </si>
  <si>
    <t xml:space="preserve">ზესტაფონი </t>
  </si>
  <si>
    <t xml:space="preserve">ქ.თბილისი </t>
  </si>
  <si>
    <t xml:space="preserve"> ქ. მარნეული  ( არაუმეტეს 240 ვიზიტისა თვეში)</t>
  </si>
  <si>
    <t>გორი (არაუმეტეს 400 ვიზიტისა თვეში)</t>
  </si>
  <si>
    <t>სულ ერთი თვის განმავლობაში ფინანსდება  10400 ვიზიტი</t>
  </si>
  <si>
    <t>6-18 წლამდე ასაკის მიტოვების რისკის ქვეშ მყოფი ბავშვი</t>
  </si>
  <si>
    <t>მძიმე და ღრმა   გონებრივი განვითარების შეფერხების მქონე 30 შშმ ბავში</t>
  </si>
  <si>
    <t>სენაკი</t>
  </si>
  <si>
    <t>ვანი</t>
  </si>
  <si>
    <t>მუნიციპალიტეტი</t>
  </si>
  <si>
    <t>ა(ა)იპ ასოციაცია "საქართველოს ეს–ო–ეს ბავშვთა სოფელი"</t>
  </si>
  <si>
    <t>საქველმოქმედო ფონდი საქართველოს კარიტასი</t>
  </si>
  <si>
    <t>ძალადობისგან დაცვის ეროვნული ქსელი</t>
  </si>
  <si>
    <t>ა(ა)იპ საზოგადოება "ბილიკი"</t>
  </si>
  <si>
    <t>ა(ა)იპ ასოციაცია ,,საქართველოს ეს ო ეს ბავშვთა სოფელი''</t>
  </si>
  <si>
    <t>ჰერმან გმაინერის ქ. #4</t>
  </si>
  <si>
    <t>თ. ერისთავის ქ N 2</t>
  </si>
  <si>
    <t>ქერჩის ქ.  4/ წერილი გავაგზავნოთ მის: ქ.თბილისი, ზ.ჭავჭავაძის ქ. #9 (ყოფილი შეროზიას ქუჩა)</t>
  </si>
  <si>
    <t>იმერეთის ქ. #20</t>
  </si>
  <si>
    <t>ნუცუბიძის IV მ/რ-ნი, ჰერმან გმაინერის ქ. #1</t>
  </si>
  <si>
    <t>მომსახურების მიწოდების მისამართი</t>
  </si>
  <si>
    <t>ორგანიზაცია</t>
  </si>
  <si>
    <t>ნათესაური მინდობით აღზრდა სულ</t>
  </si>
  <si>
    <t>რეგულარული მინდობით აღზრდა სულ (დღეში)</t>
  </si>
  <si>
    <t>შშმ ბავშვი</t>
  </si>
  <si>
    <t>რეგულარული მინდობით აღზრდა</t>
  </si>
  <si>
    <t xml:space="preserve">სულ 1 576 </t>
  </si>
  <si>
    <t>31 ბავშვია ამ დროისათვის მინდობით აღზრდაში, რომლებიც მალე ხდებიან 18 წლის, თუმცა დარჩებიან თუ არა სერვისში ჯერ არ არის ცნობილი</t>
  </si>
  <si>
    <t xml:space="preserve">ერთეულის 
ფასი </t>
  </si>
  <si>
    <t>თვეში თანხა</t>
  </si>
  <si>
    <t>სულ წლიური</t>
  </si>
  <si>
    <t>შესრულება 80%</t>
  </si>
  <si>
    <t>პროგრამული ლიმიტი</t>
  </si>
  <si>
    <t>რეგისტრირებული
 ადგილები</t>
  </si>
  <si>
    <t>თანხის ოდენობა</t>
  </si>
  <si>
    <t>2019 წლის თანხა</t>
  </si>
  <si>
    <t>2020 წლის თანხა</t>
  </si>
  <si>
    <t>დათვლილი 70%-იან დასწრებაზე</t>
  </si>
  <si>
    <t>დათვლილი 75%-იან დასწრებაზე</t>
  </si>
  <si>
    <t>დათვლილი 80%-იან დასწრებაზე</t>
  </si>
  <si>
    <t>დათვლილი 85%-იან დასწრებაზე</t>
  </si>
  <si>
    <t>შშმ ბავშვი (შშმ პირი)</t>
  </si>
  <si>
    <t xml:space="preserve">2020 წელს ემატება </t>
  </si>
  <si>
    <t xml:space="preserve">მუნიციპალიტეტები სადაც გვაქვს ლიმიტი და არ გვყავს ორგანიზაცია </t>
  </si>
  <si>
    <t>აბაშა შშმ ბავშვი 8 და შშმ პირი 8</t>
  </si>
  <si>
    <t>თიანეთი</t>
  </si>
  <si>
    <t>6-18 წლამდე</t>
  </si>
  <si>
    <t>ამბროლაური შშმ ბავშვი</t>
  </si>
  <si>
    <t>ასპინძა</t>
  </si>
  <si>
    <t>ბაღდათი შშმ პირი</t>
  </si>
  <si>
    <t>შშმ პირი</t>
  </si>
  <si>
    <t>გორი შშმ პირი</t>
  </si>
  <si>
    <t xml:space="preserve">ტყიბული </t>
  </si>
  <si>
    <t xml:space="preserve">წალკა </t>
  </si>
  <si>
    <t>სიღნაღი (გარდა წნორისა)</t>
  </si>
  <si>
    <t>მარნეული</t>
  </si>
  <si>
    <t>საგარეჯო</t>
  </si>
  <si>
    <t>მესტია</t>
  </si>
  <si>
    <t>შუახევი</t>
  </si>
  <si>
    <t>ახმეტა</t>
  </si>
  <si>
    <t>თანხები გაანგარიშებულია შემდეგი პრინციპით 6-და 18 წლამდე 2 ლარიანი ზრდა და 8 ლარი დღეში 
მძიმე და ღრმა შშმ ბავშვის დღის ცენტრი დღეში 24 ლარი 
შშმ ბავშვი (პირი) დღეში 15 ლარი
 სამუშაო დღეების რაოდენობა 21</t>
  </si>
  <si>
    <t xml:space="preserve">ბავშვების რაოდენობა </t>
  </si>
  <si>
    <t>თვის ვაუჩერის ფასი</t>
  </si>
  <si>
    <t>წელიწადში საჭირო თანხა</t>
  </si>
  <si>
    <t>2020 წლის პროექტი</t>
  </si>
  <si>
    <t>შესრულება 75%</t>
  </si>
  <si>
    <t xml:space="preserve">ფასი  დღეში </t>
  </si>
  <si>
    <t>მათ შორის შშმ ბავშვი</t>
  </si>
  <si>
    <t>არაშშმ ბავშვი</t>
  </si>
  <si>
    <t>ლიმიტი (2019 წელი)</t>
  </si>
  <si>
    <t>თანხა ერთ ბენეფიციარზე დღეში</t>
  </si>
  <si>
    <t>სულ ჯამი</t>
  </si>
  <si>
    <t>94%-ანი შევსება</t>
  </si>
  <si>
    <t xml:space="preserve">სულ ბენეფიციართა რაოდენობა </t>
  </si>
  <si>
    <t>თანხა დღეში</t>
  </si>
  <si>
    <t>ბენეფიციარი</t>
  </si>
  <si>
    <t>სულ ქვეპროგრამა</t>
  </si>
  <si>
    <t xml:space="preserve">სეანსის რაოდენობა </t>
  </si>
  <si>
    <t>პერტესი</t>
  </si>
  <si>
    <t>სულ ქვეპროგრამის ჯამი</t>
  </si>
  <si>
    <t>ბედიანი (მარტიდან)</t>
  </si>
  <si>
    <t>30*50*365</t>
  </si>
  <si>
    <t xml:space="preserve">გადაუდებელი მ ინდობით აღზრდა </t>
  </si>
  <si>
    <t>შემთხვევა</t>
  </si>
  <si>
    <t>სეანსების რაოდენობა</t>
  </si>
  <si>
    <t>ახალციხე</t>
  </si>
  <si>
    <t>გორი</t>
  </si>
  <si>
    <t>ბორჯომი</t>
  </si>
  <si>
    <t>რუსთავი</t>
  </si>
  <si>
    <t>ზესტაფონი</t>
  </si>
  <si>
    <t>ბედიანი (იანვრიდან)</t>
  </si>
  <si>
    <t>ბედიანი (ივნისიდან)</t>
  </si>
  <si>
    <t xml:space="preserve">კურსის ღირებულება </t>
  </si>
  <si>
    <t>სეანსის ღირებულება</t>
  </si>
  <si>
    <t xml:space="preserve">სმენის აპარატები </t>
  </si>
  <si>
    <t>სმარტფონი</t>
  </si>
  <si>
    <t>კოხლეარი</t>
  </si>
  <si>
    <t>პროთეზირება</t>
  </si>
  <si>
    <t>სულ დამხმარე საშუალებები</t>
  </si>
  <si>
    <t xml:space="preserve">თვალის პროთეზირება </t>
  </si>
  <si>
    <t>სულ ეტლებისთვის საჭირო თანხა</t>
  </si>
  <si>
    <t xml:space="preserve">2020 ემატება </t>
  </si>
  <si>
    <t>წლიური *</t>
  </si>
  <si>
    <t>asb პროექტი</t>
  </si>
  <si>
    <t>პანკისი შშმ პირი</t>
  </si>
  <si>
    <t>დავამატე რაოდენობაში</t>
  </si>
  <si>
    <t>* 2019 წელს მინდობით აღზრდაში გათვალისწინებული თანხა რჩება
30 ლარამდე ვზრდით გადაუდებელ მინდობით აღზრდას, იმ დაშვებით რომ მთელი
წლის განმავლობაში ყოველდღე გადაუდებელ მინდობით აღზრდაში გვეყოლება დაახლოებით 
90 ბავშვი</t>
  </si>
  <si>
    <t>თელავი 6-18 წლამდე შშმ</t>
  </si>
  <si>
    <t>ხობი 6-18 წლამდე შშმ</t>
  </si>
  <si>
    <t>asb</t>
  </si>
  <si>
    <t>სუპერვიზიის თანხა</t>
  </si>
  <si>
    <t>ჯამური ბიუჯეტი სუპერვიზიით</t>
  </si>
  <si>
    <t>ბედიანი (თებერვლიდან) მაია</t>
  </si>
  <si>
    <t>ბედიანი (სექტემბრიდან) მაია</t>
  </si>
  <si>
    <t>შესრულება 90%</t>
  </si>
  <si>
    <t>მომსახურების საშუალო</t>
  </si>
  <si>
    <t>მხოლოდ ეტლები (მექანიკური, ელექტრო)</t>
  </si>
  <si>
    <t>2020 წლის ბიუჯეტი</t>
  </si>
  <si>
    <t>2020 წლის გაანგარიშება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</si>
</sst>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</numFmts>
  <fonts count="9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b/>
      <sz val="11"/>
      <name val="Sylfaen"/>
      <family val="1"/>
      <charset val="204"/>
    </font>
    <font>
      <u/>
      <sz val="11"/>
      <name val="Sylfaen"/>
      <family val="1"/>
      <charset val="204"/>
    </font>
    <font>
      <u/>
      <sz val="11"/>
      <color rgb="FFFF0000"/>
      <name val="Sylfaen"/>
      <family val="1"/>
    </font>
    <font>
      <b/>
      <sz val="14"/>
      <name val="Sylfaen"/>
      <family val="1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Sylfae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0"/>
      <color rgb="FF333333"/>
      <name val="Arial"/>
      <family val="2"/>
    </font>
    <font>
      <sz val="14"/>
      <color rgb="FF333333"/>
      <name val="Arial"/>
      <family val="2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1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2"/>
      <name val="Sylfaen"/>
      <family val="1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Times New Roman"/>
      <family val="1"/>
    </font>
    <font>
      <b/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8" fillId="0" borderId="0"/>
    <xf numFmtId="0" fontId="15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1" fillId="0" borderId="0"/>
    <xf numFmtId="0" fontId="5" fillId="0" borderId="0"/>
    <xf numFmtId="0" fontId="4" fillId="0" borderId="0"/>
  </cellStyleXfs>
  <cellXfs count="259">
    <xf numFmtId="0" fontId="0" fillId="0" borderId="0" xfId="0"/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65" fontId="14" fillId="2" borderId="0" xfId="0" applyNumberFormat="1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  <xf numFmtId="49" fontId="27" fillId="2" borderId="0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20" fillId="2" borderId="0" xfId="0" applyFont="1" applyFill="1" applyBorder="1" applyAlignment="1">
      <alignment horizontal="center" vertical="center" wrapText="1"/>
    </xf>
    <xf numFmtId="49" fontId="22" fillId="2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3" fillId="4" borderId="1" xfId="0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165" fontId="4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3" fontId="32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3" fontId="41" fillId="2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42" fillId="2" borderId="1" xfId="0" applyFont="1" applyFill="1" applyBorder="1" applyAlignment="1">
      <alignment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165" fontId="28" fillId="3" borderId="1" xfId="0" applyNumberFormat="1" applyFont="1" applyFill="1" applyBorder="1" applyAlignment="1">
      <alignment horizontal="center" vertical="center" wrapText="1"/>
    </xf>
    <xf numFmtId="165" fontId="43" fillId="3" borderId="1" xfId="0" applyNumberFormat="1" applyFont="1" applyFill="1" applyBorder="1" applyAlignment="1">
      <alignment horizontal="center" vertical="center" wrapText="1"/>
    </xf>
    <xf numFmtId="165" fontId="43" fillId="2" borderId="1" xfId="0" applyNumberFormat="1" applyFont="1" applyFill="1" applyBorder="1" applyAlignment="1">
      <alignment horizontal="center" vertical="center" wrapText="1"/>
    </xf>
    <xf numFmtId="49" fontId="35" fillId="2" borderId="1" xfId="0" applyNumberFormat="1" applyFont="1" applyFill="1" applyBorder="1" applyAlignment="1">
      <alignment horizontal="center" vertical="center" wrapText="1"/>
    </xf>
    <xf numFmtId="165" fontId="28" fillId="2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/>
    <xf numFmtId="49" fontId="51" fillId="2" borderId="1" xfId="0" applyNumberFormat="1" applyFont="1" applyFill="1" applyBorder="1" applyAlignment="1">
      <alignment horizontal="center"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54" fillId="2" borderId="0" xfId="0" applyNumberFormat="1" applyFont="1" applyFill="1" applyAlignment="1">
      <alignment vertical="center" wrapText="1"/>
    </xf>
    <xf numFmtId="165" fontId="31" fillId="0" borderId="1" xfId="0" applyNumberFormat="1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49" fontId="46" fillId="3" borderId="1" xfId="0" applyNumberFormat="1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 wrapText="1"/>
    </xf>
    <xf numFmtId="165" fontId="45" fillId="3" borderId="1" xfId="0" applyNumberFormat="1" applyFont="1" applyFill="1" applyBorder="1" applyAlignment="1">
      <alignment horizontal="center" vertical="center" wrapText="1"/>
    </xf>
    <xf numFmtId="165" fontId="48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5" fillId="2" borderId="1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 wrapText="1"/>
    </xf>
    <xf numFmtId="165" fontId="56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165" fontId="60" fillId="2" borderId="1" xfId="0" applyNumberFormat="1" applyFont="1" applyFill="1" applyBorder="1" applyAlignment="1">
      <alignment horizontal="center" vertical="center" wrapText="1"/>
    </xf>
    <xf numFmtId="165" fontId="61" fillId="3" borderId="1" xfId="0" applyNumberFormat="1" applyFont="1" applyFill="1" applyBorder="1" applyAlignment="1">
      <alignment horizontal="center" vertical="center" wrapText="1"/>
    </xf>
    <xf numFmtId="0" fontId="59" fillId="2" borderId="0" xfId="0" applyFont="1" applyFill="1" applyAlignment="1">
      <alignment vertical="center" wrapText="1"/>
    </xf>
    <xf numFmtId="0" fontId="62" fillId="2" borderId="0" xfId="0" applyFont="1" applyFill="1" applyAlignment="1">
      <alignment vertical="center" wrapText="1"/>
    </xf>
    <xf numFmtId="0" fontId="63" fillId="2" borderId="0" xfId="0" applyFont="1" applyFill="1" applyAlignment="1">
      <alignment vertical="center" wrapText="1"/>
    </xf>
    <xf numFmtId="0" fontId="60" fillId="3" borderId="1" xfId="0" applyFont="1" applyFill="1" applyBorder="1" applyAlignment="1">
      <alignment vertical="center" wrapText="1"/>
    </xf>
    <xf numFmtId="165" fontId="23" fillId="5" borderId="1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165" fontId="31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64" fillId="0" borderId="0" xfId="0" applyNumberFormat="1" applyFont="1" applyFill="1" applyAlignment="1">
      <alignment vertical="center" wrapText="1"/>
    </xf>
    <xf numFmtId="4" fontId="54" fillId="0" borderId="0" xfId="0" applyNumberFormat="1" applyFont="1" applyFill="1" applyAlignment="1">
      <alignment vertical="center" wrapText="1"/>
    </xf>
    <xf numFmtId="165" fontId="14" fillId="0" borderId="0" xfId="0" applyNumberFormat="1" applyFont="1" applyFill="1" applyAlignment="1">
      <alignment vertical="center" wrapText="1"/>
    </xf>
    <xf numFmtId="165" fontId="12" fillId="0" borderId="0" xfId="0" applyNumberFormat="1" applyFont="1" applyFill="1" applyAlignment="1">
      <alignment vertical="center" wrapText="1"/>
    </xf>
    <xf numFmtId="165" fontId="54" fillId="0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6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65" fillId="0" borderId="0" xfId="0" applyNumberFormat="1" applyFont="1" applyFill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49" fontId="69" fillId="0" borderId="1" xfId="0" applyNumberFormat="1" applyFont="1" applyFill="1" applyBorder="1" applyAlignment="1">
      <alignment horizontal="center" vertical="center" wrapText="1"/>
    </xf>
    <xf numFmtId="165" fontId="68" fillId="0" borderId="1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 wrapText="1"/>
    </xf>
    <xf numFmtId="165" fontId="31" fillId="6" borderId="1" xfId="0" applyNumberFormat="1" applyFont="1" applyFill="1" applyBorder="1" applyAlignment="1">
      <alignment horizontal="center" vertical="center" wrapText="1"/>
    </xf>
    <xf numFmtId="0" fontId="56" fillId="0" borderId="0" xfId="0" applyFont="1"/>
    <xf numFmtId="0" fontId="0" fillId="0" borderId="9" xfId="0" applyBorder="1"/>
    <xf numFmtId="0" fontId="56" fillId="0" borderId="9" xfId="0" applyFont="1" applyBorder="1"/>
    <xf numFmtId="0" fontId="56" fillId="0" borderId="9" xfId="0" applyFont="1" applyBorder="1" applyAlignment="1">
      <alignment horizontal="center"/>
    </xf>
    <xf numFmtId="0" fontId="56" fillId="0" borderId="9" xfId="0" applyFont="1" applyBorder="1" applyAlignment="1">
      <alignment vertical="center"/>
    </xf>
    <xf numFmtId="0" fontId="75" fillId="0" borderId="0" xfId="0" applyFont="1"/>
    <xf numFmtId="0" fontId="47" fillId="0" borderId="9" xfId="0" applyFont="1" applyBorder="1" applyAlignment="1">
      <alignment horizontal="center" vertical="center" wrapText="1"/>
    </xf>
    <xf numFmtId="0" fontId="49" fillId="0" borderId="9" xfId="0" applyFont="1" applyBorder="1" applyAlignment="1">
      <alignment vertical="center" wrapText="1"/>
    </xf>
    <xf numFmtId="0" fontId="71" fillId="0" borderId="9" xfId="0" applyFont="1" applyBorder="1" applyAlignment="1">
      <alignment vertical="center" wrapText="1"/>
    </xf>
    <xf numFmtId="0" fontId="72" fillId="0" borderId="9" xfId="0" applyFont="1" applyBorder="1" applyAlignment="1">
      <alignment vertical="center" wrapText="1"/>
    </xf>
    <xf numFmtId="0" fontId="47" fillId="0" borderId="9" xfId="0" applyFont="1" applyFill="1" applyBorder="1" applyAlignment="1">
      <alignment vertical="center" wrapText="1"/>
    </xf>
    <xf numFmtId="0" fontId="75" fillId="0" borderId="9" xfId="0" applyFont="1" applyBorder="1"/>
    <xf numFmtId="0" fontId="78" fillId="0" borderId="9" xfId="0" applyFont="1" applyBorder="1"/>
    <xf numFmtId="0" fontId="79" fillId="0" borderId="9" xfId="0" applyFont="1" applyBorder="1"/>
    <xf numFmtId="0" fontId="76" fillId="0" borderId="9" xfId="0" applyFont="1" applyBorder="1" applyAlignment="1">
      <alignment wrapText="1"/>
    </xf>
    <xf numFmtId="0" fontId="56" fillId="0" borderId="9" xfId="0" applyFont="1" applyBorder="1" applyAlignment="1">
      <alignment wrapText="1"/>
    </xf>
    <xf numFmtId="0" fontId="45" fillId="0" borderId="9" xfId="0" applyFont="1" applyBorder="1"/>
    <xf numFmtId="0" fontId="81" fillId="0" borderId="0" xfId="0" applyFont="1"/>
    <xf numFmtId="0" fontId="56" fillId="0" borderId="9" xfId="0" applyFont="1" applyFill="1" applyBorder="1"/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9" xfId="0" applyFill="1" applyBorder="1"/>
    <xf numFmtId="0" fontId="0" fillId="0" borderId="9" xfId="0" applyFill="1" applyBorder="1" applyAlignment="1">
      <alignment wrapText="1"/>
    </xf>
    <xf numFmtId="0" fontId="50" fillId="0" borderId="9" xfId="0" applyFont="1" applyFill="1" applyBorder="1" applyAlignment="1">
      <alignment wrapText="1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horizontal="left" vertical="center"/>
    </xf>
    <xf numFmtId="0" fontId="0" fillId="0" borderId="9" xfId="0" applyFill="1" applyBorder="1" applyAlignment="1">
      <alignment horizontal="left"/>
    </xf>
    <xf numFmtId="0" fontId="56" fillId="0" borderId="9" xfId="0" applyFont="1" applyFill="1" applyBorder="1" applyAlignment="1">
      <alignment wrapText="1"/>
    </xf>
    <xf numFmtId="0" fontId="0" fillId="0" borderId="12" xfId="0" applyFill="1" applyBorder="1" applyAlignment="1">
      <alignment horizontal="left" wrapText="1"/>
    </xf>
    <xf numFmtId="0" fontId="0" fillId="0" borderId="12" xfId="0" applyFill="1" applyBorder="1" applyAlignment="1">
      <alignment horizontal="left"/>
    </xf>
    <xf numFmtId="0" fontId="0" fillId="0" borderId="12" xfId="0" applyFill="1" applyBorder="1" applyAlignment="1">
      <alignment wrapText="1"/>
    </xf>
    <xf numFmtId="0" fontId="83" fillId="0" borderId="9" xfId="0" applyFont="1" applyBorder="1"/>
    <xf numFmtId="0" fontId="82" fillId="0" borderId="9" xfId="0" applyFont="1" applyBorder="1"/>
    <xf numFmtId="0" fontId="82" fillId="0" borderId="9" xfId="0" applyFont="1" applyBorder="1" applyAlignment="1">
      <alignment horizontal="right" wrapText="1"/>
    </xf>
    <xf numFmtId="0" fontId="82" fillId="0" borderId="9" xfId="0" applyFont="1" applyBorder="1" applyAlignment="1">
      <alignment wrapText="1"/>
    </xf>
    <xf numFmtId="0" fontId="83" fillId="0" borderId="9" xfId="0" applyFont="1" applyBorder="1" applyAlignment="1">
      <alignment wrapText="1"/>
    </xf>
    <xf numFmtId="0" fontId="84" fillId="0" borderId="9" xfId="0" applyFont="1" applyBorder="1" applyAlignment="1">
      <alignment vertical="center" wrapText="1"/>
    </xf>
    <xf numFmtId="0" fontId="84" fillId="0" borderId="9" xfId="0" applyFont="1" applyBorder="1" applyAlignment="1">
      <alignment vertical="center"/>
    </xf>
    <xf numFmtId="0" fontId="85" fillId="0" borderId="0" xfId="0" applyFont="1" applyAlignment="1">
      <alignment vertical="center"/>
    </xf>
    <xf numFmtId="0" fontId="84" fillId="0" borderId="9" xfId="0" applyFont="1" applyBorder="1" applyAlignment="1">
      <alignment horizontal="center" vertical="center" wrapText="1"/>
    </xf>
    <xf numFmtId="0" fontId="45" fillId="0" borderId="0" xfId="0" applyFont="1"/>
    <xf numFmtId="0" fontId="86" fillId="0" borderId="9" xfId="27" applyFont="1" applyBorder="1" applyAlignment="1">
      <alignment horizontal="left" vertical="center"/>
    </xf>
    <xf numFmtId="0" fontId="86" fillId="7" borderId="9" xfId="27" applyFont="1" applyFill="1" applyBorder="1" applyAlignment="1">
      <alignment horizontal="left" vertical="center" wrapText="1"/>
    </xf>
    <xf numFmtId="0" fontId="86" fillId="8" borderId="9" xfId="27" applyFont="1" applyFill="1" applyBorder="1" applyAlignment="1">
      <alignment horizontal="left" vertical="center" wrapText="1"/>
    </xf>
    <xf numFmtId="0" fontId="86" fillId="0" borderId="0" xfId="27" applyFont="1" applyAlignment="1">
      <alignment wrapText="1"/>
    </xf>
    <xf numFmtId="0" fontId="86" fillId="0" borderId="0" xfId="27" applyFont="1"/>
    <xf numFmtId="0" fontId="85" fillId="0" borderId="9" xfId="25" applyFont="1" applyFill="1" applyBorder="1" applyAlignment="1">
      <alignment horizontal="left" vertical="center" wrapText="1"/>
    </xf>
    <xf numFmtId="3" fontId="4" fillId="7" borderId="9" xfId="27" applyNumberFormat="1" applyFill="1" applyBorder="1" applyAlignment="1">
      <alignment horizontal="left" vertical="center"/>
    </xf>
    <xf numFmtId="3" fontId="4" fillId="8" borderId="9" xfId="27" applyNumberFormat="1" applyFill="1" applyBorder="1" applyAlignment="1">
      <alignment horizontal="left" vertical="center"/>
    </xf>
    <xf numFmtId="0" fontId="4" fillId="0" borderId="0" xfId="27"/>
    <xf numFmtId="0" fontId="4" fillId="0" borderId="9" xfId="27" applyBorder="1" applyAlignment="1">
      <alignment horizontal="left" vertical="center"/>
    </xf>
    <xf numFmtId="3" fontId="56" fillId="7" borderId="9" xfId="27" applyNumberFormat="1" applyFont="1" applyFill="1" applyBorder="1" applyAlignment="1">
      <alignment horizontal="left" vertical="center"/>
    </xf>
    <xf numFmtId="3" fontId="56" fillId="8" borderId="9" xfId="27" applyNumberFormat="1" applyFont="1" applyFill="1" applyBorder="1" applyAlignment="1">
      <alignment horizontal="left" vertical="center"/>
    </xf>
    <xf numFmtId="3" fontId="45" fillId="8" borderId="9" xfId="27" applyNumberFormat="1" applyFont="1" applyFill="1" applyBorder="1" applyAlignment="1">
      <alignment horizontal="left" vertical="center"/>
    </xf>
    <xf numFmtId="0" fontId="56" fillId="0" borderId="0" xfId="27" applyFont="1"/>
    <xf numFmtId="0" fontId="4" fillId="0" borderId="0" xfId="27" applyAlignment="1">
      <alignment wrapText="1"/>
    </xf>
    <xf numFmtId="0" fontId="56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8" borderId="9" xfId="0" applyFill="1" applyBorder="1"/>
    <xf numFmtId="166" fontId="0" fillId="8" borderId="9" xfId="0" applyNumberFormat="1" applyFill="1" applyBorder="1"/>
    <xf numFmtId="0" fontId="0" fillId="7" borderId="9" xfId="0" applyFill="1" applyBorder="1"/>
    <xf numFmtId="0" fontId="87" fillId="0" borderId="9" xfId="0" applyFont="1" applyFill="1" applyBorder="1" applyAlignment="1">
      <alignment vertical="center" wrapText="1"/>
    </xf>
    <xf numFmtId="0" fontId="75" fillId="0" borderId="9" xfId="0" applyFont="1" applyFill="1" applyBorder="1"/>
    <xf numFmtId="0" fontId="56" fillId="0" borderId="0" xfId="0" applyFont="1" applyAlignment="1">
      <alignment vertical="center"/>
    </xf>
    <xf numFmtId="0" fontId="77" fillId="0" borderId="9" xfId="0" applyFont="1" applyBorder="1"/>
    <xf numFmtId="0" fontId="77" fillId="0" borderId="9" xfId="0" applyFont="1" applyBorder="1" applyAlignment="1">
      <alignment wrapText="1"/>
    </xf>
    <xf numFmtId="0" fontId="90" fillId="0" borderId="9" xfId="0" applyFont="1" applyBorder="1" applyAlignment="1">
      <alignment vertical="center" wrapText="1"/>
    </xf>
    <xf numFmtId="0" fontId="45" fillId="0" borderId="9" xfId="0" applyFont="1" applyBorder="1" applyAlignment="1">
      <alignment horizontal="center" vertical="center"/>
    </xf>
    <xf numFmtId="3" fontId="91" fillId="0" borderId="9" xfId="0" applyNumberFormat="1" applyFont="1" applyBorder="1"/>
    <xf numFmtId="0" fontId="92" fillId="0" borderId="0" xfId="0" applyFont="1"/>
    <xf numFmtId="0" fontId="16" fillId="0" borderId="1" xfId="0" applyFont="1" applyFill="1" applyBorder="1" applyAlignment="1">
      <alignment horizontal="center" vertical="center" wrapText="1"/>
    </xf>
    <xf numFmtId="0" fontId="75" fillId="0" borderId="9" xfId="0" applyFont="1" applyBorder="1" applyAlignment="1">
      <alignment wrapText="1"/>
    </xf>
    <xf numFmtId="3" fontId="45" fillId="0" borderId="0" xfId="0" applyNumberFormat="1" applyFont="1"/>
    <xf numFmtId="0" fontId="0" fillId="5" borderId="9" xfId="0" applyFill="1" applyBorder="1"/>
    <xf numFmtId="0" fontId="75" fillId="9" borderId="9" xfId="0" applyFont="1" applyFill="1" applyBorder="1"/>
    <xf numFmtId="0" fontId="0" fillId="9" borderId="9" xfId="0" applyFill="1" applyBorder="1"/>
    <xf numFmtId="3" fontId="91" fillId="9" borderId="9" xfId="0" applyNumberFormat="1" applyFont="1" applyFill="1" applyBorder="1"/>
    <xf numFmtId="0" fontId="91" fillId="0" borderId="9" xfId="0" applyFont="1" applyBorder="1"/>
    <xf numFmtId="0" fontId="56" fillId="6" borderId="9" xfId="0" applyFont="1" applyFill="1" applyBorder="1" applyAlignment="1">
      <alignment vertical="center"/>
    </xf>
    <xf numFmtId="165" fontId="93" fillId="0" borderId="1" xfId="0" applyNumberFormat="1" applyFont="1" applyFill="1" applyBorder="1" applyAlignment="1">
      <alignment horizontal="center" vertical="center" wrapText="1"/>
    </xf>
    <xf numFmtId="3" fontId="94" fillId="0" borderId="9" xfId="0" applyNumberFormat="1" applyFont="1" applyBorder="1"/>
    <xf numFmtId="3" fontId="94" fillId="0" borderId="9" xfId="0" applyNumberFormat="1" applyFont="1" applyBorder="1" applyAlignment="1">
      <alignment horizontal="center"/>
    </xf>
    <xf numFmtId="0" fontId="94" fillId="0" borderId="0" xfId="0" applyFont="1"/>
    <xf numFmtId="0" fontId="45" fillId="8" borderId="9" xfId="0" applyFont="1" applyFill="1" applyBorder="1"/>
    <xf numFmtId="0" fontId="56" fillId="0" borderId="9" xfId="0" applyFont="1" applyFill="1" applyBorder="1" applyAlignment="1">
      <alignment vertical="center"/>
    </xf>
    <xf numFmtId="0" fontId="0" fillId="0" borderId="0" xfId="0" applyFill="1"/>
    <xf numFmtId="0" fontId="0" fillId="0" borderId="11" xfId="0" applyFill="1" applyBorder="1"/>
    <xf numFmtId="0" fontId="70" fillId="0" borderId="9" xfId="0" applyFont="1" applyFill="1" applyBorder="1" applyAlignment="1">
      <alignment horizontal="left" indent="2"/>
    </xf>
    <xf numFmtId="0" fontId="56" fillId="0" borderId="11" xfId="0" applyFont="1" applyFill="1" applyBorder="1"/>
    <xf numFmtId="0" fontId="56" fillId="0" borderId="9" xfId="0" applyFont="1" applyFill="1" applyBorder="1" applyAlignment="1">
      <alignment horizontal="left" indent="2"/>
    </xf>
    <xf numFmtId="0" fontId="56" fillId="0" borderId="9" xfId="0" applyFont="1" applyFill="1" applyBorder="1" applyAlignment="1">
      <alignment horizontal="left" vertical="center" indent="2"/>
    </xf>
    <xf numFmtId="0" fontId="80" fillId="0" borderId="9" xfId="0" applyFont="1" applyFill="1" applyBorder="1" applyAlignment="1">
      <alignment horizontal="left" indent="2"/>
    </xf>
    <xf numFmtId="0" fontId="81" fillId="0" borderId="9" xfId="0" applyFont="1" applyFill="1" applyBorder="1"/>
    <xf numFmtId="0" fontId="74" fillId="0" borderId="9" xfId="0" applyFont="1" applyFill="1" applyBorder="1" applyAlignment="1">
      <alignment horizontal="left" indent="2"/>
    </xf>
    <xf numFmtId="0" fontId="45" fillId="0" borderId="9" xfId="0" applyFont="1" applyFill="1" applyBorder="1" applyAlignment="1">
      <alignment horizontal="center"/>
    </xf>
    <xf numFmtId="0" fontId="91" fillId="0" borderId="0" xfId="0" applyFont="1"/>
    <xf numFmtId="0" fontId="91" fillId="10" borderId="0" xfId="0" applyFont="1" applyFill="1"/>
    <xf numFmtId="0" fontId="91" fillId="10" borderId="9" xfId="0" applyFont="1" applyFill="1" applyBorder="1"/>
    <xf numFmtId="3" fontId="45" fillId="8" borderId="9" xfId="0" applyNumberFormat="1" applyFont="1" applyFill="1" applyBorder="1"/>
    <xf numFmtId="3" fontId="45" fillId="7" borderId="9" xfId="0" applyNumberFormat="1" applyFont="1" applyFill="1" applyBorder="1"/>
    <xf numFmtId="0" fontId="56" fillId="10" borderId="9" xfId="0" applyFont="1" applyFill="1" applyBorder="1"/>
    <xf numFmtId="0" fontId="45" fillId="10" borderId="0" xfId="0" applyFont="1" applyFill="1"/>
    <xf numFmtId="0" fontId="56" fillId="5" borderId="9" xfId="0" applyFont="1" applyFill="1" applyBorder="1"/>
    <xf numFmtId="0" fontId="94" fillId="0" borderId="9" xfId="0" applyFont="1" applyBorder="1"/>
    <xf numFmtId="3" fontId="4" fillId="0" borderId="0" xfId="27" applyNumberFormat="1"/>
    <xf numFmtId="3" fontId="45" fillId="5" borderId="9" xfId="27" applyNumberFormat="1" applyFont="1" applyFill="1" applyBorder="1" applyAlignment="1">
      <alignment horizontal="left" vertical="center"/>
    </xf>
    <xf numFmtId="0" fontId="45" fillId="5" borderId="9" xfId="0" applyFont="1" applyFill="1" applyBorder="1"/>
    <xf numFmtId="0" fontId="0" fillId="5" borderId="0" xfId="0" applyFill="1"/>
    <xf numFmtId="0" fontId="2" fillId="0" borderId="0" xfId="27" applyFont="1"/>
    <xf numFmtId="0" fontId="2" fillId="5" borderId="0" xfId="27" applyFont="1" applyFill="1"/>
    <xf numFmtId="0" fontId="4" fillId="5" borderId="0" xfId="27" applyFill="1"/>
    <xf numFmtId="0" fontId="56" fillId="11" borderId="0" xfId="0" applyFont="1" applyFill="1"/>
    <xf numFmtId="0" fontId="62" fillId="2" borderId="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3" fillId="0" borderId="0" xfId="27" applyFont="1" applyAlignment="1">
      <alignment horizontal="left" vertical="top" wrapText="1"/>
    </xf>
    <xf numFmtId="0" fontId="4" fillId="0" borderId="0" xfId="27" applyAlignment="1">
      <alignment horizontal="left" vertical="top" wrapText="1"/>
    </xf>
    <xf numFmtId="0" fontId="1" fillId="0" borderId="0" xfId="27" applyFont="1" applyAlignment="1">
      <alignment horizontal="center" vertical="top" wrapText="1"/>
    </xf>
    <xf numFmtId="0" fontId="3" fillId="0" borderId="0" xfId="27" applyFont="1" applyAlignment="1">
      <alignment horizontal="center" vertical="top" wrapText="1"/>
    </xf>
    <xf numFmtId="0" fontId="56" fillId="7" borderId="9" xfId="0" applyFont="1" applyFill="1" applyBorder="1" applyAlignment="1">
      <alignment horizontal="center" vertical="center"/>
    </xf>
    <xf numFmtId="0" fontId="73" fillId="0" borderId="9" xfId="0" applyFont="1" applyBorder="1" applyAlignment="1">
      <alignment horizontal="center" vertical="center" wrapText="1"/>
    </xf>
    <xf numFmtId="0" fontId="56" fillId="8" borderId="9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56" fillId="0" borderId="13" xfId="0" applyFont="1" applyBorder="1" applyAlignment="1">
      <alignment horizontal="center" wrapText="1"/>
    </xf>
    <xf numFmtId="0" fontId="56" fillId="0" borderId="0" xfId="0" applyFont="1" applyBorder="1" applyAlignment="1">
      <alignment horizontal="center" wrapText="1"/>
    </xf>
    <xf numFmtId="165" fontId="67" fillId="0" borderId="0" xfId="0" applyNumberFormat="1" applyFont="1" applyFill="1" applyAlignment="1">
      <alignment vertical="center" wrapText="1"/>
    </xf>
    <xf numFmtId="0" fontId="56" fillId="10" borderId="0" xfId="0" applyFont="1" applyFill="1"/>
    <xf numFmtId="0" fontId="0" fillId="10" borderId="0" xfId="0" applyFill="1"/>
    <xf numFmtId="0" fontId="45" fillId="0" borderId="0" xfId="0" applyFont="1" applyFill="1"/>
    <xf numFmtId="0" fontId="45" fillId="11" borderId="0" xfId="0" applyFont="1" applyFill="1"/>
  </cellXfs>
  <cellStyles count="28">
    <cellStyle name="Comma 13" xfId="19"/>
    <cellStyle name="Comma 13 2" xfId="23"/>
    <cellStyle name="Comma 2" xfId="1"/>
    <cellStyle name="Comma 3" xfId="2"/>
    <cellStyle name="Comma 4" xfId="8"/>
    <cellStyle name="Comma 5" xfId="10"/>
    <cellStyle name="Normal" xfId="0" builtinId="0"/>
    <cellStyle name="Normal 10" xfId="27"/>
    <cellStyle name="Normal 11" xfId="18"/>
    <cellStyle name="Normal 11 2" xfId="22"/>
    <cellStyle name="Normal 12" xfId="16"/>
    <cellStyle name="Normal 13" xfId="15"/>
    <cellStyle name="Normal 13 2" xfId="24"/>
    <cellStyle name="Normal 2" xfId="3"/>
    <cellStyle name="Normal 2 2" xfId="4"/>
    <cellStyle name="Normal 2 2 2" xfId="17"/>
    <cellStyle name="Normal 2 3" xfId="25"/>
    <cellStyle name="Normal 3" xfId="5"/>
    <cellStyle name="Normal 4" xfId="6"/>
    <cellStyle name="Normal 5" xfId="9"/>
    <cellStyle name="Normal 6" xfId="11"/>
    <cellStyle name="Normal 6 2" xfId="13"/>
    <cellStyle name="Normal 6 3" xfId="20"/>
    <cellStyle name="Normal 7" xfId="12"/>
    <cellStyle name="Normal 8" xfId="26"/>
    <cellStyle name="Normal 9" xfId="14"/>
    <cellStyle name="Normal 9 2" xfId="21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2012%20wlis%20biujeti\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225" t="s">
        <v>414</v>
      </c>
      <c r="T2" s="225"/>
    </row>
    <row r="3" spans="1:20" ht="21" x14ac:dyDescent="0.25">
      <c r="B3" s="226" t="s">
        <v>389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225"/>
      <c r="P5" s="225"/>
      <c r="R5" s="65"/>
    </row>
    <row r="6" spans="1:20" ht="18" customHeight="1" x14ac:dyDescent="0.25">
      <c r="A6" s="227"/>
      <c r="B6" s="228" t="s">
        <v>0</v>
      </c>
      <c r="C6" s="228" t="s">
        <v>1</v>
      </c>
      <c r="D6" s="228" t="s">
        <v>2</v>
      </c>
      <c r="E6" s="231" t="s">
        <v>390</v>
      </c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3"/>
    </row>
    <row r="7" spans="1:20" ht="18" x14ac:dyDescent="0.25">
      <c r="A7" s="227"/>
      <c r="B7" s="229"/>
      <c r="C7" s="229"/>
      <c r="D7" s="229"/>
      <c r="E7" s="234" t="s">
        <v>3</v>
      </c>
      <c r="F7" s="234"/>
      <c r="G7" s="234"/>
      <c r="H7" s="234"/>
      <c r="I7" s="234" t="s">
        <v>147</v>
      </c>
      <c r="J7" s="234"/>
      <c r="K7" s="234"/>
      <c r="L7" s="234"/>
      <c r="M7" s="234" t="s">
        <v>154</v>
      </c>
      <c r="N7" s="234"/>
      <c r="O7" s="234"/>
      <c r="P7" s="234"/>
      <c r="Q7" s="234" t="s">
        <v>388</v>
      </c>
      <c r="R7" s="234"/>
      <c r="S7" s="234"/>
      <c r="T7" s="234"/>
    </row>
    <row r="8" spans="1:20" ht="90" x14ac:dyDescent="0.25">
      <c r="A8" s="227"/>
      <c r="B8" s="230"/>
      <c r="C8" s="230"/>
      <c r="D8" s="23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224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224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6"/>
  <sheetViews>
    <sheetView workbookViewId="0">
      <selection activeCell="G15" sqref="G15"/>
    </sheetView>
  </sheetViews>
  <sheetFormatPr defaultRowHeight="15" x14ac:dyDescent="0.25"/>
  <cols>
    <col min="2" max="2" width="22.42578125" customWidth="1"/>
    <col min="3" max="3" width="16.28515625" customWidth="1"/>
    <col min="4" max="4" width="13.42578125" customWidth="1"/>
    <col min="5" max="5" width="11.5703125" customWidth="1"/>
    <col min="6" max="6" width="12.28515625" customWidth="1"/>
    <col min="7" max="7" width="11.28515625" customWidth="1"/>
  </cols>
  <sheetData>
    <row r="4" spans="2:7" ht="15" customHeight="1" x14ac:dyDescent="0.25">
      <c r="B4" s="249" t="s">
        <v>506</v>
      </c>
      <c r="C4" s="249" t="s">
        <v>476</v>
      </c>
      <c r="D4" s="249" t="s">
        <v>481</v>
      </c>
      <c r="E4" s="249" t="s">
        <v>482</v>
      </c>
      <c r="F4" s="250" t="s">
        <v>570</v>
      </c>
      <c r="G4" s="248" t="s">
        <v>147</v>
      </c>
    </row>
    <row r="5" spans="2:7" ht="30" customHeight="1" x14ac:dyDescent="0.25">
      <c r="B5" s="249"/>
      <c r="C5" s="249"/>
      <c r="D5" s="249"/>
      <c r="E5" s="249"/>
      <c r="F5" s="250"/>
      <c r="G5" s="248"/>
    </row>
    <row r="6" spans="2:7" x14ac:dyDescent="0.25">
      <c r="B6" s="112"/>
      <c r="C6" s="112" t="s">
        <v>507</v>
      </c>
      <c r="D6" s="112" t="s">
        <v>508</v>
      </c>
      <c r="E6" s="112">
        <v>15</v>
      </c>
      <c r="F6" s="170"/>
      <c r="G6" s="172"/>
    </row>
    <row r="7" spans="2:7" x14ac:dyDescent="0.25">
      <c r="B7" s="112"/>
      <c r="C7" s="112" t="s">
        <v>509</v>
      </c>
      <c r="D7" s="112" t="s">
        <v>509</v>
      </c>
      <c r="E7" s="112">
        <v>48</v>
      </c>
      <c r="F7" s="170"/>
      <c r="G7" s="172"/>
    </row>
    <row r="8" spans="2:7" x14ac:dyDescent="0.25">
      <c r="B8" s="112"/>
      <c r="C8" s="112" t="s">
        <v>510</v>
      </c>
      <c r="D8" s="112" t="s">
        <v>511</v>
      </c>
      <c r="E8" s="112">
        <v>10</v>
      </c>
      <c r="F8" s="170"/>
      <c r="G8" s="172"/>
    </row>
    <row r="9" spans="2:7" x14ac:dyDescent="0.25">
      <c r="B9" s="112" t="s">
        <v>718</v>
      </c>
      <c r="C9" s="185" t="s">
        <v>509</v>
      </c>
      <c r="D9" s="185" t="s">
        <v>509</v>
      </c>
      <c r="E9" s="112">
        <v>15</v>
      </c>
      <c r="F9" s="170"/>
      <c r="G9" s="172"/>
    </row>
    <row r="10" spans="2:7" x14ac:dyDescent="0.25">
      <c r="B10" s="113" t="s">
        <v>683</v>
      </c>
      <c r="C10" s="112"/>
      <c r="D10" s="112"/>
      <c r="E10" s="112"/>
      <c r="F10" s="171">
        <v>17</v>
      </c>
      <c r="G10" s="171">
        <v>19</v>
      </c>
    </row>
    <row r="11" spans="2:7" s="152" customFormat="1" ht="15.75" x14ac:dyDescent="0.25">
      <c r="B11" s="127" t="s">
        <v>571</v>
      </c>
      <c r="C11" s="127"/>
      <c r="D11" s="127"/>
      <c r="E11" s="127"/>
      <c r="F11" s="210">
        <f>(E6+E7+E8+E9)*17*365</f>
        <v>546040</v>
      </c>
      <c r="G11" s="211">
        <f>(E6+E7+E8+E9)*G10*365</f>
        <v>610280</v>
      </c>
    </row>
    <row r="21" spans="2:5" ht="90" x14ac:dyDescent="0.25">
      <c r="B21" s="113" t="s">
        <v>638</v>
      </c>
      <c r="C21" s="113" t="s">
        <v>626</v>
      </c>
      <c r="D21" s="126" t="s">
        <v>637</v>
      </c>
      <c r="E21" s="126" t="s">
        <v>603</v>
      </c>
    </row>
    <row r="22" spans="2:5" ht="52.5" customHeight="1" x14ac:dyDescent="0.25">
      <c r="B22" s="130" t="s">
        <v>627</v>
      </c>
      <c r="C22" s="130" t="s">
        <v>508</v>
      </c>
      <c r="D22" s="131" t="s">
        <v>632</v>
      </c>
      <c r="E22" s="138">
        <v>15</v>
      </c>
    </row>
    <row r="23" spans="2:5" ht="57" customHeight="1" x14ac:dyDescent="0.25">
      <c r="B23" s="131" t="s">
        <v>628</v>
      </c>
      <c r="C23" s="134" t="s">
        <v>509</v>
      </c>
      <c r="D23" s="131" t="s">
        <v>633</v>
      </c>
      <c r="E23" s="138">
        <v>15</v>
      </c>
    </row>
    <row r="24" spans="2:5" ht="63.75" customHeight="1" x14ac:dyDescent="0.25">
      <c r="B24" s="140" t="s">
        <v>629</v>
      </c>
      <c r="C24" s="142" t="s">
        <v>509</v>
      </c>
      <c r="D24" s="134" t="s">
        <v>634</v>
      </c>
      <c r="E24" s="141">
        <v>15</v>
      </c>
    </row>
    <row r="25" spans="2:5" ht="45" customHeight="1" x14ac:dyDescent="0.25">
      <c r="B25" s="134" t="s">
        <v>630</v>
      </c>
      <c r="C25" s="133" t="s">
        <v>511</v>
      </c>
      <c r="D25" s="134" t="s">
        <v>635</v>
      </c>
      <c r="E25" s="138">
        <v>10</v>
      </c>
    </row>
    <row r="26" spans="2:5" ht="53.25" customHeight="1" x14ac:dyDescent="0.25">
      <c r="B26" s="134" t="s">
        <v>631</v>
      </c>
      <c r="C26" s="133" t="s">
        <v>509</v>
      </c>
      <c r="D26" s="134" t="s">
        <v>636</v>
      </c>
      <c r="E26" s="138">
        <v>15</v>
      </c>
    </row>
  </sheetData>
  <mergeCells count="6">
    <mergeCell ref="G4:G5"/>
    <mergeCell ref="C4:C5"/>
    <mergeCell ref="D4:D5"/>
    <mergeCell ref="E4:E5"/>
    <mergeCell ref="B4:B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27"/>
  <sheetViews>
    <sheetView topLeftCell="A13" workbookViewId="0">
      <selection activeCell="C24" sqref="C24"/>
    </sheetView>
  </sheetViews>
  <sheetFormatPr defaultRowHeight="15" x14ac:dyDescent="0.25"/>
  <cols>
    <col min="2" max="2" width="49.42578125" customWidth="1"/>
    <col min="3" max="3" width="15.28515625" customWidth="1"/>
    <col min="4" max="4" width="33" customWidth="1"/>
    <col min="5" max="5" width="18.42578125" customWidth="1"/>
  </cols>
  <sheetData>
    <row r="5" spans="2:5" s="111" customFormat="1" x14ac:dyDescent="0.25">
      <c r="B5" s="143" t="s">
        <v>698</v>
      </c>
      <c r="C5" s="143" t="s">
        <v>513</v>
      </c>
      <c r="D5" s="143" t="s">
        <v>472</v>
      </c>
    </row>
    <row r="6" spans="2:5" x14ac:dyDescent="0.25">
      <c r="B6" s="143" t="s">
        <v>512</v>
      </c>
      <c r="C6" s="144"/>
      <c r="D6" s="145" t="s">
        <v>643</v>
      </c>
    </row>
    <row r="7" spans="2:5" x14ac:dyDescent="0.25">
      <c r="B7" s="143" t="s">
        <v>639</v>
      </c>
      <c r="C7" s="144"/>
      <c r="D7" s="146">
        <f>D8+D9</f>
        <v>205</v>
      </c>
    </row>
    <row r="8" spans="2:5" ht="45" x14ac:dyDescent="0.25">
      <c r="B8" s="146" t="s">
        <v>515</v>
      </c>
      <c r="C8" s="144">
        <v>375</v>
      </c>
      <c r="D8" s="144">
        <v>26</v>
      </c>
    </row>
    <row r="9" spans="2:5" x14ac:dyDescent="0.25">
      <c r="B9" s="144" t="s">
        <v>514</v>
      </c>
      <c r="C9" s="144">
        <v>200</v>
      </c>
      <c r="D9" s="144">
        <v>179</v>
      </c>
    </row>
    <row r="10" spans="2:5" x14ac:dyDescent="0.25">
      <c r="B10" s="143" t="s">
        <v>640</v>
      </c>
      <c r="C10" s="144"/>
      <c r="D10" s="144">
        <f>SUM(D11:D13)</f>
        <v>1285</v>
      </c>
    </row>
    <row r="11" spans="2:5" ht="45" x14ac:dyDescent="0.25">
      <c r="B11" s="146" t="s">
        <v>516</v>
      </c>
      <c r="C11" s="144">
        <v>30</v>
      </c>
      <c r="D11" s="144">
        <v>2</v>
      </c>
    </row>
    <row r="12" spans="2:5" x14ac:dyDescent="0.25">
      <c r="B12" s="144" t="s">
        <v>641</v>
      </c>
      <c r="C12" s="144">
        <v>30</v>
      </c>
      <c r="D12" s="144">
        <v>261</v>
      </c>
      <c r="E12">
        <f>30*50*365</f>
        <v>547500</v>
      </c>
    </row>
    <row r="13" spans="2:5" x14ac:dyDescent="0.25">
      <c r="B13" s="144" t="s">
        <v>642</v>
      </c>
      <c r="C13" s="144">
        <v>16</v>
      </c>
      <c r="D13" s="144">
        <v>1022</v>
      </c>
    </row>
    <row r="14" spans="2:5" x14ac:dyDescent="0.25">
      <c r="B14" s="143" t="s">
        <v>517</v>
      </c>
      <c r="C14" s="144">
        <v>20</v>
      </c>
      <c r="D14" s="144">
        <v>86</v>
      </c>
      <c r="E14">
        <f>30*30*365</f>
        <v>328500</v>
      </c>
    </row>
    <row r="15" spans="2:5" ht="45" x14ac:dyDescent="0.25">
      <c r="B15" s="147" t="s">
        <v>518</v>
      </c>
      <c r="C15" s="144">
        <v>30</v>
      </c>
      <c r="D15" s="144">
        <v>0</v>
      </c>
    </row>
    <row r="16" spans="2:5" x14ac:dyDescent="0.25">
      <c r="B16" s="146" t="s">
        <v>519</v>
      </c>
      <c r="C16" s="144">
        <v>16</v>
      </c>
      <c r="D16" s="144">
        <v>20</v>
      </c>
    </row>
    <row r="17" spans="2:4" ht="30" x14ac:dyDescent="0.25">
      <c r="B17" s="146" t="s">
        <v>520</v>
      </c>
      <c r="C17" s="144">
        <v>30</v>
      </c>
      <c r="D17" s="144">
        <v>0</v>
      </c>
    </row>
    <row r="18" spans="2:4" x14ac:dyDescent="0.25">
      <c r="B18" s="144"/>
      <c r="C18" s="144"/>
      <c r="D18" s="144"/>
    </row>
    <row r="19" spans="2:4" ht="60" x14ac:dyDescent="0.25">
      <c r="B19" s="147" t="s">
        <v>644</v>
      </c>
      <c r="C19" s="144"/>
      <c r="D19" s="144"/>
    </row>
    <row r="22" spans="2:4" x14ac:dyDescent="0.25">
      <c r="B22" s="212"/>
      <c r="C22" s="212" t="s">
        <v>700</v>
      </c>
      <c r="D22" s="212" t="s">
        <v>483</v>
      </c>
    </row>
    <row r="23" spans="2:4" x14ac:dyDescent="0.25">
      <c r="B23" s="212" t="s">
        <v>699</v>
      </c>
      <c r="C23" s="212">
        <v>90</v>
      </c>
      <c r="D23" s="212">
        <v>10</v>
      </c>
    </row>
    <row r="24" spans="2:4" x14ac:dyDescent="0.25">
      <c r="B24" s="212" t="s">
        <v>719</v>
      </c>
      <c r="C24" s="212">
        <f>C23*D23*366</f>
        <v>329400</v>
      </c>
      <c r="D24" s="212"/>
    </row>
    <row r="27" spans="2:4" ht="65.25" customHeight="1" x14ac:dyDescent="0.25">
      <c r="B27" s="251" t="s">
        <v>723</v>
      </c>
      <c r="C27" s="251"/>
      <c r="D27" s="251"/>
    </row>
  </sheetData>
  <mergeCells count="1">
    <mergeCell ref="B27:D2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E31"/>
  <sheetViews>
    <sheetView topLeftCell="A22" workbookViewId="0">
      <selection activeCell="F44" sqref="F44"/>
    </sheetView>
  </sheetViews>
  <sheetFormatPr defaultRowHeight="15" x14ac:dyDescent="0.25"/>
  <cols>
    <col min="1" max="1" width="15.42578125" customWidth="1"/>
    <col min="2" max="2" width="53.5703125" customWidth="1"/>
    <col min="3" max="3" width="19.5703125" customWidth="1"/>
    <col min="4" max="4" width="16.7109375" customWidth="1"/>
    <col min="5" max="5" width="20.28515625" customWidth="1"/>
  </cols>
  <sheetData>
    <row r="4" spans="2:4" ht="33.75" customHeight="1" x14ac:dyDescent="0.25">
      <c r="B4" s="252" t="s">
        <v>521</v>
      </c>
      <c r="C4" s="253"/>
      <c r="D4" s="253"/>
    </row>
    <row r="5" spans="2:4" ht="36" x14ac:dyDescent="0.25">
      <c r="B5" s="117" t="s">
        <v>522</v>
      </c>
      <c r="C5" s="117" t="s">
        <v>686</v>
      </c>
      <c r="D5" s="179" t="s">
        <v>147</v>
      </c>
    </row>
    <row r="6" spans="2:4" ht="18" x14ac:dyDescent="0.25">
      <c r="B6" s="118" t="s">
        <v>523</v>
      </c>
      <c r="C6" s="119">
        <v>124</v>
      </c>
      <c r="D6" s="112">
        <v>104</v>
      </c>
    </row>
    <row r="7" spans="2:4" ht="18" x14ac:dyDescent="0.25">
      <c r="B7" s="118" t="s">
        <v>524</v>
      </c>
      <c r="C7" s="119">
        <v>8</v>
      </c>
      <c r="D7" s="112">
        <v>8</v>
      </c>
    </row>
    <row r="8" spans="2:4" ht="18" x14ac:dyDescent="0.25">
      <c r="B8" s="118" t="s">
        <v>525</v>
      </c>
      <c r="C8" s="119">
        <v>18</v>
      </c>
      <c r="D8" s="112">
        <v>18</v>
      </c>
    </row>
    <row r="9" spans="2:4" ht="18" x14ac:dyDescent="0.25">
      <c r="B9" s="118" t="s">
        <v>526</v>
      </c>
      <c r="C9" s="119">
        <v>20</v>
      </c>
      <c r="D9" s="112">
        <v>20</v>
      </c>
    </row>
    <row r="10" spans="2:4" ht="18" x14ac:dyDescent="0.25">
      <c r="B10" s="118" t="s">
        <v>527</v>
      </c>
      <c r="C10" s="178">
        <v>8</v>
      </c>
      <c r="D10" s="112"/>
    </row>
    <row r="11" spans="2:4" ht="18" x14ac:dyDescent="0.25">
      <c r="B11" s="118" t="s">
        <v>528</v>
      </c>
      <c r="C11" s="119">
        <v>57</v>
      </c>
      <c r="D11" s="112">
        <v>57</v>
      </c>
    </row>
    <row r="12" spans="2:4" ht="18" x14ac:dyDescent="0.25">
      <c r="B12" s="118" t="s">
        <v>529</v>
      </c>
      <c r="C12" s="119">
        <v>10</v>
      </c>
      <c r="D12" s="112">
        <v>10</v>
      </c>
    </row>
    <row r="13" spans="2:4" ht="18" x14ac:dyDescent="0.25">
      <c r="B13" s="118" t="s">
        <v>530</v>
      </c>
      <c r="C13" s="119">
        <v>8</v>
      </c>
      <c r="D13" s="112">
        <v>8</v>
      </c>
    </row>
    <row r="14" spans="2:4" ht="18" x14ac:dyDescent="0.25">
      <c r="B14" s="118" t="s">
        <v>531</v>
      </c>
      <c r="C14" s="119">
        <v>8</v>
      </c>
      <c r="D14" s="112">
        <v>8</v>
      </c>
    </row>
    <row r="15" spans="2:4" ht="18" x14ac:dyDescent="0.25">
      <c r="B15" s="118" t="s">
        <v>532</v>
      </c>
      <c r="C15" s="119">
        <v>6</v>
      </c>
      <c r="D15" s="112">
        <v>6</v>
      </c>
    </row>
    <row r="16" spans="2:4" ht="18" x14ac:dyDescent="0.25">
      <c r="B16" s="118" t="s">
        <v>533</v>
      </c>
      <c r="C16" s="119">
        <v>25</v>
      </c>
      <c r="D16" s="112">
        <v>25</v>
      </c>
    </row>
    <row r="17" spans="2:5" ht="18" x14ac:dyDescent="0.25">
      <c r="B17" s="118" t="s">
        <v>534</v>
      </c>
      <c r="C17" s="119">
        <v>10</v>
      </c>
      <c r="D17" s="112">
        <v>10</v>
      </c>
    </row>
    <row r="18" spans="2:5" ht="18" x14ac:dyDescent="0.25">
      <c r="B18" s="118" t="s">
        <v>535</v>
      </c>
      <c r="C18" s="119">
        <v>16</v>
      </c>
      <c r="D18" s="112">
        <v>16</v>
      </c>
    </row>
    <row r="19" spans="2:5" ht="18" x14ac:dyDescent="0.25">
      <c r="B19" s="118" t="s">
        <v>536</v>
      </c>
      <c r="C19" s="119">
        <v>8</v>
      </c>
      <c r="D19" s="112">
        <v>8</v>
      </c>
    </row>
    <row r="20" spans="2:5" ht="18" x14ac:dyDescent="0.25">
      <c r="B20" s="118" t="s">
        <v>537</v>
      </c>
      <c r="C20" s="119">
        <v>16</v>
      </c>
      <c r="D20" s="112">
        <v>16</v>
      </c>
    </row>
    <row r="21" spans="2:5" ht="18" x14ac:dyDescent="0.25">
      <c r="B21" s="118" t="s">
        <v>538</v>
      </c>
      <c r="C21" s="178">
        <v>8</v>
      </c>
      <c r="D21" s="112"/>
    </row>
    <row r="22" spans="2:5" ht="18" x14ac:dyDescent="0.25">
      <c r="B22" s="118" t="s">
        <v>539</v>
      </c>
      <c r="C22" s="119">
        <v>8</v>
      </c>
      <c r="D22" s="112">
        <v>8</v>
      </c>
    </row>
    <row r="23" spans="2:5" ht="18" x14ac:dyDescent="0.25">
      <c r="B23" s="118" t="s">
        <v>540</v>
      </c>
      <c r="C23" s="119">
        <v>10</v>
      </c>
      <c r="D23" s="112">
        <v>10</v>
      </c>
    </row>
    <row r="24" spans="2:5" ht="18" x14ac:dyDescent="0.25">
      <c r="B24" s="118" t="s">
        <v>541</v>
      </c>
      <c r="C24" s="119">
        <v>20</v>
      </c>
      <c r="D24" s="112">
        <v>20</v>
      </c>
    </row>
    <row r="25" spans="2:5" s="116" customFormat="1" ht="15.75" x14ac:dyDescent="0.25">
      <c r="B25" s="120" t="s">
        <v>542</v>
      </c>
      <c r="C25" s="120">
        <v>388</v>
      </c>
      <c r="D25" s="186">
        <f>SUM(D6:D24)</f>
        <v>352</v>
      </c>
    </row>
    <row r="26" spans="2:5" ht="18" x14ac:dyDescent="0.25">
      <c r="B26" s="121" t="s">
        <v>572</v>
      </c>
      <c r="C26" s="122">
        <v>30</v>
      </c>
      <c r="D26" s="187">
        <v>30</v>
      </c>
    </row>
    <row r="27" spans="2:5" ht="18" x14ac:dyDescent="0.25">
      <c r="B27" s="121" t="s">
        <v>573</v>
      </c>
      <c r="C27" s="122">
        <v>20</v>
      </c>
      <c r="D27" s="187">
        <v>20</v>
      </c>
    </row>
    <row r="28" spans="2:5" ht="18" x14ac:dyDescent="0.25">
      <c r="B28" s="173" t="s">
        <v>9</v>
      </c>
      <c r="C28" s="174">
        <v>338</v>
      </c>
      <c r="D28" s="187">
        <v>352</v>
      </c>
    </row>
    <row r="29" spans="2:5" ht="18" x14ac:dyDescent="0.25">
      <c r="B29" s="121" t="s">
        <v>684</v>
      </c>
      <c r="C29" s="174">
        <v>45</v>
      </c>
      <c r="D29" s="187">
        <v>45</v>
      </c>
    </row>
    <row r="30" spans="2:5" ht="18" x14ac:dyDescent="0.25">
      <c r="B30" s="121" t="s">
        <v>685</v>
      </c>
      <c r="C30" s="122">
        <f>C28-C29</f>
        <v>293</v>
      </c>
      <c r="D30" s="187">
        <f>D28-D29</f>
        <v>307</v>
      </c>
      <c r="E30" s="111" t="s">
        <v>689</v>
      </c>
    </row>
    <row r="31" spans="2:5" s="181" customFormat="1" ht="18" x14ac:dyDescent="0.25">
      <c r="B31" s="121" t="s">
        <v>486</v>
      </c>
      <c r="C31" s="180">
        <f>(C30*C27)*365+(C29*C26)*365</f>
        <v>2631650</v>
      </c>
      <c r="D31" s="188">
        <f>(D30*D27)*365+(D29*D26)*365</f>
        <v>2733850</v>
      </c>
      <c r="E31" s="180">
        <f>(D31*95)/100</f>
        <v>2597157.5</v>
      </c>
    </row>
  </sheetData>
  <mergeCells count="1">
    <mergeCell ref="B4:D4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8"/>
  <sheetViews>
    <sheetView workbookViewId="0">
      <selection activeCell="D18" sqref="D18"/>
    </sheetView>
  </sheetViews>
  <sheetFormatPr defaultRowHeight="15" x14ac:dyDescent="0.25"/>
  <cols>
    <col min="3" max="3" width="53.42578125" customWidth="1"/>
    <col min="4" max="5" width="18.5703125" customWidth="1"/>
    <col min="6" max="6" width="19.42578125" customWidth="1"/>
    <col min="7" max="7" width="14" customWidth="1"/>
  </cols>
  <sheetData>
    <row r="4" spans="3:7" s="116" customFormat="1" ht="45" x14ac:dyDescent="0.25">
      <c r="C4" s="125" t="s">
        <v>543</v>
      </c>
      <c r="D4" s="122" t="s">
        <v>691</v>
      </c>
      <c r="E4" s="183" t="s">
        <v>546</v>
      </c>
      <c r="F4" s="183" t="s">
        <v>690</v>
      </c>
      <c r="G4" s="122" t="s">
        <v>483</v>
      </c>
    </row>
    <row r="5" spans="3:7" x14ac:dyDescent="0.25">
      <c r="C5" s="112" t="s">
        <v>544</v>
      </c>
      <c r="D5" s="112">
        <v>10</v>
      </c>
      <c r="E5" s="112">
        <v>250</v>
      </c>
      <c r="F5" s="112">
        <v>122</v>
      </c>
      <c r="G5" s="112">
        <f>D5*F5*E5</f>
        <v>305000</v>
      </c>
    </row>
    <row r="6" spans="3:7" x14ac:dyDescent="0.25">
      <c r="C6" s="112" t="s">
        <v>545</v>
      </c>
      <c r="D6" s="112">
        <v>22</v>
      </c>
      <c r="E6" s="112">
        <v>365</v>
      </c>
      <c r="F6" s="112">
        <v>60</v>
      </c>
      <c r="G6" s="112">
        <f>D6*F6*E6</f>
        <v>481800</v>
      </c>
    </row>
    <row r="7" spans="3:7" x14ac:dyDescent="0.25">
      <c r="C7" s="133" t="s">
        <v>486</v>
      </c>
      <c r="D7" s="112"/>
      <c r="E7" s="112"/>
      <c r="F7" s="112"/>
      <c r="G7" s="112">
        <f>G5+G6</f>
        <v>786800</v>
      </c>
    </row>
    <row r="10" spans="3:7" x14ac:dyDescent="0.25">
      <c r="C10" s="113" t="s">
        <v>547</v>
      </c>
      <c r="D10" s="112" t="s">
        <v>513</v>
      </c>
      <c r="E10" s="112" t="s">
        <v>548</v>
      </c>
    </row>
    <row r="11" spans="3:7" x14ac:dyDescent="0.25">
      <c r="C11" s="123" t="s">
        <v>549</v>
      </c>
      <c r="D11" s="112">
        <v>3300</v>
      </c>
      <c r="E11" s="112">
        <v>3</v>
      </c>
    </row>
    <row r="12" spans="3:7" x14ac:dyDescent="0.25">
      <c r="C12" s="123" t="s">
        <v>550</v>
      </c>
      <c r="D12" s="112">
        <v>3300</v>
      </c>
      <c r="E12" s="112">
        <v>2</v>
      </c>
    </row>
    <row r="13" spans="3:7" x14ac:dyDescent="0.25">
      <c r="C13" s="123" t="s">
        <v>551</v>
      </c>
      <c r="D13" s="112">
        <v>3300</v>
      </c>
      <c r="E13" s="112">
        <v>1</v>
      </c>
    </row>
    <row r="14" spans="3:7" ht="18" x14ac:dyDescent="0.25">
      <c r="C14" s="124" t="s">
        <v>552</v>
      </c>
      <c r="D14" s="112">
        <f>D13*6*12</f>
        <v>237600</v>
      </c>
      <c r="E14" s="112"/>
    </row>
    <row r="18" spans="3:4" s="152" customFormat="1" ht="15.75" x14ac:dyDescent="0.25">
      <c r="C18" s="152" t="s">
        <v>553</v>
      </c>
      <c r="D18" s="184">
        <f>D14+G7</f>
        <v>1024400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30"/>
  <sheetViews>
    <sheetView topLeftCell="A10" workbookViewId="0">
      <selection activeCell="J32" sqref="J32"/>
    </sheetView>
  </sheetViews>
  <sheetFormatPr defaultRowHeight="15" x14ac:dyDescent="0.25"/>
  <cols>
    <col min="3" max="3" width="47.28515625" customWidth="1"/>
    <col min="4" max="4" width="17.7109375" customWidth="1"/>
    <col min="5" max="5" width="20.42578125" customWidth="1"/>
    <col min="6" max="6" width="12.42578125" customWidth="1"/>
  </cols>
  <sheetData>
    <row r="4" spans="3:9" s="175" customFormat="1" ht="45" x14ac:dyDescent="0.25">
      <c r="C4" s="115" t="s">
        <v>554</v>
      </c>
      <c r="D4" s="168" t="s">
        <v>472</v>
      </c>
      <c r="E4" s="168" t="s">
        <v>687</v>
      </c>
      <c r="F4" s="115"/>
    </row>
    <row r="5" spans="3:9" ht="15.75" x14ac:dyDescent="0.25">
      <c r="C5" s="176" t="s">
        <v>555</v>
      </c>
      <c r="D5" s="112">
        <v>250</v>
      </c>
      <c r="E5" s="112">
        <v>22</v>
      </c>
      <c r="F5" s="112">
        <f>(D5*E5)*365</f>
        <v>2007500</v>
      </c>
    </row>
    <row r="6" spans="3:9" ht="15.75" x14ac:dyDescent="0.25">
      <c r="C6" s="176" t="s">
        <v>556</v>
      </c>
      <c r="D6" s="112">
        <v>30</v>
      </c>
      <c r="E6" s="112">
        <v>22</v>
      </c>
      <c r="F6" s="112">
        <f>(D6*E6)*365</f>
        <v>240900</v>
      </c>
    </row>
    <row r="7" spans="3:9" ht="60.75" x14ac:dyDescent="0.25">
      <c r="C7" s="177" t="s">
        <v>557</v>
      </c>
      <c r="D7" s="112">
        <v>30</v>
      </c>
      <c r="E7" s="112">
        <v>30</v>
      </c>
      <c r="F7" s="112">
        <f>(D7*E7)*365</f>
        <v>328500</v>
      </c>
    </row>
    <row r="8" spans="3:9" s="111" customFormat="1" x14ac:dyDescent="0.25">
      <c r="C8" s="113" t="s">
        <v>688</v>
      </c>
      <c r="D8" s="113"/>
      <c r="E8" s="113"/>
      <c r="F8" s="113">
        <f>SUM(F5:F7)</f>
        <v>2576900</v>
      </c>
      <c r="H8" s="111">
        <v>180</v>
      </c>
    </row>
    <row r="9" spans="3:9" x14ac:dyDescent="0.25">
      <c r="H9">
        <f>H8*E7</f>
        <v>5400</v>
      </c>
      <c r="I9">
        <v>4400</v>
      </c>
    </row>
    <row r="10" spans="3:9" x14ac:dyDescent="0.25">
      <c r="H10">
        <f>I9/6/30</f>
        <v>24.444444444444446</v>
      </c>
    </row>
    <row r="11" spans="3:9" x14ac:dyDescent="0.25">
      <c r="C11" s="112" t="s">
        <v>707</v>
      </c>
      <c r="D11" s="112"/>
      <c r="E11" s="112"/>
      <c r="F11" s="112"/>
    </row>
    <row r="12" spans="3:9" s="111" customFormat="1" x14ac:dyDescent="0.25">
      <c r="C12" s="113" t="s">
        <v>692</v>
      </c>
      <c r="D12" s="113">
        <v>6</v>
      </c>
      <c r="E12" s="113">
        <v>30</v>
      </c>
      <c r="F12" s="113">
        <f>D12*E12*366</f>
        <v>65880</v>
      </c>
    </row>
    <row r="15" spans="3:9" x14ac:dyDescent="0.25">
      <c r="C15" s="112" t="s">
        <v>697</v>
      </c>
      <c r="D15" s="112"/>
      <c r="E15" s="112"/>
      <c r="F15" s="112"/>
    </row>
    <row r="16" spans="3:9" x14ac:dyDescent="0.25">
      <c r="C16" s="112" t="s">
        <v>692</v>
      </c>
      <c r="D16" s="112">
        <v>6</v>
      </c>
      <c r="E16" s="112">
        <v>30</v>
      </c>
      <c r="F16" s="112">
        <f>D16*E16*306</f>
        <v>55080</v>
      </c>
    </row>
    <row r="19" spans="3:6" x14ac:dyDescent="0.25">
      <c r="C19" s="112" t="s">
        <v>708</v>
      </c>
      <c r="D19" s="112"/>
      <c r="E19" s="112"/>
      <c r="F19" s="112"/>
    </row>
    <row r="20" spans="3:6" x14ac:dyDescent="0.25">
      <c r="C20" s="112" t="s">
        <v>692</v>
      </c>
      <c r="D20" s="112">
        <v>6</v>
      </c>
      <c r="E20" s="112">
        <v>30</v>
      </c>
      <c r="F20" s="112">
        <f>D20*E20*214</f>
        <v>38520</v>
      </c>
    </row>
    <row r="23" spans="3:6" x14ac:dyDescent="0.25">
      <c r="C23" s="112" t="s">
        <v>729</v>
      </c>
      <c r="D23" s="112"/>
      <c r="E23" s="112"/>
      <c r="F23" s="112"/>
    </row>
    <row r="24" spans="3:6" x14ac:dyDescent="0.25">
      <c r="C24" s="112" t="s">
        <v>692</v>
      </c>
      <c r="D24" s="112">
        <v>10</v>
      </c>
      <c r="E24" s="112">
        <v>30</v>
      </c>
      <c r="F24" s="112">
        <f>D24*E24*335</f>
        <v>100500</v>
      </c>
    </row>
    <row r="27" spans="3:6" x14ac:dyDescent="0.25">
      <c r="C27" s="112" t="s">
        <v>730</v>
      </c>
      <c r="D27" s="112"/>
      <c r="E27" s="112"/>
      <c r="F27" s="112"/>
    </row>
    <row r="28" spans="3:6" x14ac:dyDescent="0.25">
      <c r="C28" s="112" t="s">
        <v>692</v>
      </c>
      <c r="D28" s="112">
        <v>5</v>
      </c>
      <c r="E28" s="112">
        <v>30</v>
      </c>
      <c r="F28" s="112">
        <f>D28*E28*122</f>
        <v>18300</v>
      </c>
    </row>
    <row r="30" spans="3:6" s="152" customFormat="1" ht="15.75" x14ac:dyDescent="0.25">
      <c r="C30" s="213" t="s">
        <v>693</v>
      </c>
      <c r="D30" s="257">
        <f>F8+F12+F16+F20+F24+F28</f>
        <v>2855180</v>
      </c>
      <c r="E30" s="258">
        <f>F8+F12+F16+F20+F24</f>
        <v>2836880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17"/>
  <sheetViews>
    <sheetView workbookViewId="0">
      <selection activeCell="D10" sqref="D10"/>
    </sheetView>
  </sheetViews>
  <sheetFormatPr defaultRowHeight="15" x14ac:dyDescent="0.25"/>
  <cols>
    <col min="3" max="3" width="59.85546875" customWidth="1"/>
    <col min="4" max="4" width="18.85546875" customWidth="1"/>
    <col min="5" max="5" width="14.42578125" customWidth="1"/>
  </cols>
  <sheetData>
    <row r="5" spans="3:6" ht="45" x14ac:dyDescent="0.25">
      <c r="C5" s="126" t="s">
        <v>558</v>
      </c>
      <c r="D5" s="126" t="s">
        <v>560</v>
      </c>
      <c r="E5" s="126" t="s">
        <v>483</v>
      </c>
    </row>
    <row r="6" spans="3:6" x14ac:dyDescent="0.25">
      <c r="C6" s="112" t="s">
        <v>559</v>
      </c>
      <c r="D6" s="112">
        <v>50</v>
      </c>
      <c r="E6" s="112">
        <v>308</v>
      </c>
    </row>
    <row r="7" spans="3:6" x14ac:dyDescent="0.25">
      <c r="C7" s="112" t="s">
        <v>561</v>
      </c>
      <c r="D7" s="112">
        <v>10</v>
      </c>
      <c r="E7" s="112">
        <v>308</v>
      </c>
    </row>
    <row r="8" spans="3:6" x14ac:dyDescent="0.25">
      <c r="C8" s="112" t="s">
        <v>562</v>
      </c>
      <c r="D8" s="112">
        <v>10</v>
      </c>
      <c r="E8" s="112">
        <v>308</v>
      </c>
    </row>
    <row r="9" spans="3:6" x14ac:dyDescent="0.25">
      <c r="C9" s="112"/>
      <c r="D9" s="112"/>
      <c r="E9" s="112"/>
    </row>
    <row r="10" spans="3:6" ht="15.75" x14ac:dyDescent="0.25">
      <c r="C10" s="113" t="s">
        <v>486</v>
      </c>
      <c r="D10" s="127">
        <f>(70*308)*12</f>
        <v>258720</v>
      </c>
      <c r="E10" s="112">
        <v>252000</v>
      </c>
      <c r="F10">
        <f>D10-E10</f>
        <v>6720</v>
      </c>
    </row>
    <row r="15" spans="3:6" ht="30" x14ac:dyDescent="0.25">
      <c r="C15" s="126" t="s">
        <v>563</v>
      </c>
      <c r="D15" s="126" t="s">
        <v>472</v>
      </c>
      <c r="E15" s="126" t="s">
        <v>691</v>
      </c>
    </row>
    <row r="16" spans="3:6" x14ac:dyDescent="0.25">
      <c r="C16" s="113"/>
      <c r="D16" s="113">
        <v>14</v>
      </c>
      <c r="E16" s="113">
        <v>50</v>
      </c>
    </row>
    <row r="17" spans="3:5" s="181" customFormat="1" ht="15.75" x14ac:dyDescent="0.25">
      <c r="C17" s="189" t="s">
        <v>486</v>
      </c>
      <c r="D17" s="189">
        <f>D16*E16*365</f>
        <v>255500</v>
      </c>
      <c r="E17" s="18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L23"/>
  <sheetViews>
    <sheetView tabSelected="1" view="pageBreakPreview" zoomScale="73" zoomScaleNormal="73" zoomScaleSheetLayoutView="73" workbookViewId="0">
      <pane xSplit="4" ySplit="8" topLeftCell="F9" activePane="bottomRight" state="frozen"/>
      <selection activeCell="B1" sqref="B1"/>
      <selection pane="topRight" activeCell="E1" sqref="E1"/>
      <selection pane="bottomLeft" activeCell="B9" sqref="B9"/>
      <selection pane="bottomRight" activeCell="AD15" sqref="AD15"/>
    </sheetView>
  </sheetViews>
  <sheetFormatPr defaultColWidth="9.140625" defaultRowHeight="15" x14ac:dyDescent="0.25"/>
  <cols>
    <col min="1" max="1" width="10.5703125" style="87" customWidth="1"/>
    <col min="2" max="2" width="15.140625" style="88" customWidth="1"/>
    <col min="3" max="3" width="13" style="88" customWidth="1"/>
    <col min="4" max="4" width="55.5703125" style="89" customWidth="1"/>
    <col min="5" max="5" width="16" style="89" hidden="1" customWidth="1"/>
    <col min="6" max="6" width="17" style="89" customWidth="1"/>
    <col min="7" max="8" width="14.85546875" style="89" hidden="1" customWidth="1"/>
    <col min="9" max="9" width="16" style="89" hidden="1" customWidth="1"/>
    <col min="10" max="10" width="17.5703125" style="89" hidden="1" customWidth="1"/>
    <col min="11" max="11" width="14.28515625" style="89" hidden="1" customWidth="1"/>
    <col min="12" max="12" width="14.140625" style="88" hidden="1" customWidth="1"/>
    <col min="13" max="13" width="17.85546875" style="89" hidden="1" customWidth="1"/>
    <col min="14" max="14" width="17.5703125" style="89" hidden="1" customWidth="1"/>
    <col min="15" max="15" width="14.42578125" style="89" hidden="1" customWidth="1"/>
    <col min="16" max="16" width="14.140625" style="88" hidden="1" customWidth="1"/>
    <col min="17" max="17" width="17.85546875" style="89" hidden="1" customWidth="1"/>
    <col min="18" max="18" width="19.42578125" style="89" hidden="1" customWidth="1"/>
    <col min="19" max="19" width="14" style="89" hidden="1" customWidth="1"/>
    <col min="20" max="20" width="14.140625" style="88" hidden="1" customWidth="1"/>
    <col min="21" max="21" width="16" style="104" hidden="1" customWidth="1"/>
    <col min="22" max="22" width="22.28515625" style="91" hidden="1" customWidth="1"/>
    <col min="23" max="23" width="0" style="89" hidden="1" customWidth="1"/>
    <col min="24" max="24" width="10.140625" style="89" hidden="1" customWidth="1"/>
    <col min="25" max="25" width="0" style="89" hidden="1" customWidth="1"/>
    <col min="26" max="26" width="19.42578125" style="89" hidden="1" customWidth="1"/>
    <col min="27" max="27" width="15.140625" style="89" hidden="1" customWidth="1"/>
    <col min="28" max="28" width="0" style="89" hidden="1" customWidth="1"/>
    <col min="29" max="29" width="28" style="89" customWidth="1"/>
    <col min="30" max="30" width="33.85546875" style="89" customWidth="1"/>
    <col min="31" max="31" width="14.28515625" style="89" bestFit="1" customWidth="1"/>
    <col min="32" max="32" width="22.28515625" style="89" customWidth="1"/>
    <col min="33" max="33" width="15.42578125" style="89" bestFit="1" customWidth="1"/>
    <col min="34" max="35" width="9.140625" style="89"/>
    <col min="36" max="38" width="11.28515625" style="89" bestFit="1" customWidth="1"/>
    <col min="39" max="16384" width="9.140625" style="89"/>
  </cols>
  <sheetData>
    <row r="2" spans="1:38" ht="18" x14ac:dyDescent="0.25">
      <c r="Q2" s="235"/>
      <c r="R2" s="235"/>
      <c r="U2" s="90"/>
    </row>
    <row r="3" spans="1:38" ht="21" x14ac:dyDescent="0.25">
      <c r="B3" s="236" t="s">
        <v>734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90"/>
    </row>
    <row r="4" spans="1:38" x14ac:dyDescent="0.25">
      <c r="F4" s="92"/>
      <c r="J4" s="92"/>
      <c r="N4" s="92"/>
      <c r="O4" s="92"/>
      <c r="R4" s="92"/>
      <c r="S4" s="92"/>
      <c r="U4" s="93"/>
    </row>
    <row r="5" spans="1:38" ht="18" x14ac:dyDescent="0.25">
      <c r="F5" s="94"/>
      <c r="G5" s="92"/>
      <c r="J5" s="94"/>
      <c r="K5" s="92"/>
      <c r="N5" s="94"/>
      <c r="O5" s="235"/>
      <c r="P5" s="235"/>
      <c r="R5" s="94"/>
      <c r="U5" s="94"/>
    </row>
    <row r="6" spans="1:38" ht="18" customHeight="1" x14ac:dyDescent="0.25">
      <c r="A6" s="240"/>
      <c r="B6" s="241" t="s">
        <v>0</v>
      </c>
      <c r="C6" s="241" t="s">
        <v>1</v>
      </c>
      <c r="D6" s="241" t="s">
        <v>2</v>
      </c>
      <c r="E6" s="238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</row>
    <row r="7" spans="1:38" ht="71.25" customHeight="1" x14ac:dyDescent="0.25">
      <c r="A7" s="240"/>
      <c r="B7" s="242"/>
      <c r="C7" s="242"/>
      <c r="D7" s="242"/>
      <c r="E7" s="237" t="s">
        <v>465</v>
      </c>
      <c r="F7" s="237"/>
      <c r="G7" s="237"/>
      <c r="H7" s="237"/>
      <c r="I7" s="237" t="s">
        <v>466</v>
      </c>
      <c r="J7" s="237"/>
      <c r="K7" s="237"/>
      <c r="L7" s="237"/>
      <c r="M7" s="237" t="s">
        <v>468</v>
      </c>
      <c r="N7" s="237"/>
      <c r="O7" s="237"/>
      <c r="P7" s="237"/>
      <c r="Q7" s="237" t="s">
        <v>469</v>
      </c>
      <c r="R7" s="237"/>
      <c r="S7" s="237"/>
      <c r="T7" s="237"/>
      <c r="U7" s="237" t="s">
        <v>467</v>
      </c>
      <c r="V7" s="237" t="e">
        <f>4250000-#REF!</f>
        <v>#REF!</v>
      </c>
      <c r="W7" s="237"/>
      <c r="X7" s="237"/>
      <c r="Y7" s="237"/>
      <c r="Z7" s="237"/>
      <c r="AA7" s="237"/>
      <c r="AB7" s="237"/>
      <c r="AC7" s="182" t="s">
        <v>735</v>
      </c>
      <c r="AD7" s="96"/>
    </row>
    <row r="8" spans="1:38" ht="14.25" customHeight="1" x14ac:dyDescent="0.25">
      <c r="A8" s="240"/>
      <c r="B8" s="243"/>
      <c r="C8" s="243"/>
      <c r="D8" s="243"/>
      <c r="E8" s="97" t="s">
        <v>9</v>
      </c>
      <c r="F8" s="98"/>
      <c r="G8" s="98"/>
      <c r="H8" s="98"/>
      <c r="I8" s="97"/>
      <c r="J8" s="98"/>
      <c r="K8" s="98"/>
      <c r="L8" s="98"/>
      <c r="M8" s="97"/>
      <c r="N8" s="98"/>
      <c r="O8" s="98"/>
      <c r="P8" s="98"/>
      <c r="Q8" s="97"/>
      <c r="R8" s="98"/>
      <c r="S8" s="98"/>
      <c r="T8" s="98"/>
      <c r="U8" s="98"/>
      <c r="V8" s="99" t="e">
        <f>4250000-#REF!</f>
        <v>#REF!</v>
      </c>
    </row>
    <row r="9" spans="1:38" s="109" customFormat="1" ht="36" x14ac:dyDescent="0.25">
      <c r="A9" s="105"/>
      <c r="B9" s="106" t="s">
        <v>464</v>
      </c>
      <c r="C9" s="107"/>
      <c r="D9" s="107" t="s">
        <v>66</v>
      </c>
      <c r="E9" s="108">
        <f t="shared" ref="E9:E23" si="0">SUM(F9:H9)</f>
        <v>36214</v>
      </c>
      <c r="F9" s="191">
        <f t="shared" ref="F9:P9" si="1">SUM(F10:F23)</f>
        <v>36114</v>
      </c>
      <c r="G9" s="108">
        <f t="shared" si="1"/>
        <v>50</v>
      </c>
      <c r="H9" s="108">
        <f t="shared" si="1"/>
        <v>50</v>
      </c>
      <c r="I9" s="108">
        <f t="shared" ref="I9:I23" si="2">SUM(J9:L9)</f>
        <v>37442</v>
      </c>
      <c r="J9" s="108">
        <f t="shared" ref="J9" si="3">SUM(J10:J23)</f>
        <v>37392</v>
      </c>
      <c r="K9" s="108">
        <f t="shared" si="1"/>
        <v>50</v>
      </c>
      <c r="L9" s="108">
        <v>0</v>
      </c>
      <c r="M9" s="108">
        <f t="shared" ref="M9:M14" si="4">SUM(N9:O9)</f>
        <v>37442</v>
      </c>
      <c r="N9" s="108">
        <f t="shared" ref="N9:O9" si="5">SUM(N10:N23)</f>
        <v>37392</v>
      </c>
      <c r="O9" s="108">
        <f t="shared" si="5"/>
        <v>50</v>
      </c>
      <c r="P9" s="108">
        <f t="shared" si="1"/>
        <v>50</v>
      </c>
      <c r="Q9" s="108">
        <f t="shared" ref="Q9:Q23" si="6">SUM(R9:T9)</f>
        <v>37566</v>
      </c>
      <c r="R9" s="108">
        <f t="shared" ref="R9:AC9" si="7">SUM(R10:R23)</f>
        <v>37390</v>
      </c>
      <c r="S9" s="108">
        <f t="shared" si="7"/>
        <v>88</v>
      </c>
      <c r="T9" s="108">
        <f t="shared" si="7"/>
        <v>88</v>
      </c>
      <c r="U9" s="108">
        <f t="shared" si="7"/>
        <v>88</v>
      </c>
      <c r="V9" s="108">
        <f t="shared" si="7"/>
        <v>88</v>
      </c>
      <c r="W9" s="108">
        <f t="shared" si="7"/>
        <v>88</v>
      </c>
      <c r="X9" s="108">
        <f t="shared" si="7"/>
        <v>88</v>
      </c>
      <c r="Y9" s="108">
        <f t="shared" si="7"/>
        <v>88</v>
      </c>
      <c r="Z9" s="108">
        <f t="shared" si="7"/>
        <v>88</v>
      </c>
      <c r="AA9" s="108">
        <f t="shared" si="7"/>
        <v>88</v>
      </c>
      <c r="AB9" s="108">
        <f t="shared" si="7"/>
        <v>88</v>
      </c>
      <c r="AC9" s="108">
        <f t="shared" si="7"/>
        <v>37400</v>
      </c>
      <c r="AD9" s="108"/>
      <c r="AE9" s="254"/>
      <c r="AJ9" s="108"/>
      <c r="AK9" s="108"/>
      <c r="AL9" s="108"/>
    </row>
    <row r="10" spans="1:38" ht="30" x14ac:dyDescent="0.25">
      <c r="B10" s="100"/>
      <c r="C10" s="101" t="s">
        <v>72</v>
      </c>
      <c r="D10" s="102" t="s">
        <v>411</v>
      </c>
      <c r="E10" s="103">
        <f t="shared" si="0"/>
        <v>1900</v>
      </c>
      <c r="F10" s="66">
        <v>1900</v>
      </c>
      <c r="G10" s="66">
        <v>0</v>
      </c>
      <c r="H10" s="66">
        <v>0</v>
      </c>
      <c r="I10" s="103">
        <f t="shared" si="2"/>
        <v>1800</v>
      </c>
      <c r="J10" s="66">
        <v>1800</v>
      </c>
      <c r="K10" s="66">
        <v>0</v>
      </c>
      <c r="L10" s="66">
        <v>0</v>
      </c>
      <c r="M10" s="103">
        <f t="shared" si="4"/>
        <v>1800</v>
      </c>
      <c r="N10" s="66">
        <v>1800</v>
      </c>
      <c r="O10" s="66">
        <v>0</v>
      </c>
      <c r="P10" s="66">
        <v>0</v>
      </c>
      <c r="Q10" s="103">
        <f t="shared" si="6"/>
        <v>1800</v>
      </c>
      <c r="R10" s="110">
        <v>1800</v>
      </c>
      <c r="S10" s="66">
        <v>0</v>
      </c>
      <c r="T10" s="66">
        <v>0</v>
      </c>
      <c r="U10" s="103"/>
      <c r="AC10" s="66">
        <v>1300</v>
      </c>
      <c r="AD10" s="92"/>
      <c r="AJ10" s="66"/>
      <c r="AK10" s="66"/>
      <c r="AL10" s="66"/>
    </row>
    <row r="11" spans="1:38" x14ac:dyDescent="0.25">
      <c r="B11" s="100"/>
      <c r="C11" s="101" t="s">
        <v>73</v>
      </c>
      <c r="D11" s="102" t="s">
        <v>373</v>
      </c>
      <c r="E11" s="103">
        <f t="shared" si="0"/>
        <v>2371</v>
      </c>
      <c r="F11" s="66">
        <v>2371</v>
      </c>
      <c r="G11" s="66">
        <v>0</v>
      </c>
      <c r="H11" s="66">
        <v>0</v>
      </c>
      <c r="I11" s="103">
        <f t="shared" si="2"/>
        <v>2871.2</v>
      </c>
      <c r="J11" s="66">
        <v>2871.2</v>
      </c>
      <c r="K11" s="66">
        <v>0</v>
      </c>
      <c r="L11" s="66">
        <v>0</v>
      </c>
      <c r="M11" s="103">
        <f t="shared" si="4"/>
        <v>2871.2</v>
      </c>
      <c r="N11" s="66">
        <v>2871.2</v>
      </c>
      <c r="O11" s="66">
        <v>0</v>
      </c>
      <c r="P11" s="66">
        <v>0</v>
      </c>
      <c r="Q11" s="103">
        <f t="shared" si="6"/>
        <v>2800</v>
      </c>
      <c r="R11" s="86">
        <v>2800</v>
      </c>
      <c r="S11" s="66">
        <v>0</v>
      </c>
      <c r="T11" s="66">
        <v>0</v>
      </c>
      <c r="U11" s="103"/>
      <c r="AC11" s="66">
        <v>3200</v>
      </c>
      <c r="AJ11" s="66"/>
      <c r="AK11" s="66"/>
      <c r="AL11" s="66"/>
    </row>
    <row r="12" spans="1:38" x14ac:dyDescent="0.25">
      <c r="B12" s="100"/>
      <c r="C12" s="101" t="s">
        <v>74</v>
      </c>
      <c r="D12" s="102" t="s">
        <v>374</v>
      </c>
      <c r="E12" s="103">
        <f t="shared" si="0"/>
        <v>3400</v>
      </c>
      <c r="F12" s="66">
        <v>3400</v>
      </c>
      <c r="G12" s="66">
        <v>0</v>
      </c>
      <c r="H12" s="66">
        <v>0</v>
      </c>
      <c r="I12" s="103">
        <f t="shared" si="2"/>
        <v>3900</v>
      </c>
      <c r="J12" s="66">
        <v>3900</v>
      </c>
      <c r="K12" s="66">
        <v>0</v>
      </c>
      <c r="L12" s="66">
        <v>0</v>
      </c>
      <c r="M12" s="103">
        <f t="shared" si="4"/>
        <v>3500</v>
      </c>
      <c r="N12" s="66">
        <v>3500</v>
      </c>
      <c r="O12" s="66">
        <v>0</v>
      </c>
      <c r="P12" s="66">
        <v>0</v>
      </c>
      <c r="Q12" s="103">
        <f t="shared" si="6"/>
        <v>3600</v>
      </c>
      <c r="R12" s="86">
        <v>3600</v>
      </c>
      <c r="S12" s="66">
        <v>0</v>
      </c>
      <c r="T12" s="66">
        <v>0</v>
      </c>
      <c r="U12" s="103"/>
      <c r="AC12" s="66">
        <v>3440</v>
      </c>
      <c r="AJ12" s="66"/>
      <c r="AK12" s="66"/>
      <c r="AL12" s="66"/>
    </row>
    <row r="13" spans="1:38" x14ac:dyDescent="0.25">
      <c r="B13" s="100"/>
      <c r="C13" s="101" t="s">
        <v>75</v>
      </c>
      <c r="D13" s="102" t="s">
        <v>375</v>
      </c>
      <c r="E13" s="103">
        <f t="shared" si="0"/>
        <v>40</v>
      </c>
      <c r="F13" s="66">
        <v>40</v>
      </c>
      <c r="G13" s="66">
        <v>0</v>
      </c>
      <c r="H13" s="66">
        <v>0</v>
      </c>
      <c r="I13" s="103">
        <f t="shared" si="2"/>
        <v>40</v>
      </c>
      <c r="J13" s="66">
        <v>40</v>
      </c>
      <c r="K13" s="66">
        <v>0</v>
      </c>
      <c r="L13" s="66">
        <v>0</v>
      </c>
      <c r="M13" s="103">
        <f t="shared" si="4"/>
        <v>40</v>
      </c>
      <c r="N13" s="66">
        <v>40</v>
      </c>
      <c r="O13" s="66">
        <v>0</v>
      </c>
      <c r="P13" s="66">
        <v>0</v>
      </c>
      <c r="Q13" s="103">
        <f t="shared" si="6"/>
        <v>114</v>
      </c>
      <c r="R13" s="110">
        <v>38</v>
      </c>
      <c r="S13" s="66">
        <v>38</v>
      </c>
      <c r="T13" s="66">
        <v>38</v>
      </c>
      <c r="U13" s="66">
        <v>38</v>
      </c>
      <c r="V13" s="66">
        <v>38</v>
      </c>
      <c r="W13" s="66">
        <v>38</v>
      </c>
      <c r="X13" s="66">
        <v>38</v>
      </c>
      <c r="Y13" s="66">
        <v>38</v>
      </c>
      <c r="Z13" s="66">
        <v>38</v>
      </c>
      <c r="AA13" s="66">
        <v>38</v>
      </c>
      <c r="AB13" s="66">
        <v>38</v>
      </c>
      <c r="AC13" s="66">
        <v>20</v>
      </c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x14ac:dyDescent="0.25">
      <c r="B14" s="100"/>
      <c r="C14" s="101" t="s">
        <v>76</v>
      </c>
      <c r="D14" s="102" t="s">
        <v>376</v>
      </c>
      <c r="E14" s="103">
        <f t="shared" si="0"/>
        <v>6258</v>
      </c>
      <c r="F14" s="66">
        <v>6258</v>
      </c>
      <c r="G14" s="66">
        <v>0</v>
      </c>
      <c r="H14" s="66">
        <v>0</v>
      </c>
      <c r="I14" s="103">
        <f t="shared" si="2"/>
        <v>6258.3</v>
      </c>
      <c r="J14" s="66">
        <v>6258.3</v>
      </c>
      <c r="K14" s="66">
        <v>0</v>
      </c>
      <c r="L14" s="66">
        <v>0</v>
      </c>
      <c r="M14" s="103">
        <f t="shared" si="4"/>
        <v>6658.3</v>
      </c>
      <c r="N14" s="66">
        <v>6658.3</v>
      </c>
      <c r="O14" s="66">
        <v>0</v>
      </c>
      <c r="P14" s="66">
        <v>0</v>
      </c>
      <c r="Q14" s="103">
        <f t="shared" si="6"/>
        <v>6782</v>
      </c>
      <c r="R14" s="86">
        <v>6782</v>
      </c>
      <c r="S14" s="66">
        <v>0</v>
      </c>
      <c r="T14" s="66">
        <v>0</v>
      </c>
      <c r="U14" s="103"/>
      <c r="AC14" s="66">
        <v>6300</v>
      </c>
      <c r="AD14" s="92"/>
      <c r="AJ14" s="66"/>
      <c r="AK14" s="66"/>
      <c r="AL14" s="66"/>
    </row>
    <row r="15" spans="1:38" x14ac:dyDescent="0.25">
      <c r="B15" s="100"/>
      <c r="C15" s="101" t="s">
        <v>77</v>
      </c>
      <c r="D15" s="102" t="s">
        <v>377</v>
      </c>
      <c r="E15" s="103">
        <f t="shared" si="0"/>
        <v>5500</v>
      </c>
      <c r="F15" s="66">
        <v>5500</v>
      </c>
      <c r="G15" s="66">
        <v>0</v>
      </c>
      <c r="H15" s="66">
        <v>0</v>
      </c>
      <c r="I15" s="103">
        <f t="shared" si="2"/>
        <v>5278.9</v>
      </c>
      <c r="J15" s="66">
        <v>5278.9</v>
      </c>
      <c r="K15" s="66">
        <v>0</v>
      </c>
      <c r="L15" s="66">
        <v>0</v>
      </c>
      <c r="M15" s="103">
        <f t="shared" ref="M15:M23" si="8">SUM(N15:O15)</f>
        <v>5278.9</v>
      </c>
      <c r="N15" s="66">
        <v>5278.9</v>
      </c>
      <c r="O15" s="66">
        <v>0</v>
      </c>
      <c r="P15" s="66">
        <v>0</v>
      </c>
      <c r="Q15" s="103">
        <f t="shared" si="6"/>
        <v>5600</v>
      </c>
      <c r="R15" s="86">
        <v>5600</v>
      </c>
      <c r="S15" s="66">
        <v>0</v>
      </c>
      <c r="T15" s="66">
        <v>0</v>
      </c>
      <c r="U15" s="103"/>
      <c r="AC15" s="66">
        <v>5855</v>
      </c>
      <c r="AD15" s="92"/>
      <c r="AJ15" s="66"/>
      <c r="AK15" s="66"/>
      <c r="AL15" s="66"/>
    </row>
    <row r="16" spans="1:38" x14ac:dyDescent="0.25">
      <c r="B16" s="100"/>
      <c r="C16" s="101" t="s">
        <v>78</v>
      </c>
      <c r="D16" s="102" t="s">
        <v>378</v>
      </c>
      <c r="E16" s="103">
        <f t="shared" si="0"/>
        <v>148</v>
      </c>
      <c r="F16" s="66">
        <v>48</v>
      </c>
      <c r="G16" s="66">
        <v>50</v>
      </c>
      <c r="H16" s="66">
        <v>50</v>
      </c>
      <c r="I16" s="66">
        <v>50</v>
      </c>
      <c r="J16" s="66">
        <v>50</v>
      </c>
      <c r="K16" s="66">
        <v>50</v>
      </c>
      <c r="L16" s="66">
        <v>50</v>
      </c>
      <c r="M16" s="66">
        <v>50</v>
      </c>
      <c r="N16" s="66">
        <v>50</v>
      </c>
      <c r="O16" s="66">
        <v>50</v>
      </c>
      <c r="P16" s="66">
        <v>50</v>
      </c>
      <c r="Q16" s="66">
        <v>50</v>
      </c>
      <c r="R16" s="66">
        <v>50</v>
      </c>
      <c r="S16" s="66">
        <v>50</v>
      </c>
      <c r="T16" s="66">
        <v>50</v>
      </c>
      <c r="U16" s="66">
        <v>50</v>
      </c>
      <c r="V16" s="66">
        <v>50</v>
      </c>
      <c r="W16" s="66">
        <v>50</v>
      </c>
      <c r="X16" s="66">
        <v>50</v>
      </c>
      <c r="Y16" s="66">
        <v>50</v>
      </c>
      <c r="Z16" s="66">
        <v>50</v>
      </c>
      <c r="AA16" s="66">
        <v>50</v>
      </c>
      <c r="AB16" s="66">
        <v>50</v>
      </c>
      <c r="AC16" s="66">
        <v>48</v>
      </c>
      <c r="AD16" s="66"/>
      <c r="AE16" s="66"/>
      <c r="AF16" s="66"/>
      <c r="AG16" s="66"/>
      <c r="AH16" s="66"/>
      <c r="AI16" s="66"/>
      <c r="AJ16" s="66"/>
      <c r="AK16" s="66"/>
      <c r="AL16" s="66"/>
    </row>
    <row r="17" spans="2:38" x14ac:dyDescent="0.25">
      <c r="B17" s="100"/>
      <c r="C17" s="101" t="s">
        <v>79</v>
      </c>
      <c r="D17" s="102" t="s">
        <v>379</v>
      </c>
      <c r="E17" s="103">
        <f t="shared" si="0"/>
        <v>450</v>
      </c>
      <c r="F17" s="66">
        <v>450</v>
      </c>
      <c r="G17" s="66">
        <v>0</v>
      </c>
      <c r="H17" s="66">
        <v>0</v>
      </c>
      <c r="I17" s="103">
        <f t="shared" si="2"/>
        <v>450</v>
      </c>
      <c r="J17" s="66">
        <v>450</v>
      </c>
      <c r="K17" s="66">
        <v>0</v>
      </c>
      <c r="L17" s="66">
        <v>0</v>
      </c>
      <c r="M17" s="103">
        <f t="shared" si="8"/>
        <v>450</v>
      </c>
      <c r="N17" s="66">
        <v>450</v>
      </c>
      <c r="O17" s="66">
        <v>0</v>
      </c>
      <c r="P17" s="66">
        <v>0</v>
      </c>
      <c r="Q17" s="103">
        <f t="shared" si="6"/>
        <v>450</v>
      </c>
      <c r="R17" s="86">
        <v>450</v>
      </c>
      <c r="S17" s="66">
        <v>0</v>
      </c>
      <c r="T17" s="66">
        <v>0</v>
      </c>
      <c r="U17" s="103"/>
      <c r="AC17" s="66">
        <v>600</v>
      </c>
      <c r="AJ17" s="66"/>
      <c r="AK17" s="66"/>
      <c r="AL17" s="66"/>
    </row>
    <row r="18" spans="2:38" x14ac:dyDescent="0.25">
      <c r="B18" s="100"/>
      <c r="C18" s="101" t="s">
        <v>80</v>
      </c>
      <c r="D18" s="102" t="s">
        <v>380</v>
      </c>
      <c r="E18" s="103">
        <f t="shared" si="0"/>
        <v>9585</v>
      </c>
      <c r="F18" s="66">
        <v>9585</v>
      </c>
      <c r="G18" s="66">
        <v>0</v>
      </c>
      <c r="H18" s="66">
        <v>0</v>
      </c>
      <c r="I18" s="103">
        <f t="shared" si="2"/>
        <v>9585</v>
      </c>
      <c r="J18" s="66">
        <v>9585</v>
      </c>
      <c r="K18" s="66">
        <v>0</v>
      </c>
      <c r="L18" s="66">
        <v>0</v>
      </c>
      <c r="M18" s="103">
        <f t="shared" si="8"/>
        <v>9585</v>
      </c>
      <c r="N18" s="66">
        <v>9585</v>
      </c>
      <c r="O18" s="66">
        <v>0</v>
      </c>
      <c r="P18" s="66">
        <v>0</v>
      </c>
      <c r="Q18" s="103">
        <f t="shared" si="6"/>
        <v>9585</v>
      </c>
      <c r="R18" s="86">
        <v>9585</v>
      </c>
      <c r="S18" s="66">
        <v>0</v>
      </c>
      <c r="T18" s="66">
        <v>0</v>
      </c>
      <c r="U18" s="103"/>
      <c r="AC18" s="66">
        <v>9700</v>
      </c>
      <c r="AD18" s="92"/>
      <c r="AJ18" s="66"/>
      <c r="AK18" s="66"/>
      <c r="AL18" s="66"/>
    </row>
    <row r="19" spans="2:38" ht="30" x14ac:dyDescent="0.25">
      <c r="B19" s="100"/>
      <c r="C19" s="101" t="s">
        <v>81</v>
      </c>
      <c r="D19" s="102" t="s">
        <v>381</v>
      </c>
      <c r="E19" s="103">
        <f t="shared" si="0"/>
        <v>2691</v>
      </c>
      <c r="F19" s="66">
        <v>2691</v>
      </c>
      <c r="G19" s="66">
        <v>0</v>
      </c>
      <c r="H19" s="66">
        <v>0</v>
      </c>
      <c r="I19" s="103">
        <f t="shared" si="2"/>
        <v>2691.2</v>
      </c>
      <c r="J19" s="66">
        <v>2691.2</v>
      </c>
      <c r="K19" s="66">
        <v>0</v>
      </c>
      <c r="L19" s="66">
        <v>0</v>
      </c>
      <c r="M19" s="103">
        <f t="shared" si="8"/>
        <v>2691.2</v>
      </c>
      <c r="N19" s="66">
        <v>2691.2</v>
      </c>
      <c r="O19" s="66">
        <v>0</v>
      </c>
      <c r="P19" s="66">
        <v>0</v>
      </c>
      <c r="Q19" s="103">
        <f t="shared" si="6"/>
        <v>2700</v>
      </c>
      <c r="R19" s="66">
        <v>2700</v>
      </c>
      <c r="S19" s="66">
        <v>0</v>
      </c>
      <c r="T19" s="66">
        <v>0</v>
      </c>
      <c r="U19" s="103"/>
      <c r="AC19" s="66">
        <v>2600</v>
      </c>
      <c r="AJ19" s="66"/>
      <c r="AK19" s="66"/>
      <c r="AL19" s="66"/>
    </row>
    <row r="20" spans="2:38" x14ac:dyDescent="0.25">
      <c r="B20" s="100"/>
      <c r="C20" s="101" t="s">
        <v>82</v>
      </c>
      <c r="D20" s="102" t="s">
        <v>382</v>
      </c>
      <c r="E20" s="103">
        <f t="shared" si="0"/>
        <v>1083</v>
      </c>
      <c r="F20" s="66">
        <v>1083</v>
      </c>
      <c r="G20" s="66">
        <v>0</v>
      </c>
      <c r="H20" s="66">
        <v>0</v>
      </c>
      <c r="I20" s="103">
        <f t="shared" si="2"/>
        <v>1683.4</v>
      </c>
      <c r="J20" s="66">
        <v>1683.4</v>
      </c>
      <c r="K20" s="66">
        <v>0</v>
      </c>
      <c r="L20" s="66">
        <v>0</v>
      </c>
      <c r="M20" s="103">
        <f t="shared" si="8"/>
        <v>1683.4</v>
      </c>
      <c r="N20" s="66">
        <v>1683.4</v>
      </c>
      <c r="O20" s="66">
        <v>0</v>
      </c>
      <c r="P20" s="66">
        <v>0</v>
      </c>
      <c r="Q20" s="103">
        <f t="shared" si="6"/>
        <v>1200</v>
      </c>
      <c r="R20" s="86">
        <v>1200</v>
      </c>
      <c r="S20" s="66">
        <v>0</v>
      </c>
      <c r="T20" s="66">
        <v>0</v>
      </c>
      <c r="U20" s="103"/>
      <c r="AC20" s="66">
        <v>1000</v>
      </c>
      <c r="AD20" s="92"/>
      <c r="AJ20" s="66"/>
      <c r="AK20" s="66"/>
      <c r="AL20" s="66"/>
    </row>
    <row r="21" spans="2:38" ht="30" x14ac:dyDescent="0.25">
      <c r="B21" s="100"/>
      <c r="C21" s="101" t="s">
        <v>83</v>
      </c>
      <c r="D21" s="102" t="s">
        <v>383</v>
      </c>
      <c r="E21" s="103">
        <f t="shared" si="0"/>
        <v>2276</v>
      </c>
      <c r="F21" s="66">
        <v>2276</v>
      </c>
      <c r="G21" s="66">
        <v>0</v>
      </c>
      <c r="H21" s="66">
        <v>0</v>
      </c>
      <c r="I21" s="103">
        <f t="shared" si="2"/>
        <v>2276.5</v>
      </c>
      <c r="J21" s="66">
        <v>2276.5</v>
      </c>
      <c r="K21" s="66">
        <v>0</v>
      </c>
      <c r="L21" s="66">
        <v>0</v>
      </c>
      <c r="M21" s="103">
        <f t="shared" si="8"/>
        <v>2276.5</v>
      </c>
      <c r="N21" s="66">
        <v>2276.5</v>
      </c>
      <c r="O21" s="66">
        <v>0</v>
      </c>
      <c r="P21" s="66">
        <v>0</v>
      </c>
      <c r="Q21" s="103">
        <f t="shared" si="6"/>
        <v>2276</v>
      </c>
      <c r="R21" s="86">
        <v>2276</v>
      </c>
      <c r="S21" s="66">
        <v>0</v>
      </c>
      <c r="T21" s="66">
        <v>0</v>
      </c>
      <c r="U21" s="103"/>
      <c r="AC21" s="66">
        <v>2830</v>
      </c>
      <c r="AJ21" s="66"/>
      <c r="AK21" s="66"/>
      <c r="AL21" s="66"/>
    </row>
    <row r="22" spans="2:38" ht="45" x14ac:dyDescent="0.25">
      <c r="B22" s="100"/>
      <c r="C22" s="101" t="s">
        <v>84</v>
      </c>
      <c r="D22" s="102" t="s">
        <v>384</v>
      </c>
      <c r="E22" s="103">
        <f t="shared" si="0"/>
        <v>252</v>
      </c>
      <c r="F22" s="66">
        <v>252</v>
      </c>
      <c r="G22" s="66">
        <v>0</v>
      </c>
      <c r="H22" s="66">
        <v>0</v>
      </c>
      <c r="I22" s="103">
        <f t="shared" si="2"/>
        <v>252</v>
      </c>
      <c r="J22" s="66">
        <v>252</v>
      </c>
      <c r="K22" s="66">
        <v>0</v>
      </c>
      <c r="L22" s="85">
        <v>0</v>
      </c>
      <c r="M22" s="103">
        <f t="shared" si="8"/>
        <v>252</v>
      </c>
      <c r="N22" s="66">
        <v>252</v>
      </c>
      <c r="O22" s="66">
        <v>0</v>
      </c>
      <c r="P22" s="66">
        <v>0</v>
      </c>
      <c r="Q22" s="103">
        <f t="shared" si="6"/>
        <v>252</v>
      </c>
      <c r="R22" s="110">
        <v>252</v>
      </c>
      <c r="S22" s="66">
        <v>0</v>
      </c>
      <c r="T22" s="66">
        <v>0</v>
      </c>
      <c r="U22" s="103"/>
      <c r="AC22" s="66">
        <v>252</v>
      </c>
      <c r="AJ22" s="66"/>
      <c r="AK22" s="66"/>
      <c r="AL22" s="66"/>
    </row>
    <row r="23" spans="2:38" ht="45" x14ac:dyDescent="0.25">
      <c r="B23" s="100"/>
      <c r="C23" s="101" t="s">
        <v>85</v>
      </c>
      <c r="D23" s="102" t="s">
        <v>385</v>
      </c>
      <c r="E23" s="103">
        <f t="shared" si="0"/>
        <v>260</v>
      </c>
      <c r="F23" s="66">
        <v>260</v>
      </c>
      <c r="G23" s="66">
        <v>0</v>
      </c>
      <c r="H23" s="66">
        <v>0</v>
      </c>
      <c r="I23" s="103" t="e">
        <f t="shared" si="2"/>
        <v>#REF!</v>
      </c>
      <c r="J23" s="66">
        <v>255.5</v>
      </c>
      <c r="K23" s="66">
        <v>0</v>
      </c>
      <c r="L23" s="95" t="e">
        <f>SUM(#REF!)</f>
        <v>#REF!</v>
      </c>
      <c r="M23" s="103">
        <f t="shared" si="8"/>
        <v>255.5</v>
      </c>
      <c r="N23" s="66">
        <v>255.5</v>
      </c>
      <c r="O23" s="66">
        <v>0</v>
      </c>
      <c r="P23" s="66">
        <v>0</v>
      </c>
      <c r="Q23" s="103">
        <f t="shared" si="6"/>
        <v>257</v>
      </c>
      <c r="R23" s="110">
        <v>257</v>
      </c>
      <c r="S23" s="66">
        <v>0</v>
      </c>
      <c r="T23" s="66">
        <v>0</v>
      </c>
      <c r="U23" s="103"/>
      <c r="AC23" s="66">
        <v>255</v>
      </c>
      <c r="AJ23" s="66"/>
      <c r="AK23" s="66"/>
      <c r="AL23" s="66"/>
    </row>
  </sheetData>
  <autoFilter ref="A8:AA23"/>
  <mergeCells count="14">
    <mergeCell ref="Y7:AB7"/>
    <mergeCell ref="A6:A8"/>
    <mergeCell ref="B6:B8"/>
    <mergeCell ref="C6:C8"/>
    <mergeCell ref="D6:D8"/>
    <mergeCell ref="E7:H7"/>
    <mergeCell ref="Q2:R2"/>
    <mergeCell ref="B3:T3"/>
    <mergeCell ref="O5:P5"/>
    <mergeCell ref="I7:L7"/>
    <mergeCell ref="M7:P7"/>
    <mergeCell ref="Q7:T7"/>
    <mergeCell ref="E6:U6"/>
    <mergeCell ref="U7:X7"/>
  </mergeCells>
  <pageMargins left="0" right="0" top="0" bottom="0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E4" sqref="E4"/>
    </sheetView>
  </sheetViews>
  <sheetFormatPr defaultRowHeight="15" x14ac:dyDescent="0.25"/>
  <cols>
    <col min="2" max="2" width="58.28515625" customWidth="1"/>
    <col min="3" max="4" width="22.28515625" customWidth="1"/>
  </cols>
  <sheetData>
    <row r="3" spans="2:5" ht="45" x14ac:dyDescent="0.25">
      <c r="B3" s="126" t="s">
        <v>565</v>
      </c>
      <c r="C3" s="126" t="s">
        <v>564</v>
      </c>
      <c r="D3" s="114" t="s">
        <v>473</v>
      </c>
    </row>
    <row r="4" spans="2:5" x14ac:dyDescent="0.25">
      <c r="B4" s="113" t="s">
        <v>470</v>
      </c>
      <c r="C4" s="192">
        <v>1000</v>
      </c>
      <c r="D4" s="193">
        <v>600</v>
      </c>
      <c r="E4">
        <f>C4*D4</f>
        <v>600000</v>
      </c>
    </row>
    <row r="5" spans="2:5" x14ac:dyDescent="0.25">
      <c r="B5" s="113" t="s">
        <v>471</v>
      </c>
      <c r="C5" s="192">
        <v>1000</v>
      </c>
      <c r="D5" s="193">
        <v>80</v>
      </c>
    </row>
    <row r="6" spans="2:5" x14ac:dyDescent="0.25">
      <c r="B6" s="112" t="s">
        <v>474</v>
      </c>
      <c r="C6" s="192">
        <f>(C5*D5)*12+(C4*D4)</f>
        <v>1560000</v>
      </c>
      <c r="D6" s="193"/>
    </row>
    <row r="7" spans="2:5" x14ac:dyDescent="0.25">
      <c r="C7" s="194"/>
      <c r="D7" s="194"/>
    </row>
    <row r="8" spans="2:5" x14ac:dyDescent="0.25">
      <c r="C8" s="194"/>
      <c r="D8" s="19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64"/>
  <sheetViews>
    <sheetView topLeftCell="A40" workbookViewId="0">
      <selection activeCell="C64" sqref="C64"/>
    </sheetView>
  </sheetViews>
  <sheetFormatPr defaultRowHeight="15" x14ac:dyDescent="0.25"/>
  <cols>
    <col min="2" max="2" width="39.85546875" customWidth="1"/>
    <col min="3" max="3" width="25.7109375" customWidth="1"/>
    <col min="4" max="4" width="25.85546875" customWidth="1"/>
    <col min="5" max="5" width="20.42578125" customWidth="1"/>
    <col min="6" max="6" width="19.140625" customWidth="1"/>
    <col min="7" max="7" width="19.28515625" customWidth="1"/>
    <col min="8" max="8" width="19" customWidth="1"/>
    <col min="9" max="9" width="23" customWidth="1"/>
  </cols>
  <sheetData>
    <row r="3" spans="2:7" s="150" customFormat="1" ht="51" x14ac:dyDescent="0.25">
      <c r="B3" s="148" t="s">
        <v>475</v>
      </c>
      <c r="C3" s="149" t="s">
        <v>477</v>
      </c>
      <c r="D3" s="148" t="s">
        <v>603</v>
      </c>
      <c r="E3" s="148" t="s">
        <v>478</v>
      </c>
      <c r="F3" s="151" t="s">
        <v>645</v>
      </c>
      <c r="G3" s="151" t="s">
        <v>646</v>
      </c>
    </row>
    <row r="4" spans="2:7" ht="30" x14ac:dyDescent="0.25">
      <c r="B4" s="130" t="s">
        <v>574</v>
      </c>
      <c r="C4" s="136" t="s">
        <v>604</v>
      </c>
      <c r="D4" s="136">
        <v>33</v>
      </c>
      <c r="E4" s="137">
        <v>8</v>
      </c>
      <c r="F4" s="112">
        <v>19</v>
      </c>
      <c r="G4" s="112">
        <f>E4*F4*D4</f>
        <v>5016</v>
      </c>
    </row>
    <row r="5" spans="2:7" x14ac:dyDescent="0.25">
      <c r="B5" s="130" t="s">
        <v>575</v>
      </c>
      <c r="C5" s="136" t="s">
        <v>605</v>
      </c>
      <c r="D5" s="136">
        <v>170</v>
      </c>
      <c r="E5" s="137">
        <v>8</v>
      </c>
      <c r="F5" s="112">
        <v>19</v>
      </c>
      <c r="G5" s="112">
        <f t="shared" ref="G5:G17" si="0">E5*F5*D5</f>
        <v>25840</v>
      </c>
    </row>
    <row r="6" spans="2:7" ht="30" x14ac:dyDescent="0.25">
      <c r="B6" s="130" t="s">
        <v>576</v>
      </c>
      <c r="C6" s="136" t="s">
        <v>606</v>
      </c>
      <c r="D6" s="136">
        <v>70</v>
      </c>
      <c r="E6" s="137">
        <v>8</v>
      </c>
      <c r="F6" s="112">
        <v>19</v>
      </c>
      <c r="G6" s="112">
        <f t="shared" si="0"/>
        <v>10640</v>
      </c>
    </row>
    <row r="7" spans="2:7" ht="30" x14ac:dyDescent="0.25">
      <c r="B7" s="130" t="s">
        <v>577</v>
      </c>
      <c r="C7" s="136" t="s">
        <v>509</v>
      </c>
      <c r="D7" s="136">
        <v>110</v>
      </c>
      <c r="E7" s="137">
        <v>8</v>
      </c>
      <c r="F7" s="112">
        <v>19</v>
      </c>
      <c r="G7" s="112">
        <f t="shared" si="0"/>
        <v>16720</v>
      </c>
    </row>
    <row r="8" spans="2:7" ht="30" x14ac:dyDescent="0.25">
      <c r="B8" s="130" t="s">
        <v>578</v>
      </c>
      <c r="C8" s="136" t="s">
        <v>604</v>
      </c>
      <c r="D8" s="136">
        <v>100</v>
      </c>
      <c r="E8" s="137">
        <v>8</v>
      </c>
      <c r="F8" s="112">
        <v>19</v>
      </c>
      <c r="G8" s="112">
        <f t="shared" si="0"/>
        <v>15200</v>
      </c>
    </row>
    <row r="9" spans="2:7" ht="30" x14ac:dyDescent="0.25">
      <c r="B9" s="130" t="s">
        <v>579</v>
      </c>
      <c r="C9" s="136" t="s">
        <v>607</v>
      </c>
      <c r="D9" s="136">
        <v>120</v>
      </c>
      <c r="E9" s="137">
        <v>8</v>
      </c>
      <c r="F9" s="112">
        <v>19</v>
      </c>
      <c r="G9" s="112">
        <f t="shared" si="0"/>
        <v>18240</v>
      </c>
    </row>
    <row r="10" spans="2:7" ht="30" x14ac:dyDescent="0.25">
      <c r="B10" s="130" t="s">
        <v>580</v>
      </c>
      <c r="C10" s="136" t="s">
        <v>604</v>
      </c>
      <c r="D10" s="136">
        <v>15</v>
      </c>
      <c r="E10" s="137">
        <v>8</v>
      </c>
      <c r="F10" s="112">
        <v>19</v>
      </c>
      <c r="G10" s="112">
        <f t="shared" si="0"/>
        <v>2280</v>
      </c>
    </row>
    <row r="11" spans="2:7" ht="30" x14ac:dyDescent="0.25">
      <c r="B11" s="131" t="s">
        <v>581</v>
      </c>
      <c r="C11" s="134" t="s">
        <v>606</v>
      </c>
      <c r="D11" s="134">
        <v>140</v>
      </c>
      <c r="E11" s="137">
        <v>8</v>
      </c>
      <c r="F11" s="112">
        <v>19</v>
      </c>
      <c r="G11" s="112">
        <f t="shared" si="0"/>
        <v>21280</v>
      </c>
    </row>
    <row r="12" spans="2:7" ht="30" x14ac:dyDescent="0.25">
      <c r="B12" s="135" t="s">
        <v>582</v>
      </c>
      <c r="C12" s="134" t="s">
        <v>604</v>
      </c>
      <c r="D12" s="134">
        <v>37</v>
      </c>
      <c r="E12" s="137">
        <v>8</v>
      </c>
      <c r="F12" s="112">
        <v>19</v>
      </c>
      <c r="G12" s="112">
        <f t="shared" si="0"/>
        <v>5624</v>
      </c>
    </row>
    <row r="13" spans="2:7" ht="45" x14ac:dyDescent="0.25">
      <c r="B13" s="131" t="s">
        <v>583</v>
      </c>
      <c r="C13" s="134" t="s">
        <v>608</v>
      </c>
      <c r="D13" s="134">
        <v>20</v>
      </c>
      <c r="E13" s="137">
        <v>8</v>
      </c>
      <c r="F13" s="112">
        <v>19</v>
      </c>
      <c r="G13" s="112">
        <f t="shared" si="0"/>
        <v>3040</v>
      </c>
    </row>
    <row r="14" spans="2:7" ht="30" x14ac:dyDescent="0.25">
      <c r="B14" s="132" t="s">
        <v>584</v>
      </c>
      <c r="C14" s="134" t="s">
        <v>609</v>
      </c>
      <c r="D14" s="134">
        <v>15</v>
      </c>
      <c r="E14" s="137">
        <v>8</v>
      </c>
      <c r="F14" s="112">
        <v>19</v>
      </c>
      <c r="G14" s="112">
        <f t="shared" si="0"/>
        <v>2280</v>
      </c>
    </row>
    <row r="15" spans="2:7" x14ac:dyDescent="0.25">
      <c r="B15" s="131" t="s">
        <v>585</v>
      </c>
      <c r="C15" s="134" t="s">
        <v>610</v>
      </c>
      <c r="D15" s="134">
        <v>50</v>
      </c>
      <c r="E15" s="137">
        <v>8</v>
      </c>
      <c r="F15" s="112">
        <v>19</v>
      </c>
      <c r="G15" s="112">
        <f t="shared" si="0"/>
        <v>7600</v>
      </c>
    </row>
    <row r="16" spans="2:7" ht="30" x14ac:dyDescent="0.25">
      <c r="B16" s="131" t="s">
        <v>586</v>
      </c>
      <c r="C16" s="134" t="s">
        <v>611</v>
      </c>
      <c r="D16" s="134">
        <v>80</v>
      </c>
      <c r="E16" s="137">
        <v>8</v>
      </c>
      <c r="F16" s="112">
        <v>19</v>
      </c>
      <c r="G16" s="112">
        <f t="shared" si="0"/>
        <v>12160</v>
      </c>
    </row>
    <row r="17" spans="2:7" ht="30" x14ac:dyDescent="0.25">
      <c r="B17" s="131" t="s">
        <v>587</v>
      </c>
      <c r="C17" s="134" t="s">
        <v>608</v>
      </c>
      <c r="D17" s="134">
        <v>50</v>
      </c>
      <c r="E17" s="137">
        <v>8</v>
      </c>
      <c r="F17" s="112">
        <v>19</v>
      </c>
      <c r="G17" s="112">
        <f t="shared" si="0"/>
        <v>7600</v>
      </c>
    </row>
    <row r="18" spans="2:7" ht="50.1" customHeight="1" x14ac:dyDescent="0.25">
      <c r="B18" s="131" t="s">
        <v>588</v>
      </c>
      <c r="C18" s="134" t="s">
        <v>612</v>
      </c>
      <c r="D18" s="134">
        <v>30</v>
      </c>
      <c r="E18" s="138">
        <v>240</v>
      </c>
      <c r="F18" s="112">
        <v>19</v>
      </c>
      <c r="G18" s="112">
        <f>E18*F18</f>
        <v>4560</v>
      </c>
    </row>
    <row r="19" spans="2:7" x14ac:dyDescent="0.25">
      <c r="B19" s="134" t="s">
        <v>588</v>
      </c>
      <c r="C19" s="133" t="s">
        <v>509</v>
      </c>
      <c r="D19" s="133">
        <v>80</v>
      </c>
      <c r="E19" s="138">
        <v>8</v>
      </c>
      <c r="F19" s="112">
        <v>19</v>
      </c>
      <c r="G19" s="112">
        <f>E19*F19*D19</f>
        <v>12160</v>
      </c>
    </row>
    <row r="20" spans="2:7" ht="30" x14ac:dyDescent="0.25">
      <c r="B20" s="134" t="s">
        <v>589</v>
      </c>
      <c r="C20" s="134" t="s">
        <v>613</v>
      </c>
      <c r="D20" s="133">
        <v>20</v>
      </c>
      <c r="E20" s="138">
        <v>200</v>
      </c>
      <c r="F20" s="112">
        <v>19</v>
      </c>
      <c r="G20" s="112">
        <f>E20*F20</f>
        <v>3800</v>
      </c>
    </row>
    <row r="21" spans="2:7" ht="50.1" customHeight="1" x14ac:dyDescent="0.25">
      <c r="B21" s="134" t="s">
        <v>590</v>
      </c>
      <c r="C21" s="134" t="s">
        <v>614</v>
      </c>
      <c r="D21" s="133">
        <v>50</v>
      </c>
      <c r="E21" s="138">
        <v>400</v>
      </c>
      <c r="F21" s="112">
        <v>19</v>
      </c>
      <c r="G21" s="112">
        <f t="shared" ref="G21:G22" si="1">E21*F21</f>
        <v>7600</v>
      </c>
    </row>
    <row r="22" spans="2:7" ht="50.1" customHeight="1" x14ac:dyDescent="0.25">
      <c r="B22" s="134" t="s">
        <v>591</v>
      </c>
      <c r="C22" s="134" t="s">
        <v>615</v>
      </c>
      <c r="D22" s="133">
        <v>40</v>
      </c>
      <c r="E22" s="138">
        <v>320</v>
      </c>
      <c r="F22" s="112">
        <v>19</v>
      </c>
      <c r="G22" s="112">
        <f t="shared" si="1"/>
        <v>6080</v>
      </c>
    </row>
    <row r="23" spans="2:7" x14ac:dyDescent="0.25">
      <c r="B23" s="134" t="s">
        <v>592</v>
      </c>
      <c r="C23" s="133" t="s">
        <v>616</v>
      </c>
      <c r="D23" s="133">
        <v>80</v>
      </c>
      <c r="E23" s="138">
        <v>8</v>
      </c>
      <c r="F23" s="112">
        <v>19</v>
      </c>
      <c r="G23" s="112">
        <f>E23*F23*D23</f>
        <v>12160</v>
      </c>
    </row>
    <row r="24" spans="2:7" ht="45" x14ac:dyDescent="0.25">
      <c r="B24" s="134" t="s">
        <v>593</v>
      </c>
      <c r="C24" s="133" t="s">
        <v>604</v>
      </c>
      <c r="D24" s="133">
        <v>50</v>
      </c>
      <c r="E24" s="138">
        <v>8</v>
      </c>
      <c r="F24" s="112">
        <v>19</v>
      </c>
      <c r="G24" s="112">
        <f t="shared" ref="G24:G35" si="2">E24*F24*D24</f>
        <v>7600</v>
      </c>
    </row>
    <row r="25" spans="2:7" ht="45" x14ac:dyDescent="0.25">
      <c r="B25" s="134" t="s">
        <v>594</v>
      </c>
      <c r="C25" s="133" t="s">
        <v>604</v>
      </c>
      <c r="D25" s="133">
        <v>30</v>
      </c>
      <c r="E25" s="138">
        <v>8</v>
      </c>
      <c r="F25" s="112">
        <v>19</v>
      </c>
      <c r="G25" s="112">
        <f t="shared" si="2"/>
        <v>4560</v>
      </c>
    </row>
    <row r="26" spans="2:7" x14ac:dyDescent="0.25">
      <c r="B26" s="134" t="s">
        <v>595</v>
      </c>
      <c r="C26" s="133" t="s">
        <v>617</v>
      </c>
      <c r="D26" s="133">
        <v>40</v>
      </c>
      <c r="E26" s="138">
        <v>8</v>
      </c>
      <c r="F26" s="112">
        <v>19</v>
      </c>
      <c r="G26" s="112">
        <f t="shared" si="2"/>
        <v>6080</v>
      </c>
    </row>
    <row r="27" spans="2:7" x14ac:dyDescent="0.25">
      <c r="B27" s="134" t="s">
        <v>596</v>
      </c>
      <c r="C27" s="133" t="s">
        <v>618</v>
      </c>
      <c r="D27" s="133">
        <v>50</v>
      </c>
      <c r="E27" s="138">
        <v>8</v>
      </c>
      <c r="F27" s="112">
        <v>19</v>
      </c>
      <c r="G27" s="112">
        <f t="shared" si="2"/>
        <v>7600</v>
      </c>
    </row>
    <row r="28" spans="2:7" ht="45" x14ac:dyDescent="0.25">
      <c r="B28" s="134" t="s">
        <v>597</v>
      </c>
      <c r="C28" s="133" t="s">
        <v>618</v>
      </c>
      <c r="D28" s="133">
        <v>30</v>
      </c>
      <c r="E28" s="138">
        <v>8</v>
      </c>
      <c r="F28" s="112">
        <v>19</v>
      </c>
      <c r="G28" s="112">
        <f t="shared" si="2"/>
        <v>4560</v>
      </c>
    </row>
    <row r="29" spans="2:7" ht="60" x14ac:dyDescent="0.25">
      <c r="B29" s="134" t="s">
        <v>598</v>
      </c>
      <c r="C29" s="134" t="s">
        <v>619</v>
      </c>
      <c r="D29" s="134">
        <v>12</v>
      </c>
      <c r="E29" s="138">
        <v>8</v>
      </c>
      <c r="F29" s="112">
        <v>19</v>
      </c>
      <c r="G29" s="112">
        <f t="shared" si="2"/>
        <v>1824</v>
      </c>
    </row>
    <row r="30" spans="2:7" ht="30" x14ac:dyDescent="0.25">
      <c r="B30" s="134" t="s">
        <v>599</v>
      </c>
      <c r="C30" s="133" t="s">
        <v>610</v>
      </c>
      <c r="D30" s="133">
        <v>50</v>
      </c>
      <c r="E30" s="138">
        <v>8</v>
      </c>
      <c r="F30" s="112">
        <v>19</v>
      </c>
      <c r="G30" s="112">
        <f t="shared" si="2"/>
        <v>7600</v>
      </c>
    </row>
    <row r="31" spans="2:7" ht="45" x14ac:dyDescent="0.25">
      <c r="B31" s="134" t="s">
        <v>593</v>
      </c>
      <c r="C31" s="133" t="s">
        <v>559</v>
      </c>
      <c r="D31" s="133">
        <v>70</v>
      </c>
      <c r="E31" s="138">
        <v>8</v>
      </c>
      <c r="F31" s="112">
        <v>19</v>
      </c>
      <c r="G31" s="112">
        <f t="shared" si="2"/>
        <v>10640</v>
      </c>
    </row>
    <row r="32" spans="2:7" ht="30" x14ac:dyDescent="0.25">
      <c r="B32" s="134" t="s">
        <v>584</v>
      </c>
      <c r="C32" s="134" t="s">
        <v>620</v>
      </c>
      <c r="D32" s="133">
        <v>30</v>
      </c>
      <c r="E32" s="138">
        <v>8</v>
      </c>
      <c r="F32" s="112">
        <v>19</v>
      </c>
      <c r="G32" s="112">
        <f t="shared" si="2"/>
        <v>4560</v>
      </c>
    </row>
    <row r="33" spans="2:9" x14ac:dyDescent="0.25">
      <c r="B33" s="134" t="s">
        <v>600</v>
      </c>
      <c r="C33" s="133" t="s">
        <v>611</v>
      </c>
      <c r="D33" s="133">
        <v>40</v>
      </c>
      <c r="E33" s="138">
        <v>8</v>
      </c>
      <c r="F33" s="112">
        <v>19</v>
      </c>
      <c r="G33" s="112">
        <f t="shared" si="2"/>
        <v>6080</v>
      </c>
    </row>
    <row r="34" spans="2:9" ht="30" x14ac:dyDescent="0.25">
      <c r="B34" s="134" t="s">
        <v>601</v>
      </c>
      <c r="C34" s="133" t="s">
        <v>604</v>
      </c>
      <c r="D34" s="133">
        <v>50</v>
      </c>
      <c r="E34" s="138">
        <v>8</v>
      </c>
      <c r="F34" s="112">
        <v>19</v>
      </c>
      <c r="G34" s="112">
        <f t="shared" si="2"/>
        <v>7600</v>
      </c>
    </row>
    <row r="35" spans="2:9" x14ac:dyDescent="0.25">
      <c r="B35" s="133" t="s">
        <v>602</v>
      </c>
      <c r="C35" s="133" t="s">
        <v>606</v>
      </c>
      <c r="D35" s="133">
        <v>40</v>
      </c>
      <c r="E35" s="138">
        <v>8</v>
      </c>
      <c r="F35" s="112">
        <v>19</v>
      </c>
      <c r="G35" s="112">
        <f t="shared" si="2"/>
        <v>6080</v>
      </c>
    </row>
    <row r="36" spans="2:9" ht="57" customHeight="1" x14ac:dyDescent="0.25">
      <c r="B36" s="139" t="s">
        <v>621</v>
      </c>
      <c r="C36" s="112">
        <v>12000</v>
      </c>
      <c r="D36" s="139">
        <f>SUM(D4:D35)</f>
        <v>1802</v>
      </c>
      <c r="E36" s="112">
        <f>E35*F35</f>
        <v>152</v>
      </c>
      <c r="F36" s="112"/>
      <c r="G36" s="112">
        <f>SUM(G4:G35)</f>
        <v>274664</v>
      </c>
      <c r="H36" s="152">
        <f>G36*12</f>
        <v>3295968</v>
      </c>
      <c r="I36" s="152" t="s">
        <v>647</v>
      </c>
    </row>
    <row r="37" spans="2:9" x14ac:dyDescent="0.25">
      <c r="B37" s="142"/>
      <c r="H37">
        <f>(H36*80)/100</f>
        <v>2636774.3999999999</v>
      </c>
      <c r="I37" t="s">
        <v>648</v>
      </c>
    </row>
    <row r="40" spans="2:9" x14ac:dyDescent="0.25">
      <c r="B40" s="112" t="s">
        <v>509</v>
      </c>
      <c r="C40" s="112"/>
      <c r="D40" s="112">
        <f>D4+D5+D7+D8+D10+D12+D19+D24+D25+D27+D28+D31+D34</f>
        <v>825</v>
      </c>
    </row>
    <row r="41" spans="2:9" x14ac:dyDescent="0.25">
      <c r="B41" s="112" t="s">
        <v>508</v>
      </c>
      <c r="C41" s="112"/>
      <c r="D41" s="112">
        <f>D6+D11+D35</f>
        <v>250</v>
      </c>
    </row>
    <row r="42" spans="2:9" x14ac:dyDescent="0.25">
      <c r="B42" s="134" t="s">
        <v>706</v>
      </c>
      <c r="C42" s="112"/>
      <c r="D42" s="112">
        <v>40</v>
      </c>
    </row>
    <row r="43" spans="2:9" x14ac:dyDescent="0.25">
      <c r="B43" s="112" t="s">
        <v>562</v>
      </c>
      <c r="C43" s="112"/>
      <c r="D43" s="112">
        <v>120</v>
      </c>
    </row>
    <row r="44" spans="2:9" x14ac:dyDescent="0.25">
      <c r="B44" s="134" t="s">
        <v>609</v>
      </c>
      <c r="C44" s="112"/>
      <c r="D44" s="134">
        <v>15</v>
      </c>
    </row>
    <row r="45" spans="2:9" x14ac:dyDescent="0.25">
      <c r="B45" s="112" t="s">
        <v>561</v>
      </c>
      <c r="C45" s="112"/>
      <c r="D45" s="112">
        <f>D13+D17</f>
        <v>70</v>
      </c>
    </row>
    <row r="46" spans="2:9" x14ac:dyDescent="0.25">
      <c r="B46" s="134" t="s">
        <v>610</v>
      </c>
      <c r="C46" s="112"/>
      <c r="D46" s="112">
        <f>D15+D30</f>
        <v>100</v>
      </c>
    </row>
    <row r="47" spans="2:9" x14ac:dyDescent="0.25">
      <c r="B47" s="134" t="s">
        <v>611</v>
      </c>
      <c r="C47" s="112"/>
      <c r="D47" s="112">
        <f>D16+D33</f>
        <v>120</v>
      </c>
    </row>
    <row r="48" spans="2:9" x14ac:dyDescent="0.25">
      <c r="B48" s="134" t="s">
        <v>672</v>
      </c>
      <c r="C48" s="112"/>
      <c r="D48" s="112">
        <f>D18+D29</f>
        <v>42</v>
      </c>
    </row>
    <row r="49" spans="2:8" x14ac:dyDescent="0.25">
      <c r="B49" s="134" t="s">
        <v>705</v>
      </c>
      <c r="C49" s="112"/>
      <c r="D49" s="112">
        <v>80</v>
      </c>
    </row>
    <row r="50" spans="2:8" x14ac:dyDescent="0.25">
      <c r="B50" s="134" t="s">
        <v>702</v>
      </c>
      <c r="C50" s="112"/>
      <c r="D50" s="112">
        <v>20</v>
      </c>
    </row>
    <row r="51" spans="2:8" x14ac:dyDescent="0.25">
      <c r="B51" s="134" t="s">
        <v>704</v>
      </c>
      <c r="C51" s="112"/>
      <c r="D51" s="112">
        <v>40</v>
      </c>
    </row>
    <row r="52" spans="2:8" x14ac:dyDescent="0.25">
      <c r="B52" s="134" t="s">
        <v>703</v>
      </c>
      <c r="C52" s="112"/>
      <c r="D52" s="112">
        <f>D21+D32</f>
        <v>80</v>
      </c>
    </row>
    <row r="53" spans="2:8" x14ac:dyDescent="0.25">
      <c r="B53" s="139" t="s">
        <v>9</v>
      </c>
      <c r="C53" s="112"/>
      <c r="D53" s="113">
        <f>SUM(D40:D52)</f>
        <v>1802</v>
      </c>
    </row>
    <row r="57" spans="2:8" x14ac:dyDescent="0.25">
      <c r="B57" s="111" t="s">
        <v>681</v>
      </c>
    </row>
    <row r="58" spans="2:8" s="169" customFormat="1" ht="30" x14ac:dyDescent="0.25">
      <c r="B58" s="115" t="s">
        <v>701</v>
      </c>
      <c r="C58" s="115" t="s">
        <v>678</v>
      </c>
      <c r="D58" s="115" t="s">
        <v>679</v>
      </c>
      <c r="E58" s="168" t="s">
        <v>680</v>
      </c>
      <c r="F58" s="190" t="s">
        <v>731</v>
      </c>
      <c r="G58" s="115" t="s">
        <v>682</v>
      </c>
      <c r="H58" s="196" t="s">
        <v>648</v>
      </c>
    </row>
    <row r="59" spans="2:8" x14ac:dyDescent="0.25">
      <c r="B59" s="113">
        <v>14000</v>
      </c>
      <c r="C59" s="113">
        <v>1750</v>
      </c>
      <c r="D59" s="113">
        <v>152</v>
      </c>
      <c r="E59" s="113">
        <f>C59*D59*12</f>
        <v>3192000</v>
      </c>
      <c r="F59" s="214">
        <f>(E59*90)/100</f>
        <v>2872800</v>
      </c>
      <c r="G59" s="113">
        <f>(E59*75)/100</f>
        <v>2394000</v>
      </c>
      <c r="H59" s="197">
        <f>(E59*80)/100</f>
        <v>2553600</v>
      </c>
    </row>
    <row r="62" spans="2:8" x14ac:dyDescent="0.25">
      <c r="B62" s="111" t="s">
        <v>727</v>
      </c>
      <c r="C62" s="111">
        <v>20</v>
      </c>
      <c r="D62">
        <v>1600</v>
      </c>
      <c r="E62">
        <f>(C62*D62)*10</f>
        <v>320000</v>
      </c>
    </row>
    <row r="64" spans="2:8" s="111" customFormat="1" x14ac:dyDescent="0.25">
      <c r="B64" s="223" t="s">
        <v>728</v>
      </c>
      <c r="C64" s="223">
        <f>F59+E62</f>
        <v>3192800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1"/>
  <sheetViews>
    <sheetView workbookViewId="0">
      <selection activeCell="G16" sqref="G16"/>
    </sheetView>
  </sheetViews>
  <sheetFormatPr defaultRowHeight="15" x14ac:dyDescent="0.25"/>
  <cols>
    <col min="2" max="2" width="46.7109375" customWidth="1"/>
    <col min="3" max="3" width="20.5703125" customWidth="1"/>
    <col min="4" max="4" width="20.85546875" customWidth="1"/>
  </cols>
  <sheetData>
    <row r="3" spans="2:4" ht="30" x14ac:dyDescent="0.25">
      <c r="B3" s="126" t="s">
        <v>479</v>
      </c>
      <c r="C3" s="112"/>
      <c r="D3" s="112" t="s">
        <v>695</v>
      </c>
    </row>
    <row r="4" spans="2:4" x14ac:dyDescent="0.25">
      <c r="B4" s="112" t="s">
        <v>472</v>
      </c>
      <c r="C4" s="112">
        <v>1300</v>
      </c>
      <c r="D4" s="112">
        <v>5</v>
      </c>
    </row>
    <row r="5" spans="2:4" x14ac:dyDescent="0.25">
      <c r="B5" s="112" t="s">
        <v>694</v>
      </c>
      <c r="C5" s="112">
        <v>8</v>
      </c>
      <c r="D5" s="112"/>
    </row>
    <row r="6" spans="2:4" x14ac:dyDescent="0.25">
      <c r="B6" s="112" t="s">
        <v>709</v>
      </c>
      <c r="C6" s="112">
        <v>330</v>
      </c>
      <c r="D6" s="112"/>
    </row>
    <row r="7" spans="2:4" x14ac:dyDescent="0.25">
      <c r="B7" s="112" t="s">
        <v>710</v>
      </c>
      <c r="C7" s="112">
        <f>C6/22</f>
        <v>15</v>
      </c>
      <c r="D7" s="112"/>
    </row>
    <row r="8" spans="2:4" x14ac:dyDescent="0.25">
      <c r="B8" s="129" t="s">
        <v>483</v>
      </c>
      <c r="C8" s="112">
        <f>C4*C5*C6</f>
        <v>3432000</v>
      </c>
      <c r="D8" s="215">
        <v>15000</v>
      </c>
    </row>
    <row r="10" spans="2:4" x14ac:dyDescent="0.25">
      <c r="B10" s="255" t="s">
        <v>696</v>
      </c>
      <c r="C10" s="255">
        <f>C8+D8</f>
        <v>3447000</v>
      </c>
    </row>
    <row r="11" spans="2:4" x14ac:dyDescent="0.25">
      <c r="C11" s="19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"/>
  <sheetViews>
    <sheetView workbookViewId="0">
      <selection activeCell="F19" sqref="F19"/>
    </sheetView>
  </sheetViews>
  <sheetFormatPr defaultRowHeight="15" x14ac:dyDescent="0.25"/>
  <cols>
    <col min="2" max="2" width="37.28515625" customWidth="1"/>
    <col min="3" max="3" width="14.140625" customWidth="1"/>
  </cols>
  <sheetData>
    <row r="4" spans="2:3" x14ac:dyDescent="0.25">
      <c r="B4" s="113" t="s">
        <v>480</v>
      </c>
      <c r="C4" s="112"/>
    </row>
    <row r="5" spans="2:3" x14ac:dyDescent="0.25">
      <c r="B5" s="112" t="s">
        <v>472</v>
      </c>
      <c r="C5" s="112">
        <v>80</v>
      </c>
    </row>
    <row r="6" spans="2:3" x14ac:dyDescent="0.25">
      <c r="B6" s="112" t="s">
        <v>485</v>
      </c>
      <c r="C6" s="112">
        <v>250</v>
      </c>
    </row>
    <row r="7" spans="2:3" s="111" customFormat="1" x14ac:dyDescent="0.25">
      <c r="B7" s="113" t="s">
        <v>486</v>
      </c>
      <c r="C7" s="113">
        <f>C6*C5</f>
        <v>20000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>
      <selection activeCell="H5" sqref="H5"/>
    </sheetView>
  </sheetViews>
  <sheetFormatPr defaultRowHeight="15" x14ac:dyDescent="0.25"/>
  <cols>
    <col min="1" max="1" width="32.5703125" style="161" customWidth="1"/>
    <col min="2" max="2" width="17.140625" style="161" customWidth="1"/>
    <col min="3" max="3" width="19.28515625" style="161" customWidth="1"/>
    <col min="4" max="5" width="16.85546875" style="161" customWidth="1"/>
    <col min="6" max="6" width="17.42578125" style="161" customWidth="1"/>
    <col min="7" max="7" width="16" style="161" customWidth="1"/>
    <col min="8" max="8" width="11" style="161" customWidth="1"/>
    <col min="9" max="9" width="17.28515625" style="161" customWidth="1"/>
    <col min="10" max="10" width="25.28515625" style="161" customWidth="1"/>
    <col min="11" max="12" width="24" style="161" customWidth="1"/>
    <col min="13" max="13" width="24.28515625" style="161" customWidth="1"/>
    <col min="14" max="16384" width="9.140625" style="161"/>
  </cols>
  <sheetData>
    <row r="2" spans="1:13" s="157" customFormat="1" ht="38.25" x14ac:dyDescent="0.2">
      <c r="A2" s="153" t="s">
        <v>569</v>
      </c>
      <c r="B2" s="154" t="s">
        <v>649</v>
      </c>
      <c r="C2" s="154" t="s">
        <v>650</v>
      </c>
      <c r="D2" s="154" t="s">
        <v>651</v>
      </c>
      <c r="E2" s="154" t="s">
        <v>652</v>
      </c>
      <c r="F2" s="155" t="s">
        <v>649</v>
      </c>
      <c r="G2" s="155" t="s">
        <v>650</v>
      </c>
      <c r="H2" s="155" t="s">
        <v>651</v>
      </c>
      <c r="I2" s="155" t="s">
        <v>653</v>
      </c>
      <c r="J2" s="156" t="s">
        <v>654</v>
      </c>
      <c r="K2" s="156" t="s">
        <v>655</v>
      </c>
      <c r="L2" s="156" t="s">
        <v>656</v>
      </c>
      <c r="M2" s="156" t="s">
        <v>657</v>
      </c>
    </row>
    <row r="3" spans="1:13" ht="25.5" x14ac:dyDescent="0.25">
      <c r="A3" s="158" t="s">
        <v>622</v>
      </c>
      <c r="B3" s="159">
        <v>619</v>
      </c>
      <c r="C3" s="159">
        <v>564</v>
      </c>
      <c r="D3" s="159">
        <v>6</v>
      </c>
      <c r="E3" s="159">
        <f>(B3*D3)*245</f>
        <v>909930</v>
      </c>
      <c r="F3" s="160">
        <v>619</v>
      </c>
      <c r="G3" s="160">
        <v>564</v>
      </c>
      <c r="H3" s="160">
        <v>8</v>
      </c>
      <c r="I3" s="160">
        <f>(F3*H3)*250</f>
        <v>1238000</v>
      </c>
    </row>
    <row r="4" spans="1:13" ht="38.25" x14ac:dyDescent="0.25">
      <c r="A4" s="158" t="s">
        <v>623</v>
      </c>
      <c r="B4" s="159">
        <v>58</v>
      </c>
      <c r="C4" s="159">
        <v>46</v>
      </c>
      <c r="D4" s="159">
        <v>480</v>
      </c>
      <c r="E4" s="159">
        <f>B4*D4*12</f>
        <v>334080</v>
      </c>
      <c r="F4" s="160">
        <v>58</v>
      </c>
      <c r="G4" s="160">
        <v>46</v>
      </c>
      <c r="H4" s="160">
        <f>21*25</f>
        <v>525</v>
      </c>
      <c r="I4" s="160">
        <f>F4*H4*12</f>
        <v>365400</v>
      </c>
    </row>
    <row r="5" spans="1:13" x14ac:dyDescent="0.25">
      <c r="A5" s="158" t="s">
        <v>658</v>
      </c>
      <c r="B5" s="159">
        <v>1628</v>
      </c>
      <c r="C5" s="159">
        <v>1847</v>
      </c>
      <c r="D5" s="159">
        <v>290</v>
      </c>
      <c r="E5" s="159">
        <f>B5*D5*12</f>
        <v>5665440</v>
      </c>
      <c r="F5" s="160">
        <v>1735</v>
      </c>
      <c r="G5" s="160">
        <v>1847</v>
      </c>
      <c r="H5" s="160">
        <f>21*16</f>
        <v>336</v>
      </c>
      <c r="I5" s="160">
        <f>F5*H5*12</f>
        <v>6995520</v>
      </c>
    </row>
    <row r="6" spans="1:13" ht="15.75" x14ac:dyDescent="0.25">
      <c r="A6" s="162" t="s">
        <v>9</v>
      </c>
      <c r="B6" s="159">
        <f>SUM(B3:B5)</f>
        <v>2305</v>
      </c>
      <c r="C6" s="159">
        <f>SUM(C3:C5)</f>
        <v>2457</v>
      </c>
      <c r="D6" s="159"/>
      <c r="E6" s="163">
        <f t="shared" ref="E6" si="0">SUM(E3:E5)</f>
        <v>6909450</v>
      </c>
      <c r="F6" s="164">
        <f>SUM(F3:F5)</f>
        <v>2412</v>
      </c>
      <c r="G6" s="160">
        <f>SUM(G3:G5)</f>
        <v>2457</v>
      </c>
      <c r="H6" s="160"/>
      <c r="I6" s="164">
        <f t="shared" ref="I6" si="1">SUM(I3:I5)</f>
        <v>8598920</v>
      </c>
      <c r="J6" s="217">
        <f>(I6*70)/100</f>
        <v>6019244</v>
      </c>
      <c r="K6" s="165">
        <f>(I6*75)/100</f>
        <v>6449190</v>
      </c>
      <c r="L6" s="165">
        <f>(I6*80)/100</f>
        <v>6879136</v>
      </c>
      <c r="M6" s="165">
        <f>(I6*85)/100</f>
        <v>7309082</v>
      </c>
    </row>
    <row r="7" spans="1:13" x14ac:dyDescent="0.25">
      <c r="B7" s="161">
        <v>209</v>
      </c>
      <c r="F7" s="216">
        <f>F5-154</f>
        <v>1581</v>
      </c>
      <c r="G7" s="161">
        <v>61</v>
      </c>
    </row>
    <row r="8" spans="1:13" x14ac:dyDescent="0.25">
      <c r="B8" s="161">
        <v>61</v>
      </c>
      <c r="G8" s="161">
        <v>46</v>
      </c>
      <c r="H8" s="220" t="s">
        <v>726</v>
      </c>
    </row>
    <row r="10" spans="1:13" x14ac:dyDescent="0.25">
      <c r="A10" s="166" t="s">
        <v>659</v>
      </c>
      <c r="D10" s="166" t="s">
        <v>660</v>
      </c>
    </row>
    <row r="11" spans="1:13" x14ac:dyDescent="0.25">
      <c r="A11" s="161" t="s">
        <v>661</v>
      </c>
      <c r="B11" s="161">
        <v>16</v>
      </c>
      <c r="D11" s="161" t="s">
        <v>662</v>
      </c>
      <c r="E11" s="161" t="s">
        <v>663</v>
      </c>
      <c r="F11" s="161">
        <v>30</v>
      </c>
    </row>
    <row r="12" spans="1:13" x14ac:dyDescent="0.25">
      <c r="A12" s="161" t="s">
        <v>664</v>
      </c>
      <c r="B12" s="161">
        <v>20</v>
      </c>
      <c r="D12" s="161" t="s">
        <v>665</v>
      </c>
      <c r="E12" s="161" t="s">
        <v>663</v>
      </c>
      <c r="F12" s="161">
        <v>10</v>
      </c>
    </row>
    <row r="13" spans="1:13" x14ac:dyDescent="0.25">
      <c r="A13" s="161" t="s">
        <v>666</v>
      </c>
      <c r="B13" s="161">
        <v>10</v>
      </c>
      <c r="D13" s="161" t="s">
        <v>624</v>
      </c>
      <c r="E13" s="161" t="s">
        <v>667</v>
      </c>
      <c r="F13" s="161">
        <v>20</v>
      </c>
    </row>
    <row r="14" spans="1:13" x14ac:dyDescent="0.25">
      <c r="A14" s="161" t="s">
        <v>668</v>
      </c>
      <c r="B14" s="161">
        <v>15</v>
      </c>
      <c r="D14" s="161" t="s">
        <v>669</v>
      </c>
      <c r="E14" s="161" t="s">
        <v>641</v>
      </c>
      <c r="F14" s="161">
        <v>15</v>
      </c>
    </row>
    <row r="15" spans="1:13" x14ac:dyDescent="0.25">
      <c r="A15" s="161" t="s">
        <v>9</v>
      </c>
      <c r="B15" s="166">
        <f>B11+B12+B13+B14</f>
        <v>61</v>
      </c>
      <c r="D15" s="161" t="s">
        <v>625</v>
      </c>
      <c r="E15" s="161" t="s">
        <v>641</v>
      </c>
      <c r="F15" s="161">
        <v>8</v>
      </c>
    </row>
    <row r="16" spans="1:13" x14ac:dyDescent="0.25">
      <c r="A16" s="220" t="s">
        <v>720</v>
      </c>
      <c r="D16" s="161" t="s">
        <v>670</v>
      </c>
      <c r="E16" s="161" t="s">
        <v>641</v>
      </c>
      <c r="F16" s="161">
        <v>10</v>
      </c>
    </row>
    <row r="17" spans="1:6" ht="45" x14ac:dyDescent="0.25">
      <c r="A17" s="221" t="s">
        <v>724</v>
      </c>
      <c r="B17" s="222">
        <v>11</v>
      </c>
      <c r="D17" s="167" t="s">
        <v>671</v>
      </c>
      <c r="E17" s="161" t="s">
        <v>641</v>
      </c>
      <c r="F17" s="161">
        <v>11</v>
      </c>
    </row>
    <row r="18" spans="1:6" ht="45" x14ac:dyDescent="0.25">
      <c r="A18" s="221" t="s">
        <v>725</v>
      </c>
      <c r="B18" s="222">
        <v>20</v>
      </c>
      <c r="D18" s="167" t="s">
        <v>671</v>
      </c>
      <c r="E18" s="161" t="s">
        <v>667</v>
      </c>
      <c r="F18" s="161">
        <v>15</v>
      </c>
    </row>
    <row r="19" spans="1:6" x14ac:dyDescent="0.25">
      <c r="A19" s="221" t="s">
        <v>721</v>
      </c>
      <c r="B19" s="222">
        <v>15</v>
      </c>
      <c r="D19" s="167" t="s">
        <v>672</v>
      </c>
      <c r="E19" s="161" t="s">
        <v>641</v>
      </c>
      <c r="F19" s="161">
        <v>20</v>
      </c>
    </row>
    <row r="20" spans="1:6" x14ac:dyDescent="0.25">
      <c r="A20" s="166" t="s">
        <v>722</v>
      </c>
      <c r="D20" s="167" t="s">
        <v>673</v>
      </c>
      <c r="E20" s="161" t="s">
        <v>641</v>
      </c>
      <c r="F20" s="161">
        <v>15</v>
      </c>
    </row>
    <row r="21" spans="1:6" x14ac:dyDescent="0.25">
      <c r="D21" s="167" t="s">
        <v>674</v>
      </c>
      <c r="E21" s="161" t="s">
        <v>641</v>
      </c>
      <c r="F21" s="161">
        <v>10</v>
      </c>
    </row>
    <row r="22" spans="1:6" x14ac:dyDescent="0.25">
      <c r="D22" s="167" t="s">
        <v>675</v>
      </c>
      <c r="E22" s="161" t="s">
        <v>641</v>
      </c>
      <c r="F22" s="161">
        <v>30</v>
      </c>
    </row>
    <row r="23" spans="1:6" x14ac:dyDescent="0.25">
      <c r="D23" s="167" t="s">
        <v>676</v>
      </c>
      <c r="E23" s="161" t="s">
        <v>663</v>
      </c>
      <c r="F23" s="161">
        <v>15</v>
      </c>
    </row>
    <row r="24" spans="1:6" x14ac:dyDescent="0.25">
      <c r="D24" s="167" t="s">
        <v>9</v>
      </c>
      <c r="F24" s="161">
        <f>SUM(F11:F23)</f>
        <v>209</v>
      </c>
    </row>
    <row r="25" spans="1:6" ht="45.75" customHeight="1" x14ac:dyDescent="0.25">
      <c r="A25" s="244" t="s">
        <v>677</v>
      </c>
      <c r="B25" s="245"/>
      <c r="C25" s="245"/>
      <c r="D25" s="245"/>
      <c r="E25" s="245"/>
    </row>
  </sheetData>
  <mergeCells count="1">
    <mergeCell ref="A25:E2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>
      <selection activeCell="H5" sqref="H5"/>
    </sheetView>
  </sheetViews>
  <sheetFormatPr defaultRowHeight="15" x14ac:dyDescent="0.25"/>
  <cols>
    <col min="1" max="1" width="32.5703125" style="161" customWidth="1"/>
    <col min="2" max="2" width="17.140625" style="161" hidden="1" customWidth="1"/>
    <col min="3" max="3" width="19.28515625" style="161" hidden="1" customWidth="1"/>
    <col min="4" max="5" width="16.85546875" style="161" hidden="1" customWidth="1"/>
    <col min="6" max="6" width="17.42578125" style="161" customWidth="1"/>
    <col min="7" max="7" width="16" style="161" customWidth="1"/>
    <col min="8" max="8" width="11" style="161" customWidth="1"/>
    <col min="9" max="9" width="17.28515625" style="161" customWidth="1"/>
    <col min="10" max="10" width="25.28515625" style="161" customWidth="1"/>
    <col min="11" max="12" width="24" style="161" customWidth="1"/>
    <col min="13" max="13" width="24.28515625" style="161" customWidth="1"/>
    <col min="14" max="16384" width="9.140625" style="161"/>
  </cols>
  <sheetData>
    <row r="2" spans="1:13" s="157" customFormat="1" ht="38.25" x14ac:dyDescent="0.2">
      <c r="A2" s="153" t="s">
        <v>569</v>
      </c>
      <c r="B2" s="154" t="s">
        <v>649</v>
      </c>
      <c r="C2" s="154" t="s">
        <v>650</v>
      </c>
      <c r="D2" s="154" t="s">
        <v>651</v>
      </c>
      <c r="E2" s="154" t="s">
        <v>652</v>
      </c>
      <c r="F2" s="155" t="s">
        <v>649</v>
      </c>
      <c r="G2" s="155" t="s">
        <v>650</v>
      </c>
      <c r="H2" s="155" t="s">
        <v>651</v>
      </c>
      <c r="I2" s="155" t="s">
        <v>653</v>
      </c>
      <c r="J2" s="156" t="s">
        <v>654</v>
      </c>
      <c r="K2" s="156" t="s">
        <v>655</v>
      </c>
      <c r="L2" s="156" t="s">
        <v>656</v>
      </c>
      <c r="M2" s="156" t="s">
        <v>657</v>
      </c>
    </row>
    <row r="3" spans="1:13" ht="25.5" x14ac:dyDescent="0.25">
      <c r="A3" s="158" t="s">
        <v>622</v>
      </c>
      <c r="B3" s="159">
        <v>619</v>
      </c>
      <c r="C3" s="159">
        <v>564</v>
      </c>
      <c r="D3" s="159">
        <v>6</v>
      </c>
      <c r="E3" s="159">
        <f>(B3*D3)*245</f>
        <v>909930</v>
      </c>
      <c r="F3" s="160">
        <v>619</v>
      </c>
      <c r="G3" s="160">
        <v>564</v>
      </c>
      <c r="H3" s="160">
        <v>8</v>
      </c>
      <c r="I3" s="160">
        <f>(F3*H3)*250</f>
        <v>1238000</v>
      </c>
    </row>
    <row r="4" spans="1:13" ht="38.25" x14ac:dyDescent="0.25">
      <c r="A4" s="158" t="s">
        <v>623</v>
      </c>
      <c r="B4" s="159">
        <v>58</v>
      </c>
      <c r="C4" s="159">
        <v>46</v>
      </c>
      <c r="D4" s="159">
        <v>480</v>
      </c>
      <c r="E4" s="159">
        <f>B4*D4*12</f>
        <v>334080</v>
      </c>
      <c r="F4" s="160">
        <v>58</v>
      </c>
      <c r="G4" s="160">
        <v>46</v>
      </c>
      <c r="H4" s="160">
        <f>21*25</f>
        <v>525</v>
      </c>
      <c r="I4" s="160">
        <f>F4*H4*12</f>
        <v>365400</v>
      </c>
    </row>
    <row r="5" spans="1:13" x14ac:dyDescent="0.25">
      <c r="A5" s="158" t="s">
        <v>658</v>
      </c>
      <c r="B5" s="159">
        <v>1628</v>
      </c>
      <c r="C5" s="159">
        <v>1847</v>
      </c>
      <c r="D5" s="159">
        <v>290</v>
      </c>
      <c r="E5" s="159">
        <f>B5*D5*12</f>
        <v>5665440</v>
      </c>
      <c r="F5" s="160">
        <v>1840</v>
      </c>
      <c r="G5" s="160">
        <v>1847</v>
      </c>
      <c r="H5" s="160">
        <f>21*16</f>
        <v>336</v>
      </c>
      <c r="I5" s="160">
        <f>F5*H5*12</f>
        <v>7418880</v>
      </c>
    </row>
    <row r="6" spans="1:13" ht="15.75" x14ac:dyDescent="0.25">
      <c r="A6" s="162" t="s">
        <v>9</v>
      </c>
      <c r="B6" s="159">
        <f>SUM(B3:B5)</f>
        <v>2305</v>
      </c>
      <c r="C6" s="159">
        <f>SUM(C3:C5)</f>
        <v>2457</v>
      </c>
      <c r="D6" s="159"/>
      <c r="E6" s="163">
        <f t="shared" ref="E6" si="0">SUM(E3:E5)</f>
        <v>6909450</v>
      </c>
      <c r="F6" s="164">
        <f>SUM(F3:F5)</f>
        <v>2517</v>
      </c>
      <c r="G6" s="160">
        <f>SUM(G3:G5)</f>
        <v>2457</v>
      </c>
      <c r="H6" s="160"/>
      <c r="I6" s="164">
        <f t="shared" ref="I6" si="1">SUM(I3:I5)</f>
        <v>9022280</v>
      </c>
      <c r="J6" s="217">
        <f>(I6*70)/100</f>
        <v>6315596</v>
      </c>
      <c r="K6" s="165">
        <f>(I6*75)/100</f>
        <v>6766710</v>
      </c>
      <c r="L6" s="165">
        <f>(I6*80)/100</f>
        <v>7217824</v>
      </c>
      <c r="M6" s="165">
        <f>(I6*85)/100</f>
        <v>7668938</v>
      </c>
    </row>
    <row r="7" spans="1:13" x14ac:dyDescent="0.25">
      <c r="B7" s="161">
        <v>209</v>
      </c>
      <c r="F7" s="216">
        <f>F5-154</f>
        <v>1686</v>
      </c>
      <c r="G7" s="161">
        <v>61</v>
      </c>
    </row>
    <row r="8" spans="1:13" x14ac:dyDescent="0.25">
      <c r="B8" s="161">
        <v>61</v>
      </c>
      <c r="G8" s="161">
        <v>46</v>
      </c>
      <c r="H8" s="220" t="s">
        <v>726</v>
      </c>
    </row>
    <row r="10" spans="1:13" x14ac:dyDescent="0.25">
      <c r="A10" s="166" t="s">
        <v>659</v>
      </c>
      <c r="D10" s="166"/>
    </row>
    <row r="11" spans="1:13" x14ac:dyDescent="0.25">
      <c r="A11" s="161" t="s">
        <v>661</v>
      </c>
      <c r="B11" s="161">
        <v>16</v>
      </c>
    </row>
    <row r="12" spans="1:13" x14ac:dyDescent="0.25">
      <c r="A12" s="161" t="s">
        <v>664</v>
      </c>
      <c r="B12" s="161">
        <v>20</v>
      </c>
    </row>
    <row r="13" spans="1:13" x14ac:dyDescent="0.25">
      <c r="A13" s="161" t="s">
        <v>666</v>
      </c>
      <c r="B13" s="161">
        <v>10</v>
      </c>
    </row>
    <row r="14" spans="1:13" x14ac:dyDescent="0.25">
      <c r="A14" s="161" t="s">
        <v>668</v>
      </c>
      <c r="B14" s="161">
        <v>15</v>
      </c>
    </row>
    <row r="15" spans="1:13" x14ac:dyDescent="0.25">
      <c r="A15" s="161" t="s">
        <v>9</v>
      </c>
      <c r="B15" s="166">
        <f>B11+B12+B13+B14</f>
        <v>61</v>
      </c>
    </row>
    <row r="16" spans="1:13" x14ac:dyDescent="0.25">
      <c r="A16" s="220" t="s">
        <v>720</v>
      </c>
    </row>
    <row r="17" spans="1:7" x14ac:dyDescent="0.25">
      <c r="A17" s="221" t="s">
        <v>724</v>
      </c>
      <c r="B17" s="222">
        <v>11</v>
      </c>
      <c r="D17" s="167"/>
    </row>
    <row r="18" spans="1:7" x14ac:dyDescent="0.25">
      <c r="A18" s="221" t="s">
        <v>725</v>
      </c>
      <c r="B18" s="222">
        <v>20</v>
      </c>
      <c r="D18" s="167"/>
    </row>
    <row r="19" spans="1:7" x14ac:dyDescent="0.25">
      <c r="A19" s="221" t="s">
        <v>721</v>
      </c>
      <c r="B19" s="222">
        <v>15</v>
      </c>
      <c r="D19" s="167"/>
    </row>
    <row r="20" spans="1:7" x14ac:dyDescent="0.25">
      <c r="A20" s="166" t="s">
        <v>722</v>
      </c>
      <c r="D20" s="167"/>
    </row>
    <row r="21" spans="1:7" x14ac:dyDescent="0.25">
      <c r="D21" s="167"/>
    </row>
    <row r="22" spans="1:7" x14ac:dyDescent="0.25">
      <c r="D22" s="167"/>
    </row>
    <row r="23" spans="1:7" x14ac:dyDescent="0.25">
      <c r="D23" s="167"/>
    </row>
    <row r="24" spans="1:7" x14ac:dyDescent="0.25">
      <c r="D24" s="167"/>
    </row>
    <row r="25" spans="1:7" ht="76.5" customHeight="1" x14ac:dyDescent="0.25">
      <c r="A25" s="246" t="s">
        <v>677</v>
      </c>
      <c r="B25" s="247"/>
      <c r="C25" s="247"/>
      <c r="D25" s="247"/>
      <c r="E25" s="247"/>
      <c r="F25" s="247"/>
      <c r="G25" s="247"/>
    </row>
  </sheetData>
  <mergeCells count="1">
    <mergeCell ref="A25:G2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63"/>
  <sheetViews>
    <sheetView topLeftCell="A39" workbookViewId="0">
      <selection activeCell="C60" sqref="C60"/>
    </sheetView>
  </sheetViews>
  <sheetFormatPr defaultRowHeight="15" x14ac:dyDescent="0.25"/>
  <cols>
    <col min="2" max="2" width="85.5703125" customWidth="1"/>
    <col min="3" max="3" width="17.5703125" customWidth="1"/>
    <col min="4" max="4" width="19" customWidth="1"/>
    <col min="9" max="9" width="20" customWidth="1"/>
    <col min="10" max="10" width="9.140625" hidden="1" customWidth="1"/>
  </cols>
  <sheetData>
    <row r="4" spans="2:3" ht="15.75" x14ac:dyDescent="0.25">
      <c r="B4" s="196" t="s">
        <v>487</v>
      </c>
      <c r="C4" s="206" t="s">
        <v>566</v>
      </c>
    </row>
    <row r="5" spans="2:3" x14ac:dyDescent="0.25">
      <c r="B5" s="129" t="s">
        <v>490</v>
      </c>
      <c r="C5" s="133"/>
    </row>
    <row r="6" spans="2:3" x14ac:dyDescent="0.25">
      <c r="B6" s="199" t="s">
        <v>488</v>
      </c>
      <c r="C6" s="133">
        <v>720</v>
      </c>
    </row>
    <row r="7" spans="2:3" x14ac:dyDescent="0.25">
      <c r="B7" s="199" t="s">
        <v>484</v>
      </c>
      <c r="C7" s="133">
        <v>500</v>
      </c>
    </row>
    <row r="8" spans="2:3" x14ac:dyDescent="0.25">
      <c r="B8" s="199" t="s">
        <v>489</v>
      </c>
      <c r="C8" s="129">
        <f>C6*C7</f>
        <v>360000</v>
      </c>
    </row>
    <row r="9" spans="2:3" x14ac:dyDescent="0.25">
      <c r="B9" s="196" t="s">
        <v>491</v>
      </c>
      <c r="C9" s="133"/>
    </row>
    <row r="10" spans="2:3" x14ac:dyDescent="0.25">
      <c r="B10" s="199" t="s">
        <v>488</v>
      </c>
      <c r="C10" s="133">
        <v>4785</v>
      </c>
    </row>
    <row r="11" spans="2:3" x14ac:dyDescent="0.25">
      <c r="B11" s="199" t="s">
        <v>484</v>
      </c>
      <c r="C11" s="133">
        <v>120</v>
      </c>
    </row>
    <row r="12" spans="2:3" x14ac:dyDescent="0.25">
      <c r="B12" s="199" t="s">
        <v>489</v>
      </c>
      <c r="C12" s="129">
        <f>C10*C11</f>
        <v>574200</v>
      </c>
    </row>
    <row r="13" spans="2:3" hidden="1" x14ac:dyDescent="0.25">
      <c r="B13" s="196" t="s">
        <v>492</v>
      </c>
      <c r="C13" s="133"/>
    </row>
    <row r="14" spans="2:3" hidden="1" x14ac:dyDescent="0.25">
      <c r="B14" s="201" t="s">
        <v>494</v>
      </c>
      <c r="C14" s="133"/>
    </row>
    <row r="15" spans="2:3" hidden="1" x14ac:dyDescent="0.25">
      <c r="B15" s="199" t="s">
        <v>493</v>
      </c>
      <c r="C15" s="133"/>
    </row>
    <row r="16" spans="2:3" hidden="1" x14ac:dyDescent="0.25">
      <c r="B16" s="199" t="s">
        <v>484</v>
      </c>
      <c r="C16" s="133"/>
    </row>
    <row r="17" spans="2:3" hidden="1" x14ac:dyDescent="0.25">
      <c r="B17" s="199" t="s">
        <v>489</v>
      </c>
      <c r="C17" s="133"/>
    </row>
    <row r="18" spans="2:3" hidden="1" x14ac:dyDescent="0.25">
      <c r="B18" s="202" t="s">
        <v>495</v>
      </c>
      <c r="C18" s="133"/>
    </row>
    <row r="19" spans="2:3" hidden="1" x14ac:dyDescent="0.25">
      <c r="B19" s="199" t="s">
        <v>493</v>
      </c>
      <c r="C19" s="133"/>
    </row>
    <row r="20" spans="2:3" hidden="1" x14ac:dyDescent="0.25">
      <c r="B20" s="199" t="s">
        <v>484</v>
      </c>
      <c r="C20" s="133"/>
    </row>
    <row r="21" spans="2:3" hidden="1" x14ac:dyDescent="0.25">
      <c r="B21" s="199" t="s">
        <v>489</v>
      </c>
      <c r="C21" s="133"/>
    </row>
    <row r="22" spans="2:3" hidden="1" x14ac:dyDescent="0.25">
      <c r="B22" s="201" t="s">
        <v>496</v>
      </c>
      <c r="C22" s="133"/>
    </row>
    <row r="23" spans="2:3" hidden="1" x14ac:dyDescent="0.25">
      <c r="B23" s="199" t="s">
        <v>493</v>
      </c>
      <c r="C23" s="133"/>
    </row>
    <row r="24" spans="2:3" hidden="1" x14ac:dyDescent="0.25">
      <c r="B24" s="199" t="s">
        <v>484</v>
      </c>
      <c r="C24" s="133"/>
    </row>
    <row r="25" spans="2:3" hidden="1" x14ac:dyDescent="0.25">
      <c r="B25" s="199" t="s">
        <v>489</v>
      </c>
      <c r="C25" s="133"/>
    </row>
    <row r="26" spans="2:3" hidden="1" x14ac:dyDescent="0.25">
      <c r="B26" s="196" t="s">
        <v>497</v>
      </c>
      <c r="C26" s="133"/>
    </row>
    <row r="27" spans="2:3" hidden="1" x14ac:dyDescent="0.25">
      <c r="B27" s="199" t="s">
        <v>493</v>
      </c>
      <c r="C27" s="133"/>
    </row>
    <row r="28" spans="2:3" hidden="1" x14ac:dyDescent="0.25">
      <c r="B28" s="199" t="s">
        <v>484</v>
      </c>
      <c r="C28" s="133"/>
    </row>
    <row r="29" spans="2:3" hidden="1" x14ac:dyDescent="0.25">
      <c r="B29" s="199" t="s">
        <v>489</v>
      </c>
      <c r="C29" s="133"/>
    </row>
    <row r="30" spans="2:3" s="207" customFormat="1" ht="15.75" x14ac:dyDescent="0.25">
      <c r="B30" s="208" t="s">
        <v>717</v>
      </c>
      <c r="C30" s="209">
        <f>C8+C12</f>
        <v>934200</v>
      </c>
    </row>
    <row r="31" spans="2:3" x14ac:dyDescent="0.25">
      <c r="B31" s="201" t="s">
        <v>499</v>
      </c>
      <c r="C31" s="133"/>
    </row>
    <row r="32" spans="2:3" x14ac:dyDescent="0.25">
      <c r="B32" s="199" t="s">
        <v>493</v>
      </c>
      <c r="C32" s="133">
        <v>270</v>
      </c>
    </row>
    <row r="33" spans="2:4" x14ac:dyDescent="0.25">
      <c r="B33" s="199" t="s">
        <v>484</v>
      </c>
      <c r="C33" s="133">
        <v>1400</v>
      </c>
    </row>
    <row r="34" spans="2:4" x14ac:dyDescent="0.25">
      <c r="B34" s="199" t="s">
        <v>489</v>
      </c>
      <c r="C34" s="129">
        <f>C32*C33</f>
        <v>378000</v>
      </c>
    </row>
    <row r="35" spans="2:4" x14ac:dyDescent="0.25">
      <c r="B35" s="201" t="s">
        <v>500</v>
      </c>
      <c r="C35" s="133"/>
    </row>
    <row r="36" spans="2:4" x14ac:dyDescent="0.25">
      <c r="B36" s="199" t="s">
        <v>505</v>
      </c>
      <c r="C36" s="133">
        <v>300</v>
      </c>
    </row>
    <row r="37" spans="2:4" x14ac:dyDescent="0.25">
      <c r="B37" s="199" t="s">
        <v>484</v>
      </c>
      <c r="C37" s="133">
        <v>20</v>
      </c>
    </row>
    <row r="38" spans="2:4" x14ac:dyDescent="0.25">
      <c r="B38" s="199" t="s">
        <v>489</v>
      </c>
      <c r="C38" s="129">
        <f>C36*C37</f>
        <v>6000</v>
      </c>
    </row>
    <row r="39" spans="2:4" x14ac:dyDescent="0.25">
      <c r="B39" s="201" t="s">
        <v>501</v>
      </c>
      <c r="C39" s="133"/>
    </row>
    <row r="40" spans="2:4" x14ac:dyDescent="0.25">
      <c r="B40" s="199" t="s">
        <v>505</v>
      </c>
      <c r="C40" s="133">
        <v>39500</v>
      </c>
    </row>
    <row r="41" spans="2:4" x14ac:dyDescent="0.25">
      <c r="B41" s="199" t="s">
        <v>484</v>
      </c>
      <c r="C41" s="133">
        <v>30</v>
      </c>
    </row>
    <row r="42" spans="2:4" x14ac:dyDescent="0.25">
      <c r="B42" s="199" t="s">
        <v>502</v>
      </c>
      <c r="C42" s="133">
        <v>4500</v>
      </c>
    </row>
    <row r="43" spans="2:4" x14ac:dyDescent="0.25">
      <c r="B43" s="199" t="s">
        <v>503</v>
      </c>
      <c r="C43" s="133">
        <v>3000</v>
      </c>
    </row>
    <row r="44" spans="2:4" x14ac:dyDescent="0.25">
      <c r="B44" s="199" t="s">
        <v>732</v>
      </c>
      <c r="C44" s="198">
        <f>(C42+C43)/2</f>
        <v>3750</v>
      </c>
    </row>
    <row r="45" spans="2:4" x14ac:dyDescent="0.25">
      <c r="B45" s="199" t="s">
        <v>567</v>
      </c>
      <c r="C45" s="198">
        <v>155</v>
      </c>
    </row>
    <row r="46" spans="2:4" x14ac:dyDescent="0.25">
      <c r="B46" s="199" t="s">
        <v>504</v>
      </c>
      <c r="C46" s="200">
        <f>(C40*C41)+(C42+C43)*10+(C45*C44)</f>
        <v>1841250</v>
      </c>
      <c r="D46" s="256"/>
    </row>
    <row r="47" spans="2:4" s="128" customFormat="1" ht="18.75" x14ac:dyDescent="0.3">
      <c r="B47" s="203" t="s">
        <v>568</v>
      </c>
      <c r="C47" s="204"/>
    </row>
    <row r="48" spans="2:4" x14ac:dyDescent="0.25">
      <c r="B48" s="199" t="s">
        <v>493</v>
      </c>
      <c r="C48" s="133">
        <v>2900</v>
      </c>
    </row>
    <row r="49" spans="2:4" x14ac:dyDescent="0.25">
      <c r="B49" s="199" t="s">
        <v>484</v>
      </c>
      <c r="C49" s="133">
        <v>920</v>
      </c>
    </row>
    <row r="50" spans="2:4" x14ac:dyDescent="0.25">
      <c r="B50" s="199" t="s">
        <v>489</v>
      </c>
      <c r="C50" s="133">
        <f>C48*C49</f>
        <v>2668000</v>
      </c>
    </row>
    <row r="51" spans="2:4" ht="18.75" x14ac:dyDescent="0.3">
      <c r="B51" s="205" t="s">
        <v>498</v>
      </c>
      <c r="C51" s="133">
        <f>C8+C12+C34+C38+C46+C50</f>
        <v>5827450</v>
      </c>
    </row>
    <row r="57" spans="2:4" ht="15.75" x14ac:dyDescent="0.25">
      <c r="B57" s="195" t="s">
        <v>733</v>
      </c>
      <c r="C57" s="195">
        <f>C30</f>
        <v>934200</v>
      </c>
    </row>
    <row r="58" spans="2:4" ht="15.75" x14ac:dyDescent="0.25">
      <c r="B58" s="195" t="s">
        <v>711</v>
      </c>
      <c r="C58" s="195">
        <f>C34</f>
        <v>378000</v>
      </c>
    </row>
    <row r="59" spans="2:4" ht="15.75" x14ac:dyDescent="0.25">
      <c r="B59" s="195" t="s">
        <v>712</v>
      </c>
      <c r="C59" s="195">
        <f>C38</f>
        <v>6000</v>
      </c>
    </row>
    <row r="60" spans="2:4" ht="15.75" x14ac:dyDescent="0.25">
      <c r="B60" s="195" t="s">
        <v>713</v>
      </c>
      <c r="C60" s="195">
        <f>C46</f>
        <v>1841250</v>
      </c>
    </row>
    <row r="61" spans="2:4" s="219" customFormat="1" ht="15.75" x14ac:dyDescent="0.25">
      <c r="B61" s="218" t="s">
        <v>714</v>
      </c>
      <c r="C61" s="218">
        <f>C50+C62</f>
        <v>2682000</v>
      </c>
    </row>
    <row r="62" spans="2:4" ht="15.75" x14ac:dyDescent="0.25">
      <c r="B62" s="195" t="s">
        <v>716</v>
      </c>
      <c r="C62" s="195">
        <v>14000</v>
      </c>
    </row>
    <row r="63" spans="2:4" ht="15.75" x14ac:dyDescent="0.25">
      <c r="B63" s="195" t="s">
        <v>715</v>
      </c>
      <c r="C63" s="195">
        <f>SUM(C57:C62)</f>
        <v>5855450</v>
      </c>
      <c r="D63" s="2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დანართი N3.2</vt:lpstr>
      <vt:lpstr>რეაბილიტაცია_ბავშვზე ზრუნვა</vt:lpstr>
      <vt:lpstr>კრიზისული_ბავშვის კვება </vt:lpstr>
      <vt:lpstr>ადრეული განვითარება </vt:lpstr>
      <vt:lpstr>აბილიტაცია_რეაბილიტაცია</vt:lpstr>
      <vt:lpstr>ომის მონაწილეთა ქვეპროგრამა</vt:lpstr>
      <vt:lpstr>დღის ცენტრების </vt:lpstr>
      <vt:lpstr>დღის ცენტრების ახალი</vt:lpstr>
      <vt:lpstr>დამხმარე საშუალებები</vt:lpstr>
      <vt:lpstr>დედათა და ბავშვთა თავშესაფარი</vt:lpstr>
      <vt:lpstr>მინდობით აღზრდა </vt:lpstr>
      <vt:lpstr>მცირე საოჯახო ტიპის სახლი</vt:lpstr>
      <vt:lpstr>მიუსაფარ ბავშვთა</vt:lpstr>
      <vt:lpstr>სათემო ორგანიზაციები</vt:lpstr>
      <vt:lpstr>მძიმე და ღრმა</vt:lpstr>
      <vt:lpstr>'დანართი N3.2'!Print_Area</vt:lpstr>
      <vt:lpstr>'რეაბილიტაცია_ბავშვზე ზრუნვა'!Print_Area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Tea Gvaramadze</cp:lastModifiedBy>
  <cp:lastPrinted>2019-06-20T12:42:27Z</cp:lastPrinted>
  <dcterms:created xsi:type="dcterms:W3CDTF">2015-11-13T09:57:34Z</dcterms:created>
  <dcterms:modified xsi:type="dcterms:W3CDTF">2019-12-18T08:18:06Z</dcterms:modified>
</cp:coreProperties>
</file>