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580" tabRatio="885"/>
  </bookViews>
  <sheets>
    <sheet name="ბიუჯეტ. სოფ- 2019 20.09.19" sheetId="30" r:id="rId1"/>
    <sheet name="ბიუჯეტ. სოფ- 2019" sheetId="27" r:id="rId2"/>
    <sheet name="ssa - 8 პოზიცია" sheetId="23" r:id="rId3"/>
    <sheet name="გაწ.-მოს.ხარჯ ssa" sheetId="1" r:id="rId4"/>
    <sheet name="გადაუდ.ცენტრი" sheetId="22" r:id="rId5"/>
    <sheet name="1. სოფლ.ექ" sheetId="12" r:id="rId6"/>
    <sheet name="2.შ.ქართლი" sheetId="19" r:id="rId7"/>
    <sheet name="3.სპეც" sheetId="10" r:id="rId8"/>
    <sheet name="4. ხელშეწყ" sheetId="18" r:id="rId9"/>
  </sheets>
  <externalReferences>
    <externalReference r:id="rId10"/>
    <externalReference r:id="rId11"/>
  </externalReferences>
  <definedNames>
    <definedName name="_xlnm._FilterDatabase" localSheetId="3" hidden="1">'გაწ.-მოს.ხარჯ ssa'!$A$2:$V$7</definedName>
  </definedNames>
  <calcPr calcId="162913"/>
</workbook>
</file>

<file path=xl/calcChain.xml><?xml version="1.0" encoding="utf-8"?>
<calcChain xmlns="http://schemas.openxmlformats.org/spreadsheetml/2006/main">
  <c r="F32" i="30" l="1"/>
  <c r="G32" i="30" s="1"/>
  <c r="F40" i="30"/>
  <c r="F39" i="30"/>
  <c r="C38" i="30"/>
  <c r="C46" i="30" s="1"/>
  <c r="D38" i="30"/>
  <c r="F31" i="30"/>
  <c r="F34" i="30"/>
  <c r="F33" i="30"/>
  <c r="G33" i="30" s="1"/>
  <c r="G34" i="30"/>
  <c r="E30" i="30"/>
  <c r="G39" i="30"/>
  <c r="C30" i="30"/>
  <c r="C45" i="30" s="1"/>
  <c r="E14" i="22"/>
  <c r="M15" i="30"/>
  <c r="G21" i="22"/>
  <c r="G20" i="22"/>
  <c r="G19" i="22"/>
  <c r="M14" i="30"/>
  <c r="M9" i="30"/>
  <c r="E13" i="22"/>
  <c r="E21" i="30"/>
  <c r="D21" i="30"/>
  <c r="D19" i="30"/>
  <c r="E20" i="30"/>
  <c r="D20" i="30"/>
  <c r="E19" i="30"/>
  <c r="E17" i="30"/>
  <c r="F17" i="30" s="1"/>
  <c r="H8" i="22"/>
  <c r="H7" i="22"/>
  <c r="H6" i="22"/>
  <c r="H5" i="22"/>
  <c r="H4" i="22"/>
  <c r="E18" i="30"/>
  <c r="D18" i="30"/>
  <c r="E8" i="30"/>
  <c r="D8" i="30"/>
  <c r="F16" i="30"/>
  <c r="F15" i="30"/>
  <c r="F14" i="30"/>
  <c r="D13" i="30"/>
  <c r="F13" i="30" s="1"/>
  <c r="D12" i="30"/>
  <c r="F12" i="30" s="1"/>
  <c r="F11" i="30"/>
  <c r="F10" i="30"/>
  <c r="D9" i="30"/>
  <c r="F9" i="30" s="1"/>
  <c r="L6" i="30"/>
  <c r="N5" i="30"/>
  <c r="O5" i="30" s="1"/>
  <c r="K4" i="30"/>
  <c r="C4" i="30"/>
  <c r="M6" i="30" l="1"/>
  <c r="F20" i="30"/>
  <c r="G20" i="30" s="1"/>
  <c r="E7" i="30"/>
  <c r="E4" i="30" s="1"/>
  <c r="F18" i="30"/>
  <c r="F8" i="30"/>
  <c r="D7" i="30"/>
  <c r="D4" i="30" s="1"/>
  <c r="G40" i="30"/>
  <c r="E38" i="30"/>
  <c r="C47" i="30"/>
  <c r="D30" i="30"/>
  <c r="M4" i="30"/>
  <c r="F21" i="30"/>
  <c r="G21" i="30" s="1"/>
  <c r="F19" i="30"/>
  <c r="G19" i="30" s="1"/>
  <c r="N6" i="30"/>
  <c r="L4" i="30"/>
  <c r="F7" i="30" l="1"/>
  <c r="F38" i="30"/>
  <c r="D46" i="30" s="1"/>
  <c r="E46" i="30" s="1"/>
  <c r="F4" i="30"/>
  <c r="G4" i="30" s="1"/>
  <c r="G7" i="30"/>
  <c r="F30" i="30"/>
  <c r="G31" i="30"/>
  <c r="N4" i="30"/>
  <c r="O6" i="30"/>
  <c r="G38" i="30" l="1"/>
  <c r="D45" i="30"/>
  <c r="G30" i="30"/>
  <c r="O4" i="30"/>
  <c r="F14" i="22"/>
  <c r="D47" i="30" l="1"/>
  <c r="E47" i="30" s="1"/>
  <c r="E45" i="30"/>
  <c r="M9" i="27"/>
  <c r="F4" i="27"/>
  <c r="D26" i="27"/>
  <c r="D9" i="27"/>
  <c r="F9" i="27" s="1"/>
  <c r="E21" i="27"/>
  <c r="D21" i="27"/>
  <c r="F21" i="27" s="1"/>
  <c r="G21" i="27" s="1"/>
  <c r="E20" i="27"/>
  <c r="D20" i="27"/>
  <c r="F20" i="27" s="1"/>
  <c r="G20" i="27" s="1"/>
  <c r="E19" i="27"/>
  <c r="D19" i="27"/>
  <c r="F19" i="27" s="1"/>
  <c r="G19" i="27" s="1"/>
  <c r="E18" i="27"/>
  <c r="E7" i="27" s="1"/>
  <c r="E4" i="27" s="1"/>
  <c r="D18" i="27"/>
  <c r="F18" i="27" s="1"/>
  <c r="F17" i="27"/>
  <c r="E17" i="27"/>
  <c r="F16" i="27"/>
  <c r="M15" i="27"/>
  <c r="F15" i="27"/>
  <c r="M14" i="27"/>
  <c r="F14" i="27"/>
  <c r="F13" i="27"/>
  <c r="D13" i="27"/>
  <c r="D12" i="27"/>
  <c r="F12" i="27" s="1"/>
  <c r="F11" i="27"/>
  <c r="F10" i="27"/>
  <c r="F8" i="27"/>
  <c r="E8" i="27"/>
  <c r="D8" i="27"/>
  <c r="L6" i="27"/>
  <c r="N5" i="27"/>
  <c r="L4" i="27"/>
  <c r="K4" i="27"/>
  <c r="C27" i="27" s="1"/>
  <c r="C4" i="27"/>
  <c r="C26" i="27" s="1"/>
  <c r="M6" i="27" l="1"/>
  <c r="C28" i="27"/>
  <c r="N6" i="27"/>
  <c r="O6" i="27" s="1"/>
  <c r="M4" i="27"/>
  <c r="F7" i="27"/>
  <c r="O5" i="27"/>
  <c r="D7" i="27"/>
  <c r="D4" i="27" s="1"/>
  <c r="G5" i="23"/>
  <c r="G7" i="27" l="1"/>
  <c r="N4" i="27"/>
  <c r="D27" i="27" l="1"/>
  <c r="E27" i="27" s="1"/>
  <c r="O4" i="27"/>
  <c r="G4" i="27"/>
  <c r="G9" i="23"/>
  <c r="G8" i="23"/>
  <c r="G7" i="23"/>
  <c r="G6" i="23"/>
  <c r="G4" i="23"/>
  <c r="G3" i="23"/>
  <c r="G2" i="23"/>
  <c r="J9" i="23"/>
  <c r="D28" i="27" l="1"/>
  <c r="E28" i="27" s="1"/>
  <c r="E26" i="27"/>
  <c r="K9" i="23"/>
  <c r="K7" i="23"/>
  <c r="J7" i="23"/>
  <c r="K6" i="23"/>
  <c r="J6" i="23"/>
  <c r="K5" i="23"/>
  <c r="J5" i="23"/>
  <c r="K4" i="23"/>
  <c r="J4" i="23"/>
  <c r="K3" i="23"/>
  <c r="J3" i="23"/>
  <c r="K2" i="23"/>
  <c r="J2" i="23"/>
  <c r="J10" i="23" l="1"/>
  <c r="G74" i="12"/>
  <c r="E8" i="12"/>
  <c r="F8" i="12"/>
  <c r="E12" i="12"/>
  <c r="F12" i="12"/>
  <c r="E24" i="12"/>
  <c r="F24" i="12"/>
  <c r="E29" i="12"/>
  <c r="F29" i="12"/>
  <c r="E38" i="12"/>
  <c r="F38" i="12"/>
  <c r="E43" i="12"/>
  <c r="F43" i="12"/>
  <c r="E48" i="12"/>
  <c r="F48" i="12"/>
  <c r="E57" i="12"/>
  <c r="F57" i="12"/>
  <c r="E64" i="12"/>
  <c r="F64" i="12"/>
  <c r="E71" i="12"/>
  <c r="F71" i="12"/>
  <c r="E72" i="12"/>
  <c r="E74" i="12" s="1"/>
  <c r="F72" i="12"/>
  <c r="F74" i="12" s="1"/>
  <c r="G14" i="22"/>
  <c r="E25" i="22"/>
  <c r="F21" i="22"/>
  <c r="D20" i="22"/>
  <c r="E20" i="22" s="1"/>
  <c r="D19" i="22"/>
  <c r="E19" i="22" s="1"/>
  <c r="H13" i="22"/>
  <c r="G13" i="22"/>
  <c r="G15" i="22" s="1"/>
  <c r="E8" i="22"/>
  <c r="G7" i="22"/>
  <c r="F7" i="22"/>
  <c r="E7" i="22"/>
  <c r="E6" i="22"/>
  <c r="G6" i="22" s="1"/>
  <c r="E5" i="22"/>
  <c r="G5" i="22" s="1"/>
  <c r="G4" i="22"/>
  <c r="E4" i="22"/>
  <c r="F4" i="22" s="1"/>
  <c r="F19" i="22" l="1"/>
  <c r="F22" i="22" s="1"/>
  <c r="F20" i="22"/>
  <c r="G8" i="22"/>
  <c r="F6" i="22"/>
  <c r="F5" i="22"/>
  <c r="F8" i="22" s="1"/>
  <c r="F13" i="22"/>
  <c r="G22" i="22" l="1"/>
  <c r="F15" i="22"/>
  <c r="G29" i="22" l="1"/>
  <c r="F29" i="22"/>
  <c r="C42" i="10" l="1"/>
  <c r="C25" i="19"/>
  <c r="E29" i="19"/>
  <c r="F29" i="19" s="1"/>
  <c r="E30" i="19"/>
  <c r="F30" i="19" s="1"/>
  <c r="F31" i="19" l="1"/>
  <c r="D20" i="18"/>
  <c r="F6" i="19" l="1"/>
  <c r="F5" i="19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18" i="18"/>
  <c r="D12" i="18"/>
  <c r="F16" i="19" l="1"/>
  <c r="F15" i="19"/>
  <c r="F14" i="19"/>
  <c r="F13" i="19"/>
  <c r="F12" i="19"/>
  <c r="F11" i="19"/>
  <c r="F10" i="19"/>
  <c r="F9" i="19"/>
  <c r="F8" i="19"/>
  <c r="F7" i="19"/>
  <c r="E18" i="19"/>
  <c r="D18" i="19"/>
  <c r="C18" i="19"/>
  <c r="F18" i="19" l="1"/>
  <c r="V4" i="1" l="1"/>
  <c r="H3" i="1"/>
  <c r="I3" i="1"/>
  <c r="E3" i="1" l="1"/>
  <c r="C41" i="10"/>
  <c r="I41" i="10"/>
  <c r="H41" i="10"/>
  <c r="G41" i="10"/>
  <c r="F41" i="10"/>
  <c r="E41" i="10"/>
  <c r="D41" i="10"/>
  <c r="N41" i="10"/>
  <c r="M41" i="10"/>
  <c r="L41" i="10"/>
  <c r="K41" i="10"/>
  <c r="J41" i="10"/>
  <c r="O41" i="10" l="1"/>
  <c r="B3" i="1"/>
  <c r="K3" i="1"/>
  <c r="V7" i="1"/>
  <c r="V5" i="1"/>
  <c r="V6" i="1"/>
  <c r="I37" i="10"/>
  <c r="I42" i="10" s="1"/>
  <c r="H37" i="10"/>
  <c r="H42" i="10" s="1"/>
  <c r="G37" i="10"/>
  <c r="G42" i="10" s="1"/>
  <c r="F37" i="10"/>
  <c r="F42" i="10" s="1"/>
  <c r="E37" i="10"/>
  <c r="E42" i="10" s="1"/>
  <c r="D37" i="10"/>
  <c r="D42" i="10" s="1"/>
  <c r="N33" i="10"/>
  <c r="N37" i="10" s="1"/>
  <c r="N42" i="10" s="1"/>
  <c r="M33" i="10"/>
  <c r="M37" i="10" s="1"/>
  <c r="M42" i="10" s="1"/>
  <c r="L37" i="10"/>
  <c r="K37" i="10"/>
  <c r="K42" i="10" s="1"/>
  <c r="J37" i="10"/>
  <c r="J42" i="10" s="1"/>
  <c r="C33" i="10"/>
  <c r="C37" i="10" s="1"/>
  <c r="L42" i="10" l="1"/>
  <c r="O37" i="10"/>
  <c r="O42" i="10" l="1"/>
  <c r="F3" i="1"/>
  <c r="G3" i="1"/>
  <c r="D3" i="1" l="1"/>
  <c r="C3" i="1"/>
  <c r="J3" i="1"/>
  <c r="L3" i="1"/>
  <c r="M3" i="1"/>
  <c r="N3" i="1"/>
  <c r="O3" i="1"/>
  <c r="P3" i="1"/>
  <c r="Q3" i="1"/>
  <c r="R3" i="1"/>
  <c r="S3" i="1"/>
  <c r="T3" i="1"/>
  <c r="U3" i="1"/>
  <c r="V3" i="1" l="1"/>
</calcChain>
</file>

<file path=xl/comments1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სამეგრელოში </t>
        </r>
        <r>
          <rPr>
            <sz val="8"/>
            <color indexed="81"/>
            <rFont val="Tahoma"/>
            <family val="2"/>
          </rPr>
          <t>სრულდება შეტანა, უკვე შეტანილ საქონელზე მიმდინარეობს გადარიცხვის პროცედურები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ოქტომბრამდე საჭიროება არ იქნება, გარდა მოცემულისა შესასყიდია კიდევ 8 პოზიცია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დაწყებულია ბეჭდვა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ამ ეტაპზე დაკონტრაქტებულია 7 კოორდინატორი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მოსალოდნელი დაზუსტების ხარჯი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mgurabanidze:</t>
        </r>
        <r>
          <rPr>
            <sz val="9"/>
            <color indexed="81"/>
            <rFont val="Tahoma"/>
            <family val="2"/>
          </rPr>
          <t xml:space="preserve">
დაზუსტების ხარჯი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</commentList>
</comments>
</file>

<file path=xl/sharedStrings.xml><?xml version="1.0" encoding="utf-8"?>
<sst xmlns="http://schemas.openxmlformats.org/spreadsheetml/2006/main" count="442" uniqueCount="301">
  <si>
    <t>პროგრამის დასახელება</t>
  </si>
  <si>
    <t xml:space="preserve"> სოფლის ექიმი </t>
  </si>
  <si>
    <t xml:space="preserve"> 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 </t>
  </si>
  <si>
    <t xml:space="preserve"> შიდა ქართლის სოფლების ამბულატორიული ქსელის ხელშეწყობა და განვითარება </t>
  </si>
  <si>
    <t xml:space="preserve">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</si>
  <si>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სულ</t>
  </si>
  <si>
    <t>გაწეული/მოსალოდნელი ხარჯი</t>
  </si>
  <si>
    <t>გაწეული ხარჯი - საანგარიშგებო თვეების შესაბამისად</t>
  </si>
  <si>
    <t>დაწესებულება</t>
  </si>
  <si>
    <t>შპს „შიდა ქართლის პირველადი ჯანდაცვის ცენტრი“ (ტყვიავის საავადმყოფო)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</si>
  <si>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</si>
  <si>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>შპს „რეგიონული ჯანდაცვის ცენტრი“ (წალკის მუნიციპალიტეტი)</t>
  </si>
  <si>
    <t>შპს „რეგიონული ჯანდაცვის ცენტრი“ (ყაზბეგის მუნიციპალიტეტი)</t>
  </si>
  <si>
    <t>შპს „რეგიონული ჯანდაცვის ცენტრი“ (თიანეთის მუნიციპალიტეტი)</t>
  </si>
  <si>
    <t>შპს „რეგიონული ჯანდაცვის ცენტრი“ (დაბა ბაკურიანი)</t>
  </si>
  <si>
    <t>შპს „რეგიონული ჯანდაცვის ცენტრი“ (ამბროლაურის მუნიციპალიტეტი)</t>
  </si>
  <si>
    <t>შპს „რეგიონული ჯანდაცვის ცენტრი“ (ონის მუნიციპალიტეტი)</t>
  </si>
  <si>
    <t>შპს „რეგიონული ჯანდაცვის ცენტრი“ (ცაგერის მუნიციპალიტეტი)</t>
  </si>
  <si>
    <r>
      <t xml:space="preserve">სოფლის ექიმის ჩანთა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</si>
  <si>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დაუსრულებელი ხელშეკრულებებში გასახარჯი თანხა (მეორე ეტაპზე შესატანი საქონელი -</t>
    </r>
    <r>
      <rPr>
        <b/>
        <sz val="7"/>
        <color rgb="FFFF0000"/>
        <rFont val="Sylfaen"/>
        <family val="1"/>
      </rPr>
      <t>მოსალოდნელი ხარჯი)</t>
    </r>
  </si>
  <si>
    <r>
      <t xml:space="preserve">დოკუმენტაცია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</si>
  <si>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მზიურის, ბარღების, ოქუმის თანხა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</si>
  <si>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</si>
  <si>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ანაზღაურება- </t>
    </r>
    <r>
      <rPr>
        <b/>
        <sz val="7"/>
        <color rgb="FFFF0000"/>
        <rFont val="Sylfaen"/>
        <family val="1"/>
      </rPr>
      <t>გადარიცხული</t>
    </r>
  </si>
  <si>
    <t xml:space="preserve">თვის ბიუჯეტი (ლარებით) </t>
  </si>
  <si>
    <t>2019 -  29.03.19 N166</t>
  </si>
  <si>
    <t>ახალი ცვლილება</t>
  </si>
  <si>
    <t xml:space="preserve">№ </t>
  </si>
  <si>
    <t xml:space="preserve">დაწესებულება 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</si>
  <si>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</si>
  <si>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</si>
  <si>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</si>
  <si>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</si>
  <si>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</si>
  <si>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</si>
  <si>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</si>
  <si>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</si>
  <si>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</si>
  <si>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</si>
  <si>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</si>
  <si>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</si>
  <si>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 xml:space="preserve">ზემო აფხაზეთის საავადმყოფო </t>
  </si>
  <si>
    <t xml:space="preserve">ა(ა)იპ - გალის ცენტრალური რაიონული საავადმყოფო </t>
  </si>
  <si>
    <t xml:space="preserve">საბერიოს საექიმო ამბულატორია </t>
  </si>
  <si>
    <t xml:space="preserve">ა(ა)იპ - გალის რაიონის სოფ. ოტობაიას საექიმო ამბულატორია </t>
  </si>
  <si>
    <t xml:space="preserve">ა(ა)იპ - გალის რაიონის სოფ. ნაბაკევის  საექიმო ამბულატორია </t>
  </si>
  <si>
    <t xml:space="preserve">მზიურის საექიმო ამბულატორია </t>
  </si>
  <si>
    <t xml:space="preserve">ოქუმის საექიმო ამბულატორია </t>
  </si>
  <si>
    <t xml:space="preserve">ა(ა)იპ - გალის რაიონის სოფ. ზემო ბარღების საექიმო ამბულატორია </t>
  </si>
  <si>
    <t xml:space="preserve">ქვემო ბარღების ამბულატორია </t>
  </si>
  <si>
    <t xml:space="preserve">ა(ა)იპ - გალის რაიონის სოფ. რეფის საექიმო ამბულატორია </t>
  </si>
  <si>
    <t xml:space="preserve">შპს „აფხაზეთიდან იძულებით გადაადგილებულ პირთა ზუგდიდის პოლიკლინიკა“ </t>
  </si>
  <si>
    <t xml:space="preserve">შპს „აფხაზეთიდან იძულებით გადაადგილებულ პირთა ჯვარის ამბულატორია“ </t>
  </si>
  <si>
    <t xml:space="preserve">შპს „ქ. ჯვარის პოლიკლინიკა“ </t>
  </si>
  <si>
    <t xml:space="preserve">შპს „რეგიონული ჯანდაცვის ცენტრი“ (ამბროლაურის მუნიციპალიტეტი) </t>
  </si>
  <si>
    <t xml:space="preserve">შპს „რეგიონული ჯანდაცვის ცენტრი“ (ონის მუნიციპალიტეტი) </t>
  </si>
  <si>
    <t xml:space="preserve">შპს „რეგიონული ჯანდაცვის ცენტრი“ (ცაგერის მუნიციპალიტეტი) </t>
  </si>
  <si>
    <t xml:space="preserve">შპს „რეგიონული ჯანდაცვის ცენტრი“ (ლენტეხის მუნიციპალიტეტი) </t>
  </si>
  <si>
    <t>შპს  „მესტიის  საავადმყოფო-ამბულატორიული გაერთიანება“</t>
  </si>
  <si>
    <t xml:space="preserve">შპს „შატილის საექიმო ამბულატორია“ </t>
  </si>
  <si>
    <t xml:space="preserve">შპს „ბარისახოს ამბულატორია“ </t>
  </si>
  <si>
    <t xml:space="preserve">შპს „ერედვის ამბულატორია“ </t>
  </si>
  <si>
    <t xml:space="preserve">შპს „ქარელის რაიონის სოფელ ავნევის ამბულატორია“ </t>
  </si>
  <si>
    <t xml:space="preserve">შპს „ქსუისის ამბულატორია“ </t>
  </si>
  <si>
    <t xml:space="preserve">შპს „ქურთის საავადმყოფო“ </t>
  </si>
  <si>
    <t xml:space="preserve">შპს „ახალგორის რაიონული პოლიკლინიკა“ </t>
  </si>
  <si>
    <t xml:space="preserve">შპს „ახალგორის რაიონული საავადმყოფო“ </t>
  </si>
  <si>
    <t xml:space="preserve">შპს „ლარგვისის საექიმო ამბულატორია“ </t>
  </si>
  <si>
    <t xml:space="preserve">შპს „ნიქოზის ამბულატორია “ </t>
  </si>
  <si>
    <t xml:space="preserve">შპს „წინაგრის საექიმო ამბულატორია“ </t>
  </si>
  <si>
    <t xml:space="preserve">შპს „ჭუბერი-უშგულის სპეციალიზებული ამბულატორიული მომსახურება“  </t>
  </si>
  <si>
    <t>თვის ბიუჯეტი</t>
  </si>
  <si>
    <t>2019 წელი</t>
  </si>
  <si>
    <t>ბიუჯეტი</t>
  </si>
  <si>
    <t>სოფლის ექიმი/ექთანი</t>
  </si>
  <si>
    <t>N</t>
  </si>
  <si>
    <t>+/_</t>
  </si>
  <si>
    <t>სოფლის ექიმი</t>
  </si>
  <si>
    <t>პირველადი ჯანდაცვის მომსახურება სოფლად</t>
  </si>
  <si>
    <t>სოფლის ექიმის 10 კოორდინატორი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</si>
  <si>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</si>
  <si>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</si>
  <si>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</si>
  <si>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კომენტარი</t>
  </si>
  <si>
    <t>რეგიონი</t>
  </si>
  <si>
    <t>ექიმი</t>
  </si>
  <si>
    <t>ექთანი</t>
  </si>
  <si>
    <t>აჭარა</t>
  </si>
  <si>
    <t>ქობულეთი</t>
  </si>
  <si>
    <t>შუახევი</t>
  </si>
  <si>
    <t>ქედა</t>
  </si>
  <si>
    <t>ხულო</t>
  </si>
  <si>
    <t>ხევაჩაური</t>
  </si>
  <si>
    <t>გურია</t>
  </si>
  <si>
    <t>ოზურგეთი</t>
  </si>
  <si>
    <t>ლანჩხუთი</t>
  </si>
  <si>
    <t>ჩოხატაური</t>
  </si>
  <si>
    <t>იმერეთი</t>
  </si>
  <si>
    <t>ტყიბული</t>
  </si>
  <si>
    <t>თერჯოლა</t>
  </si>
  <si>
    <t>ხონი</t>
  </si>
  <si>
    <t>წყალტუბო</t>
  </si>
  <si>
    <t>ხარაგაული</t>
  </si>
  <si>
    <t>ვანი</t>
  </si>
  <si>
    <t>საჩხერე</t>
  </si>
  <si>
    <t>სამტრედია</t>
  </si>
  <si>
    <t>ბაღდათი</t>
  </si>
  <si>
    <t>ზესტაფონი</t>
  </si>
  <si>
    <t>ჭიათურა</t>
  </si>
  <si>
    <t>შიდა ქართლი</t>
  </si>
  <si>
    <t>კასპი</t>
  </si>
  <si>
    <t>ხაშური</t>
  </si>
  <si>
    <t>ქარელი</t>
  </si>
  <si>
    <t>გორი</t>
  </si>
  <si>
    <t>კახეთი</t>
  </si>
  <si>
    <t>გურჯაანი</t>
  </si>
  <si>
    <t>საგარეჯო</t>
  </si>
  <si>
    <t>თელავი</t>
  </si>
  <si>
    <t>ახმეტა</t>
  </si>
  <si>
    <t>ყვარელი</t>
  </si>
  <si>
    <t>ლაგოდეხი</t>
  </si>
  <si>
    <t>სიღნაღი</t>
  </si>
  <si>
    <t>დედოფლისყარო</t>
  </si>
  <si>
    <t>მცხეთა-მთიანეთი</t>
  </si>
  <si>
    <t>მცხეთა</t>
  </si>
  <si>
    <t>დუშეთი</t>
  </si>
  <si>
    <t>თიანეთი</t>
  </si>
  <si>
    <t>ყაზბეგი</t>
  </si>
  <si>
    <t>რაჭა-ლეჩხუმი - ქვემო სვანეთი</t>
  </si>
  <si>
    <t>ამბროლაური</t>
  </si>
  <si>
    <t>ონი</t>
  </si>
  <si>
    <t>ცაგერი</t>
  </si>
  <si>
    <t>ლენტეხი</t>
  </si>
  <si>
    <t>სამეგრელო-ზემო სვანეთი</t>
  </si>
  <si>
    <t>სენაკი</t>
  </si>
  <si>
    <t>ზუგდიდი</t>
  </si>
  <si>
    <t>მარტვილი</t>
  </si>
  <si>
    <t>წალენჯიხა</t>
  </si>
  <si>
    <t>ჩხოროწყუ</t>
  </si>
  <si>
    <t>ხობი</t>
  </si>
  <si>
    <t>აბაშა</t>
  </si>
  <si>
    <t>მესტია</t>
  </si>
  <si>
    <t>სამცხე-ჯავახეთი</t>
  </si>
  <si>
    <t>ახალქალაქი</t>
  </si>
  <si>
    <t>ნინოწმინდა</t>
  </si>
  <si>
    <t>ბორჯომი</t>
  </si>
  <si>
    <t>ასპინძა</t>
  </si>
  <si>
    <t>ადიგენი</t>
  </si>
  <si>
    <t>ახალციხე</t>
  </si>
  <si>
    <t>ქვემო ქართლი</t>
  </si>
  <si>
    <t>თეთრიწყარო</t>
  </si>
  <si>
    <t>მარნეული</t>
  </si>
  <si>
    <t>გარდაბანი</t>
  </si>
  <si>
    <t>წალკა</t>
  </si>
  <si>
    <t>ბოლნისი</t>
  </si>
  <si>
    <t>დმანისი</t>
  </si>
  <si>
    <r>
      <t xml:space="preserve">სოფლის ექიმის მედიკამენტები, საგნები - </t>
    </r>
    <r>
      <rPr>
        <b/>
        <sz val="7"/>
        <color rgb="FFFF0000"/>
        <rFont val="Sylfaen"/>
        <family val="1"/>
      </rPr>
      <t>გადარიცხული</t>
    </r>
  </si>
  <si>
    <r>
      <t xml:space="preserve">2018 წლის ნოემბრის შესრულებები </t>
    </r>
    <r>
      <rPr>
        <b/>
        <sz val="7"/>
        <color rgb="FFFF0000"/>
        <rFont val="Sylfaen"/>
        <family val="1"/>
      </rPr>
      <t>გადარიცხული</t>
    </r>
  </si>
  <si>
    <t>ამბულატორიული მომსახურებისათვის აუცილებელი მედიკამენტები</t>
  </si>
  <si>
    <t>გლუკომეტრი</t>
  </si>
  <si>
    <t>ექიმის ჩანთა</t>
  </si>
  <si>
    <t>სამედიცინო დოკუმენტაცია</t>
  </si>
  <si>
    <t>რეცეპტისთვის ქაღალდი, კარტრიჯი</t>
  </si>
  <si>
    <t>სამედიცინო ნარჩენების მართვა</t>
  </si>
  <si>
    <t>თვე</t>
  </si>
  <si>
    <t>სპეცდაფინანსებაზე მყოფი რიგი  სამედიცინო დაწესებულებები</t>
  </si>
  <si>
    <t>სამედიცინო მომსახურების გამწევი სხვა  დაწესებულებები</t>
  </si>
  <si>
    <t>შპს „რეგიონული ჯანდაცვის ცენტრი“  (გუდაური)</t>
  </si>
  <si>
    <t>შპს „მანგლისის საავადმყოფო პოლიკლინიკა“</t>
  </si>
  <si>
    <t>შპს „რეგიონული ჯანდაცვის ცენტრი“ (დუისის გადაუდებელი სამედიცინო დახმარების ცენტრი ახმეტის მუნიციპალიტეტი)</t>
  </si>
  <si>
    <t>I</t>
  </si>
  <si>
    <t>შპს „რეგიონული ჯანდაცვის ცენტრი“  (წალკის მუნიციპალიტეტი)</t>
  </si>
  <si>
    <t>შპს „რეგიონული ჯანდაცვის ცენტრი“  (ყაზბეგის მუნიციპალიტეტი)</t>
  </si>
  <si>
    <t>შპს „რეგიონული ჯანდაცვის ცენტრი“  (თიანეთის მუნიციპალიტეტი)</t>
  </si>
  <si>
    <t>შპს „რეგიონული ჯანდაცვის ცენტრი“  (დაბა ბაკურიანი)</t>
  </si>
  <si>
    <t>შპს  „მესტიის  საავადმყოფო-ამბულატორიული გაერთიანება“  (მესტიის მუნიციპალიტეტი)</t>
  </si>
  <si>
    <t>II</t>
  </si>
  <si>
    <t>შპს „რეგიონული ჯანდაცვის ცენტრი“ (თეთრიწყაროს მუნიციპალიტეტი)</t>
  </si>
  <si>
    <t>III</t>
  </si>
  <si>
    <t>შპს „აფხაზეთიდან იძულებით გადაადგილებულ პირთა ზუგდიდის პოლიკლინიკა</t>
  </si>
  <si>
    <t>შპს „შიდა ქართლის პირველადი ჯანდაცვის ცენტრი“</t>
  </si>
  <si>
    <t>N592 28.12..17</t>
  </si>
  <si>
    <t>N693 31.12.18</t>
  </si>
  <si>
    <t>N166 29.03.19</t>
  </si>
  <si>
    <t>ცვლილების პროექტი</t>
  </si>
  <si>
    <t>თვის ბიუჯეტი (ლარი)</t>
  </si>
  <si>
    <t>166 დადგენილება (საპენსიო რეფორმის შესაბამისად დაემატა წელიწადში 4 ათასი ლასი)</t>
  </si>
  <si>
    <t>მოთხოვნილია საპენსიო რეფორმისთვის (1 წლის) (ლარი)</t>
  </si>
  <si>
    <t>1 თვე (ლარი)</t>
  </si>
  <si>
    <t xml:space="preserve">1 თვეს დაემატა 333 ლარი. ამასთან იანვრის და თებერვლის ფული დაემატა თებერვალში (ლარი) </t>
  </si>
  <si>
    <t xml:space="preserve"> </t>
  </si>
  <si>
    <t xml:space="preserve">დადგენილების ცვლილება (ხელშეწყობის მიზნით ემატება საშემოსავლოს 20% - (40 ექიმი და 56 ექთანი), თვეში - 10,296 ლარი. </t>
  </si>
  <si>
    <t>რაოდენობა</t>
  </si>
  <si>
    <t xml:space="preserve">ღირებულება (ლარი) </t>
  </si>
  <si>
    <t>20% საშემოსავლო</t>
  </si>
  <si>
    <t>სულ:</t>
  </si>
  <si>
    <t>სოფლის ექიმის/ექთნის ფორმები</t>
  </si>
  <si>
    <t>დასახელება</t>
  </si>
  <si>
    <t>დარიცხული ხელფასი</t>
  </si>
  <si>
    <t>თვიური ხარჯი</t>
  </si>
  <si>
    <t>წლიური ხარჯი</t>
  </si>
  <si>
    <t>ბოლო კვარტლის  (3 თვე)ხარჯი</t>
  </si>
  <si>
    <t>ადმინისტრაცია</t>
  </si>
  <si>
    <t>სოფლის ექიმის პროექტის მენეჯერი</t>
  </si>
  <si>
    <t>რაიონის კოორდინატორი</t>
  </si>
  <si>
    <t>მენეჯერი (ხელფასის ნამატი)</t>
  </si>
  <si>
    <t>თვის დანახარჯი რაიონზე (საშუალო)</t>
  </si>
  <si>
    <t>ოქტ-ნოემ _ ხარჯი</t>
  </si>
  <si>
    <t>სამინისტროს ფაილი</t>
  </si>
  <si>
    <t>მედიკამენტები</t>
  </si>
  <si>
    <t>სამედიცინო ნარჩენების გადატანა</t>
  </si>
  <si>
    <t>თვის დანახარჯი რაიონზე</t>
  </si>
  <si>
    <t>წლიური ხარჯი (2020 წ.)</t>
  </si>
  <si>
    <t>კარტრიჯის დატენვა</t>
  </si>
  <si>
    <t>ფურცლების მარაგი</t>
  </si>
  <si>
    <t>პრინტერის დრამის ცვლილება (საშუალოდ წელიწადში ერთხელ)</t>
  </si>
  <si>
    <t>-</t>
  </si>
  <si>
    <t>სამედიცინო პერსონალის რაოდენობა</t>
  </si>
  <si>
    <t>ერთეულის ღირებულება</t>
  </si>
  <si>
    <t>ჯამური ღირებულება</t>
  </si>
  <si>
    <t>ფორმები: 1 ჟილეტი, 2 მაისური (მოკლემკლავიანი), 2 მაისური (გრძელმკლავიანი), 1 ხალათი</t>
  </si>
  <si>
    <t>ერთჯერადი შესყიდვა, სასურველია ამ წლის ბიუჯეტიდან, თუ ვერ მოხერხდა გასათვალისწინებელია მომავალი წლის ბიუჯეტში</t>
  </si>
  <si>
    <t>2019 წლის _ბოლო კვარტლის  ხარჯი (ფორმებით)</t>
  </si>
  <si>
    <t>2019 წლის _ ბოლო კვარტლის ხარჯი (ფორმების გარეშე)</t>
  </si>
  <si>
    <t>მუნიციპალიტეტი</t>
  </si>
  <si>
    <t xml:space="preserve">2018 წელი (592 დადგ) </t>
  </si>
  <si>
    <t xml:space="preserve">2019 წელი (693 დადგ) </t>
  </si>
  <si>
    <t>თვის ლიმიტი</t>
  </si>
  <si>
    <t>დოზირება</t>
  </si>
  <si>
    <t>ფორმა</t>
  </si>
  <si>
    <t>რაოდენობა ერთი სოფლის ექიმისთვის</t>
  </si>
  <si>
    <t>პირველ ეტაპზე მისაწოდებელი რაოდენობა</t>
  </si>
  <si>
    <t xml:space="preserve">რაოდენობა 2 ჩანთის შესავსებად - საჭიროების შემთხვევაში </t>
  </si>
  <si>
    <t>ბეტა-ბლოკერები</t>
  </si>
  <si>
    <t>მეტოპროლოლი</t>
  </si>
  <si>
    <t>50მგ (N10)</t>
  </si>
  <si>
    <t>ტაბ</t>
  </si>
  <si>
    <t xml:space="preserve">CON190000369
</t>
  </si>
  <si>
    <t>შპს "პსპ ფარმა"</t>
  </si>
  <si>
    <t>სსიპ სახელმწიფო შესყიდვების სააგენტოს მიერ დასრულებულია კონსოლიდირებული ტენდერი. სამინისტროს დავალების შემთხვევაში, გავაფორმებთ ხელშეკრულებას</t>
  </si>
  <si>
    <t>კალციუმის არხების ბლოკერები, ანტიარითმული საშუალებები</t>
  </si>
  <si>
    <t>ნიფედიპინი</t>
  </si>
  <si>
    <t>10მგ (N10)</t>
  </si>
  <si>
    <t>აგფ ინჰიბიტორები</t>
  </si>
  <si>
    <t>კაპტოპრილი</t>
  </si>
  <si>
    <t>25 მგ (N10)</t>
  </si>
  <si>
    <t>პერიფერიული ვაზოდილატატორები</t>
  </si>
  <si>
    <t>გლიცერილი ტრინიტრატი  (სუბლინგვალური)</t>
  </si>
  <si>
    <t>0,5 მგ (N10)</t>
  </si>
  <si>
    <t>CON190000369</t>
  </si>
  <si>
    <t>ბრონქების გასაფართოებელი საშუალებები</t>
  </si>
  <si>
    <t>სალბუტამოლის სულფატი ინჰალ. აეროზოლი</t>
  </si>
  <si>
    <t>100 მკგ 200 დოზა</t>
  </si>
  <si>
    <t>ბალონი</t>
  </si>
  <si>
    <t>CON190000340</t>
  </si>
  <si>
    <t>ცენტრალური მოქმედების ტკივილგამაყუჩებელი საშუალებები</t>
  </si>
  <si>
    <t xml:space="preserve">კეტოროლაკი </t>
  </si>
  <si>
    <t>3% 1მლ</t>
  </si>
  <si>
    <t>ამპ</t>
  </si>
  <si>
    <t>წერილი გადაგზავნილია სამინისტროში დასაზუსტებლად, შეფუთვების (მაგ.: 5 ცალიანი შეფუთვები)  დაშლა არ არის მიზანშეწონილი</t>
  </si>
  <si>
    <t>ერთჯერადი მოხმარების საგნები და ინსტრუმენტები</t>
  </si>
  <si>
    <t>ტესტჩხირები</t>
  </si>
  <si>
    <t>შარდში ცილის განმსაზღვრელი (შეკვრა 5 ცალიანი)</t>
  </si>
  <si>
    <t>ცალი</t>
  </si>
  <si>
    <t>ელ. ფოსტით გაგზავნილია კითხვა სამინისტროში</t>
  </si>
  <si>
    <t>არანარკოტიკული, ტკივილგამყუჩებელი და არასტეროიდული ანთების საწინააღმდეგო საშუალებები</t>
  </si>
  <si>
    <t xml:space="preserve">პარაცეტამოლი </t>
  </si>
  <si>
    <t>250 მგ</t>
  </si>
  <si>
    <t>სანთელი</t>
  </si>
  <si>
    <t>დასაზუსტებელია სამინისტროსთან, შეფუთვების დაშლა არ არის მიზანშეწონილი</t>
  </si>
  <si>
    <t>მიწოდება განხორციელდება შემსყიდველის მოთხოვნის შესაბამისად, ქვემოთ ჩამოთვლილ მისამართებზე:</t>
  </si>
  <si>
    <r>
      <t>აჭარა</t>
    </r>
    <r>
      <rPr>
        <sz val="9"/>
        <color theme="1"/>
        <rFont val="Sylfaen"/>
        <family val="1"/>
        <charset val="204"/>
      </rPr>
      <t xml:space="preserve"> – ქ. ბათუმი, ტაბიძის ქ. N2ა – </t>
    </r>
  </si>
  <si>
    <r>
      <t xml:space="preserve">გურია </t>
    </r>
    <r>
      <rPr>
        <sz val="9"/>
        <color theme="1"/>
        <rFont val="Sylfaen"/>
        <family val="1"/>
        <charset val="204"/>
      </rPr>
      <t xml:space="preserve">– ქ. ოზურგეთი, გოგებაშვილის ქ. N2 –  </t>
    </r>
  </si>
  <si>
    <r>
      <t>იმერეთი</t>
    </r>
    <r>
      <rPr>
        <sz val="9"/>
        <color theme="1"/>
        <rFont val="Sylfaen"/>
        <family val="1"/>
        <charset val="204"/>
      </rPr>
      <t xml:space="preserve"> – ქ. ქუთაისი, ჩეჩელაშვილის ქ. N26 </t>
    </r>
    <r>
      <rPr>
        <b/>
        <sz val="9"/>
        <color theme="1"/>
        <rFont val="Sylfaen"/>
        <family val="1"/>
        <charset val="204"/>
      </rPr>
      <t xml:space="preserve">– </t>
    </r>
  </si>
  <si>
    <r>
      <t>კახეთი</t>
    </r>
    <r>
      <rPr>
        <sz val="9"/>
        <color theme="1"/>
        <rFont val="Sylfaen"/>
        <family val="1"/>
        <charset val="204"/>
      </rPr>
      <t xml:space="preserve"> – ქ. თელავი, აღმაშენებლის გამზ. N41 – </t>
    </r>
  </si>
  <si>
    <r>
      <t>მცხეთა-მთიანეთი</t>
    </r>
    <r>
      <rPr>
        <sz val="9"/>
        <color theme="1"/>
        <rFont val="Sylfaen"/>
        <family val="1"/>
        <charset val="204"/>
      </rPr>
      <t xml:space="preserve"> – ქ. მცხეთა, სამხედროს ქ. N13 – </t>
    </r>
  </si>
  <si>
    <r>
      <t>რაჭა-ლეჩხუმი, ქვემო სვანეთი</t>
    </r>
    <r>
      <rPr>
        <sz val="9"/>
        <color theme="1"/>
        <rFont val="Sylfaen"/>
        <family val="1"/>
        <charset val="204"/>
      </rPr>
      <t xml:space="preserve"> – ქ. ამბროლაური, ბრატისლავა რაჭის ქ. N11 – </t>
    </r>
  </si>
  <si>
    <r>
      <t>სამეგრელო, ზემო სვანეთი</t>
    </r>
    <r>
      <rPr>
        <sz val="9"/>
        <color theme="1"/>
        <rFont val="Sylfaen"/>
        <family val="1"/>
        <charset val="204"/>
      </rPr>
      <t xml:space="preserve"> – ქ. ზუგდიდი, აღმაშენებლის 106 – </t>
    </r>
  </si>
  <si>
    <r>
      <t xml:space="preserve">სამცხე-ჯავახეთი </t>
    </r>
    <r>
      <rPr>
        <sz val="9"/>
        <color theme="1"/>
        <rFont val="Sylfaen"/>
        <family val="1"/>
        <charset val="204"/>
      </rPr>
      <t xml:space="preserve">– ქ. ახალციხე, კეცხოველის ქ. N6 – </t>
    </r>
  </si>
  <si>
    <r>
      <t>ქვემო ქართლი</t>
    </r>
    <r>
      <rPr>
        <sz val="9"/>
        <color theme="1"/>
        <rFont val="Sylfaen"/>
        <family val="1"/>
        <charset val="204"/>
      </rPr>
      <t xml:space="preserve"> – ქ. რუსთავი, ცურტაველის ქ. N5ა – </t>
    </r>
  </si>
  <si>
    <r>
      <t>შიდა ქართლი</t>
    </r>
    <r>
      <rPr>
        <sz val="9"/>
        <color theme="1"/>
        <rFont val="Sylfaen"/>
        <family val="1"/>
        <charset val="204"/>
      </rPr>
      <t xml:space="preserve"> – ქ. გორი, გელდიაშვილის ქ. N3 – </t>
    </r>
  </si>
  <si>
    <t xml:space="preserve">სასწრაფო სამედიცინო დახმარება (ოკუპირებულ ტერიტორიაზე მოქმედი სასწრაფო სამედიცინო დახმარება) </t>
  </si>
  <si>
    <t>სამედიცინო დანიშნულების საგნები (მ.შ. ტონომეტრი, თერმომეტ)</t>
  </si>
  <si>
    <t>ადმინისტრირება და მონიტორინგი</t>
  </si>
  <si>
    <t xml:space="preserve">სასწრაფო სამედიცინო გადაუდებელი დახმარება და სამედიცინო ტრანსპორტირება </t>
  </si>
  <si>
    <t>დამტკიცებული</t>
  </si>
  <si>
    <t>ცვლილება</t>
  </si>
  <si>
    <t xml:space="preserve">30 სექტემბრის ჩათვლით </t>
  </si>
  <si>
    <t xml:space="preserve">1 ოქტომბრიდან </t>
  </si>
  <si>
    <t>სასწრაფო, გადაუდებელი დახმარება და სამედიცინო ტრანსპორტირება</t>
  </si>
  <si>
    <t xml:space="preserve">პროგრამა / კომპონენტი </t>
  </si>
  <si>
    <t xml:space="preserve">პროგრამის ბიუჯეტი </t>
  </si>
  <si>
    <t>სასწრაფო</t>
  </si>
  <si>
    <t>არსებული</t>
  </si>
  <si>
    <t>1 ოქტომბრიდან ემატება</t>
  </si>
  <si>
    <t>2019 წლის ბიუჯეტი</t>
  </si>
  <si>
    <t xml:space="preserve">30 ოქტომბრის ჩათვლით </t>
  </si>
  <si>
    <t xml:space="preserve">1 ნოემბრიდან </t>
  </si>
  <si>
    <t>ნოემბერი-დეკემბერი</t>
  </si>
  <si>
    <t xml:space="preserve">31 ოქტომბრის ჩათვლით </t>
  </si>
  <si>
    <t>1 ნოემბრიდან ემატება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</si>
</sst>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Sylfaen"/>
      <family val="1"/>
    </font>
    <font>
      <b/>
      <sz val="7"/>
      <color rgb="FFFF0000"/>
      <name val="Sylfaen"/>
      <family val="1"/>
    </font>
    <font>
      <sz val="8"/>
      <color indexed="81"/>
      <name val="Tahoma"/>
      <family val="2"/>
    </font>
    <font>
      <b/>
      <sz val="9"/>
      <color theme="0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color theme="1"/>
      <name val="Sylfaen"/>
      <family val="1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8"/>
      <color theme="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Sylfaen"/>
      <family val="1"/>
    </font>
    <font>
      <b/>
      <sz val="9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b/>
      <u val="singleAccounting"/>
      <sz val="11"/>
      <color theme="4" tint="-0.499984740745262"/>
      <name val="Calibri"/>
      <family val="2"/>
      <scheme val="minor"/>
    </font>
    <font>
      <sz val="9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color theme="1"/>
      <name val="Sylfaen"/>
      <family val="1"/>
      <charset val="204"/>
    </font>
    <font>
      <sz val="7"/>
      <color theme="1"/>
      <name val="Sylfaen"/>
      <family val="1"/>
      <charset val="204"/>
    </font>
    <font>
      <sz val="11"/>
      <color theme="0"/>
      <name val="Sylfaen"/>
      <family val="1"/>
      <charset val="204"/>
    </font>
    <font>
      <sz val="9"/>
      <color theme="4" tint="-0.499984740745262"/>
      <name val="Sylfaen"/>
      <family val="1"/>
      <charset val="204"/>
    </font>
    <font>
      <b/>
      <sz val="9"/>
      <color theme="4" tint="-0.499984740745262"/>
      <name val="Sylfaen"/>
      <family val="1"/>
      <charset val="204"/>
    </font>
    <font>
      <b/>
      <sz val="16"/>
      <color theme="4" tint="-0.499984740745262"/>
      <name val="Sylfaen"/>
      <family val="1"/>
      <charset val="204"/>
    </font>
    <font>
      <b/>
      <sz val="11"/>
      <color theme="4" tint="-0.499984740745262"/>
      <name val="Sylfaen"/>
      <family val="1"/>
      <charset val="204"/>
    </font>
    <font>
      <sz val="11"/>
      <color theme="4" tint="-0.499984740745262"/>
      <name val="Sylfaen"/>
      <family val="1"/>
      <charset val="204"/>
    </font>
    <font>
      <sz val="9"/>
      <color theme="5" tint="-0.249977111117893"/>
      <name val="Sylfae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5" fillId="0" borderId="0" xfId="0" applyFont="1"/>
    <xf numFmtId="43" fontId="6" fillId="2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43" fontId="9" fillId="0" borderId="0" xfId="0" applyNumberFormat="1" applyFont="1" applyAlignment="1">
      <alignment horizontal="left"/>
    </xf>
    <xf numFmtId="43" fontId="5" fillId="0" borderId="0" xfId="1" applyFont="1" applyAlignment="1">
      <alignment vertical="center"/>
    </xf>
    <xf numFmtId="43" fontId="6" fillId="4" borderId="1" xfId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17" fillId="0" borderId="1" xfId="1" applyFont="1" applyFill="1" applyBorder="1" applyAlignment="1">
      <alignment horizontal="left" vertical="top"/>
    </xf>
    <xf numFmtId="43" fontId="5" fillId="4" borderId="0" xfId="1" applyFont="1" applyFill="1"/>
    <xf numFmtId="43" fontId="9" fillId="0" borderId="0" xfId="0" applyNumberFormat="1" applyFont="1"/>
    <xf numFmtId="0" fontId="22" fillId="0" borderId="0" xfId="0" applyFont="1"/>
    <xf numFmtId="0" fontId="21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/>
    <xf numFmtId="0" fontId="26" fillId="0" borderId="1" xfId="0" applyFont="1" applyBorder="1"/>
    <xf numFmtId="0" fontId="19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4" fontId="0" fillId="0" borderId="0" xfId="0" applyNumberFormat="1"/>
    <xf numFmtId="0" fontId="29" fillId="0" borderId="0" xfId="0" applyFont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43" fontId="0" fillId="0" borderId="29" xfId="1" applyFont="1" applyBorder="1" applyAlignment="1">
      <alignment horizontal="center"/>
    </xf>
    <xf numFmtId="0" fontId="26" fillId="0" borderId="8" xfId="0" applyFont="1" applyBorder="1"/>
    <xf numFmtId="0" fontId="26" fillId="0" borderId="0" xfId="0" applyFont="1" applyBorder="1"/>
    <xf numFmtId="43" fontId="26" fillId="0" borderId="1" xfId="0" applyNumberFormat="1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43" fontId="26" fillId="0" borderId="1" xfId="1" applyFont="1" applyBorder="1"/>
    <xf numFmtId="43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6" fontId="26" fillId="0" borderId="1" xfId="1" applyNumberFormat="1" applyFont="1" applyBorder="1"/>
    <xf numFmtId="165" fontId="26" fillId="0" borderId="1" xfId="0" applyNumberFormat="1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165" fontId="26" fillId="0" borderId="0" xfId="0" applyNumberFormat="1" applyFont="1"/>
    <xf numFmtId="0" fontId="26" fillId="0" borderId="36" xfId="0" applyFont="1" applyBorder="1"/>
    <xf numFmtId="0" fontId="9" fillId="0" borderId="1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166" fontId="16" fillId="0" borderId="1" xfId="1" applyNumberFormat="1" applyFont="1" applyBorder="1"/>
    <xf numFmtId="166" fontId="32" fillId="0" borderId="1" xfId="1" applyNumberFormat="1" applyFont="1" applyFill="1" applyBorder="1" applyAlignment="1">
      <alignment horizontal="right" vertical="center" wrapText="1"/>
    </xf>
    <xf numFmtId="166" fontId="25" fillId="0" borderId="1" xfId="1" applyNumberFormat="1" applyFont="1" applyFill="1" applyBorder="1" applyAlignment="1">
      <alignment horizontal="right" vertical="center" wrapText="1"/>
    </xf>
    <xf numFmtId="166" fontId="23" fillId="0" borderId="1" xfId="1" applyNumberFormat="1" applyFont="1" applyFill="1" applyBorder="1" applyAlignment="1">
      <alignment horizontal="right" vertical="center" wrapText="1"/>
    </xf>
    <xf numFmtId="166" fontId="0" fillId="0" borderId="2" xfId="1" applyNumberFormat="1" applyFont="1" applyFill="1" applyBorder="1" applyAlignment="1">
      <alignment horizontal="center"/>
    </xf>
    <xf numFmtId="166" fontId="0" fillId="0" borderId="9" xfId="1" applyNumberFormat="1" applyFont="1" applyFill="1" applyBorder="1" applyAlignment="1">
      <alignment horizontal="center"/>
    </xf>
    <xf numFmtId="166" fontId="0" fillId="0" borderId="21" xfId="1" applyNumberFormat="1" applyFont="1" applyFill="1" applyBorder="1" applyAlignment="1">
      <alignment horizontal="center"/>
    </xf>
    <xf numFmtId="166" fontId="0" fillId="0" borderId="22" xfId="1" applyNumberFormat="1" applyFont="1" applyFill="1" applyBorder="1" applyAlignment="1">
      <alignment horizontal="center"/>
    </xf>
    <xf numFmtId="166" fontId="0" fillId="0" borderId="34" xfId="1" applyNumberFormat="1" applyFont="1" applyFill="1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166" fontId="0" fillId="0" borderId="35" xfId="1" applyNumberFormat="1" applyFont="1" applyFill="1" applyBorder="1" applyAlignment="1">
      <alignment horizontal="center"/>
    </xf>
    <xf numFmtId="166" fontId="31" fillId="0" borderId="24" xfId="1" applyNumberFormat="1" applyFont="1" applyFill="1" applyBorder="1" applyAlignment="1">
      <alignment horizontal="center"/>
    </xf>
    <xf numFmtId="166" fontId="27" fillId="0" borderId="24" xfId="1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7" fillId="0" borderId="24" xfId="1" applyNumberFormat="1" applyFont="1" applyBorder="1" applyAlignment="1">
      <alignment horizontal="center"/>
    </xf>
    <xf numFmtId="166" fontId="0" fillId="0" borderId="35" xfId="1" applyNumberFormat="1" applyFont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1" xfId="0" applyFont="1" applyBorder="1"/>
    <xf numFmtId="0" fontId="34" fillId="0" borderId="1" xfId="0" applyFont="1" applyBorder="1" applyAlignment="1">
      <alignment horizontal="center" vertical="center"/>
    </xf>
    <xf numFmtId="43" fontId="34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/>
    <xf numFmtId="43" fontId="35" fillId="0" borderId="0" xfId="0" applyNumberFormat="1" applyFont="1" applyAlignment="1">
      <alignment horizontal="center"/>
    </xf>
    <xf numFmtId="43" fontId="30" fillId="0" borderId="0" xfId="0" applyNumberFormat="1" applyFont="1"/>
    <xf numFmtId="0" fontId="0" fillId="0" borderId="0" xfId="0" applyBorder="1"/>
    <xf numFmtId="0" fontId="36" fillId="5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43" fontId="34" fillId="0" borderId="1" xfId="0" applyNumberFormat="1" applyFont="1" applyFill="1" applyBorder="1" applyAlignment="1">
      <alignment horizontal="center" vertical="center"/>
    </xf>
    <xf numFmtId="43" fontId="34" fillId="0" borderId="1" xfId="1" applyFont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 applyBorder="1" applyAlignment="1">
      <alignment horizontal="center" vertical="center"/>
    </xf>
    <xf numFmtId="43" fontId="34" fillId="0" borderId="0" xfId="0" applyNumberFormat="1" applyFont="1" applyBorder="1" applyAlignment="1">
      <alignment horizontal="center" vertical="center"/>
    </xf>
    <xf numFmtId="43" fontId="34" fillId="0" borderId="0" xfId="1" applyFont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36" fillId="7" borderId="3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6" fillId="7" borderId="3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43" fontId="38" fillId="0" borderId="0" xfId="0" applyNumberFormat="1" applyFont="1"/>
    <xf numFmtId="43" fontId="38" fillId="0" borderId="0" xfId="0" applyNumberFormat="1" applyFont="1" applyAlignment="1">
      <alignment horizontal="center" vertical="center"/>
    </xf>
    <xf numFmtId="164" fontId="20" fillId="6" borderId="1" xfId="1" applyNumberFormat="1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164" fontId="25" fillId="6" borderId="1" xfId="1" applyNumberFormat="1" applyFont="1" applyFill="1" applyBorder="1" applyAlignment="1">
      <alignment horizontal="left" vertical="center" wrapText="1"/>
    </xf>
    <xf numFmtId="43" fontId="14" fillId="0" borderId="1" xfId="0" applyNumberFormat="1" applyFont="1" applyFill="1" applyBorder="1" applyAlignment="1">
      <alignment horizontal="left" vertical="center"/>
    </xf>
    <xf numFmtId="43" fontId="22" fillId="0" borderId="0" xfId="1" applyFont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Alignment="1">
      <alignment horizontal="left" vertical="center"/>
    </xf>
    <xf numFmtId="43" fontId="22" fillId="0" borderId="0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65" fontId="22" fillId="0" borderId="0" xfId="0" applyNumberFormat="1" applyFont="1" applyAlignment="1">
      <alignment horizontal="left" vertical="center"/>
    </xf>
    <xf numFmtId="0" fontId="21" fillId="5" borderId="27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39" fillId="0" borderId="13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left" vertical="center"/>
    </xf>
    <xf numFmtId="166" fontId="23" fillId="0" borderId="13" xfId="1" applyNumberFormat="1" applyFont="1" applyFill="1" applyBorder="1" applyAlignment="1">
      <alignment horizontal="right" vertical="center" wrapText="1"/>
    </xf>
    <xf numFmtId="166" fontId="23" fillId="0" borderId="16" xfId="1" applyNumberFormat="1" applyFont="1" applyFill="1" applyBorder="1" applyAlignment="1">
      <alignment horizontal="right" vertical="center" wrapText="1"/>
    </xf>
    <xf numFmtId="166" fontId="14" fillId="0" borderId="9" xfId="1" applyNumberFormat="1" applyFont="1" applyFill="1" applyBorder="1" applyAlignment="1">
      <alignment horizontal="right" vertical="center" wrapText="1"/>
    </xf>
    <xf numFmtId="166" fontId="14" fillId="0" borderId="22" xfId="1" applyNumberFormat="1" applyFont="1" applyFill="1" applyBorder="1" applyAlignment="1">
      <alignment horizontal="right" vertical="center" wrapText="1"/>
    </xf>
    <xf numFmtId="166" fontId="14" fillId="0" borderId="23" xfId="1" applyNumberFormat="1" applyFont="1" applyFill="1" applyBorder="1" applyAlignment="1">
      <alignment horizontal="right" vertical="center" wrapText="1"/>
    </xf>
    <xf numFmtId="166" fontId="14" fillId="0" borderId="24" xfId="1" applyNumberFormat="1" applyFont="1" applyFill="1" applyBorder="1" applyAlignment="1">
      <alignment horizontal="right" vertical="center" wrapText="1"/>
    </xf>
    <xf numFmtId="166" fontId="23" fillId="0" borderId="13" xfId="1" applyNumberFormat="1" applyFont="1" applyFill="1" applyBorder="1" applyAlignment="1">
      <alignment horizontal="right" vertical="center"/>
    </xf>
    <xf numFmtId="166" fontId="23" fillId="0" borderId="16" xfId="1" applyNumberFormat="1" applyFont="1" applyFill="1" applyBorder="1" applyAlignment="1">
      <alignment horizontal="right" vertical="center"/>
    </xf>
    <xf numFmtId="0" fontId="39" fillId="0" borderId="9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left"/>
    </xf>
    <xf numFmtId="0" fontId="39" fillId="0" borderId="23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left"/>
    </xf>
    <xf numFmtId="0" fontId="14" fillId="0" borderId="23" xfId="1" applyNumberFormat="1" applyFont="1" applyFill="1" applyBorder="1" applyAlignment="1">
      <alignment horizontal="right" vertical="center" wrapText="1"/>
    </xf>
    <xf numFmtId="0" fontId="14" fillId="0" borderId="24" xfId="1" applyNumberFormat="1" applyFont="1" applyFill="1" applyBorder="1" applyAlignment="1">
      <alignment horizontal="right" vertical="center" wrapText="1"/>
    </xf>
    <xf numFmtId="0" fontId="39" fillId="0" borderId="13" xfId="0" applyFont="1" applyFill="1" applyBorder="1" applyAlignment="1">
      <alignment horizontal="center"/>
    </xf>
    <xf numFmtId="0" fontId="39" fillId="0" borderId="15" xfId="0" applyFont="1" applyFill="1" applyBorder="1" applyAlignment="1">
      <alignment horizontal="left"/>
    </xf>
    <xf numFmtId="0" fontId="14" fillId="0" borderId="9" xfId="1" applyNumberFormat="1" applyFont="1" applyFill="1" applyBorder="1" applyAlignment="1">
      <alignment horizontal="right" vertical="center" wrapText="1"/>
    </xf>
    <xf numFmtId="0" fontId="14" fillId="0" borderId="22" xfId="1" applyNumberFormat="1" applyFont="1" applyFill="1" applyBorder="1" applyAlignment="1">
      <alignment horizontal="right" vertical="center" wrapText="1"/>
    </xf>
    <xf numFmtId="0" fontId="40" fillId="0" borderId="9" xfId="0" applyFont="1" applyFill="1" applyBorder="1" applyAlignment="1">
      <alignment horizontal="center"/>
    </xf>
    <xf numFmtId="0" fontId="40" fillId="0" borderId="23" xfId="0" applyFont="1" applyFill="1" applyBorder="1" applyAlignment="1">
      <alignment horizontal="center"/>
    </xf>
    <xf numFmtId="0" fontId="40" fillId="0" borderId="13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166" fontId="24" fillId="0" borderId="9" xfId="1" applyNumberFormat="1" applyFont="1" applyFill="1" applyBorder="1" applyAlignment="1">
      <alignment horizontal="right" vertical="center" wrapText="1"/>
    </xf>
    <xf numFmtId="166" fontId="24" fillId="0" borderId="22" xfId="1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/>
    </xf>
    <xf numFmtId="166" fontId="24" fillId="0" borderId="23" xfId="1" applyNumberFormat="1" applyFont="1" applyFill="1" applyBorder="1" applyAlignment="1">
      <alignment horizontal="right" vertical="center" wrapText="1"/>
    </xf>
    <xf numFmtId="166" fontId="24" fillId="0" borderId="24" xfId="1" applyNumberFormat="1" applyFont="1" applyFill="1" applyBorder="1" applyAlignment="1">
      <alignment horizontal="right" vertical="center" wrapText="1"/>
    </xf>
    <xf numFmtId="166" fontId="22" fillId="0" borderId="0" xfId="0" applyNumberFormat="1" applyFont="1"/>
    <xf numFmtId="0" fontId="20" fillId="0" borderId="0" xfId="0" applyFont="1"/>
    <xf numFmtId="166" fontId="23" fillId="0" borderId="32" xfId="1" applyNumberFormat="1" applyFont="1" applyFill="1" applyBorder="1" applyAlignment="1">
      <alignment horizontal="right" vertical="center" wrapText="1"/>
    </xf>
    <xf numFmtId="166" fontId="23" fillId="0" borderId="31" xfId="1" applyNumberFormat="1" applyFont="1" applyFill="1" applyBorder="1" applyAlignment="1">
      <alignment horizontal="right" vertical="center" wrapText="1"/>
    </xf>
    <xf numFmtId="0" fontId="20" fillId="0" borderId="18" xfId="0" applyFont="1" applyBorder="1"/>
    <xf numFmtId="0" fontId="20" fillId="0" borderId="14" xfId="0" applyFont="1" applyBorder="1"/>
    <xf numFmtId="0" fontId="20" fillId="0" borderId="20" xfId="0" applyFont="1" applyBorder="1" applyAlignment="1">
      <alignment horizontal="left"/>
    </xf>
    <xf numFmtId="166" fontId="23" fillId="0" borderId="12" xfId="1" applyNumberFormat="1" applyFont="1" applyFill="1" applyBorder="1" applyAlignment="1">
      <alignment horizontal="right"/>
    </xf>
    <xf numFmtId="166" fontId="23" fillId="0" borderId="17" xfId="1" applyNumberFormat="1" applyFont="1" applyFill="1" applyBorder="1" applyAlignment="1">
      <alignment horizontal="right"/>
    </xf>
    <xf numFmtId="166" fontId="20" fillId="0" borderId="0" xfId="1" applyNumberFormat="1" applyFont="1"/>
    <xf numFmtId="166" fontId="21" fillId="5" borderId="1" xfId="0" applyNumberFormat="1" applyFont="1" applyFill="1" applyBorder="1" applyAlignment="1">
      <alignment horizontal="center" vertical="center" wrapText="1"/>
    </xf>
    <xf numFmtId="166" fontId="21" fillId="5" borderId="1" xfId="1" applyNumberFormat="1" applyFont="1" applyFill="1" applyBorder="1" applyAlignment="1">
      <alignment horizontal="center" vertical="center"/>
    </xf>
    <xf numFmtId="166" fontId="28" fillId="5" borderId="1" xfId="1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textRotation="90" wrapText="1"/>
    </xf>
    <xf numFmtId="166" fontId="22" fillId="0" borderId="24" xfId="1" applyNumberFormat="1" applyFont="1" applyFill="1" applyBorder="1" applyAlignment="1">
      <alignment horizontal="center" vertical="center" wrapText="1"/>
    </xf>
    <xf numFmtId="166" fontId="19" fillId="0" borderId="24" xfId="1" applyNumberFormat="1" applyFont="1" applyBorder="1" applyAlignment="1">
      <alignment horizontal="justify" vertical="center" wrapText="1"/>
    </xf>
    <xf numFmtId="166" fontId="22" fillId="0" borderId="24" xfId="1" applyNumberFormat="1" applyFont="1" applyBorder="1" applyAlignment="1">
      <alignment horizontal="center" vertical="center" wrapText="1"/>
    </xf>
    <xf numFmtId="166" fontId="9" fillId="0" borderId="24" xfId="1" applyNumberFormat="1" applyFont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43" fontId="19" fillId="0" borderId="22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43" fontId="41" fillId="0" borderId="1" xfId="1" applyFont="1" applyFill="1" applyBorder="1" applyAlignment="1">
      <alignment horizontal="center" vertical="center"/>
    </xf>
    <xf numFmtId="43" fontId="41" fillId="0" borderId="24" xfId="1" applyFont="1" applyFill="1" applyBorder="1" applyAlignment="1">
      <alignment horizontal="center" vertical="center"/>
    </xf>
    <xf numFmtId="43" fontId="41" fillId="0" borderId="0" xfId="1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3" fillId="0" borderId="0" xfId="0" applyFont="1"/>
    <xf numFmtId="43" fontId="43" fillId="0" borderId="0" xfId="0" applyNumberFormat="1" applyFont="1"/>
    <xf numFmtId="0" fontId="41" fillId="0" borderId="13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43" fontId="41" fillId="0" borderId="16" xfId="1" applyFont="1" applyFill="1" applyBorder="1" applyAlignment="1">
      <alignment horizontal="center" vertical="center"/>
    </xf>
    <xf numFmtId="43" fontId="4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top"/>
    </xf>
    <xf numFmtId="43" fontId="45" fillId="8" borderId="0" xfId="0" applyNumberFormat="1" applyFont="1" applyFill="1"/>
    <xf numFmtId="0" fontId="41" fillId="9" borderId="39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left" vertical="center"/>
    </xf>
    <xf numFmtId="0" fontId="21" fillId="10" borderId="0" xfId="0" applyFont="1" applyFill="1" applyBorder="1" applyAlignment="1">
      <alignment horizontal="center" vertical="center" wrapText="1"/>
    </xf>
    <xf numFmtId="43" fontId="22" fillId="10" borderId="0" xfId="0" applyNumberFormat="1" applyFont="1" applyFill="1" applyBorder="1" applyAlignment="1">
      <alignment horizontal="left" vertical="center"/>
    </xf>
    <xf numFmtId="0" fontId="20" fillId="10" borderId="0" xfId="0" applyFont="1" applyFill="1" applyBorder="1" applyAlignment="1">
      <alignment horizontal="left" vertical="center" wrapText="1"/>
    </xf>
    <xf numFmtId="0" fontId="22" fillId="10" borderId="0" xfId="0" applyFont="1" applyFill="1" applyAlignment="1">
      <alignment horizontal="left" vertical="center"/>
    </xf>
    <xf numFmtId="165" fontId="22" fillId="10" borderId="0" xfId="0" applyNumberFormat="1" applyFont="1" applyFill="1" applyBorder="1" applyAlignment="1">
      <alignment horizontal="left" vertical="center"/>
    </xf>
    <xf numFmtId="164" fontId="25" fillId="6" borderId="27" xfId="1" applyNumberFormat="1" applyFont="1" applyFill="1" applyBorder="1" applyAlignment="1">
      <alignment horizontal="left" vertical="center" wrapText="1"/>
    </xf>
    <xf numFmtId="164" fontId="25" fillId="6" borderId="26" xfId="1" applyNumberFormat="1" applyFont="1" applyFill="1" applyBorder="1" applyAlignment="1">
      <alignment horizontal="left" vertical="center" wrapText="1"/>
    </xf>
    <xf numFmtId="164" fontId="25" fillId="6" borderId="40" xfId="1" applyNumberFormat="1" applyFont="1" applyFill="1" applyBorder="1" applyAlignment="1">
      <alignment horizontal="left" vertical="center" wrapText="1"/>
    </xf>
    <xf numFmtId="164" fontId="25" fillId="6" borderId="5" xfId="1" applyNumberFormat="1" applyFont="1" applyFill="1" applyBorder="1" applyAlignment="1">
      <alignment horizontal="left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43" fontId="22" fillId="0" borderId="0" xfId="1" applyFont="1" applyFill="1" applyBorder="1" applyAlignment="1">
      <alignment horizontal="left" vertical="center"/>
    </xf>
    <xf numFmtId="164" fontId="47" fillId="6" borderId="25" xfId="1" applyNumberFormat="1" applyFont="1" applyFill="1" applyBorder="1" applyAlignment="1">
      <alignment horizontal="left" vertical="center" wrapText="1"/>
    </xf>
    <xf numFmtId="164" fontId="47" fillId="6" borderId="27" xfId="1" applyNumberFormat="1" applyFont="1" applyFill="1" applyBorder="1" applyAlignment="1">
      <alignment horizontal="left" vertical="center" wrapText="1"/>
    </xf>
    <xf numFmtId="43" fontId="47" fillId="6" borderId="33" xfId="1" applyNumberFormat="1" applyFont="1" applyFill="1" applyBorder="1" applyAlignment="1">
      <alignment horizontal="left" vertical="center" wrapText="1"/>
    </xf>
    <xf numFmtId="43" fontId="47" fillId="6" borderId="28" xfId="1" applyNumberFormat="1" applyFont="1" applyFill="1" applyBorder="1" applyAlignment="1">
      <alignment horizontal="left" vertical="center" wrapText="1"/>
    </xf>
    <xf numFmtId="164" fontId="47" fillId="6" borderId="28" xfId="1" applyNumberFormat="1" applyFont="1" applyFill="1" applyBorder="1" applyAlignment="1">
      <alignment horizontal="left" vertical="center" wrapText="1"/>
    </xf>
    <xf numFmtId="43" fontId="47" fillId="6" borderId="3" xfId="1" applyNumberFormat="1" applyFont="1" applyFill="1" applyBorder="1" applyAlignment="1">
      <alignment horizontal="left" vertical="center" wrapText="1"/>
    </xf>
    <xf numFmtId="43" fontId="47" fillId="6" borderId="4" xfId="1" applyNumberFormat="1" applyFont="1" applyFill="1" applyBorder="1" applyAlignment="1">
      <alignment horizontal="left" vertical="center" wrapText="1"/>
    </xf>
    <xf numFmtId="164" fontId="47" fillId="6" borderId="4" xfId="1" applyNumberFormat="1" applyFont="1" applyFill="1" applyBorder="1" applyAlignment="1">
      <alignment horizontal="left" vertical="center" wrapText="1"/>
    </xf>
    <xf numFmtId="0" fontId="47" fillId="6" borderId="26" xfId="0" applyFont="1" applyFill="1" applyBorder="1" applyAlignment="1">
      <alignment horizontal="left" vertical="center"/>
    </xf>
    <xf numFmtId="43" fontId="47" fillId="6" borderId="26" xfId="1" applyNumberFormat="1" applyFont="1" applyFill="1" applyBorder="1" applyAlignment="1">
      <alignment horizontal="left" vertical="center" wrapText="1"/>
    </xf>
    <xf numFmtId="164" fontId="47" fillId="6" borderId="26" xfId="1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/>
    </xf>
    <xf numFmtId="43" fontId="46" fillId="0" borderId="1" xfId="1" applyNumberFormat="1" applyFont="1" applyFill="1" applyBorder="1" applyAlignment="1">
      <alignment horizontal="left" vertical="center" wrapText="1"/>
    </xf>
    <xf numFmtId="164" fontId="46" fillId="0" borderId="1" xfId="1" applyNumberFormat="1" applyFont="1" applyFill="1" applyBorder="1" applyAlignment="1">
      <alignment horizontal="left" vertical="center"/>
    </xf>
    <xf numFmtId="164" fontId="46" fillId="0" borderId="1" xfId="0" applyNumberFormat="1" applyFont="1" applyFill="1" applyBorder="1" applyAlignment="1">
      <alignment horizontal="left" vertical="center"/>
    </xf>
    <xf numFmtId="164" fontId="47" fillId="0" borderId="1" xfId="1" applyNumberFormat="1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43" fontId="46" fillId="0" borderId="1" xfId="1" applyFont="1" applyFill="1" applyBorder="1" applyAlignment="1">
      <alignment horizontal="left" vertical="center"/>
    </xf>
    <xf numFmtId="0" fontId="47" fillId="6" borderId="1" xfId="0" applyFont="1" applyFill="1" applyBorder="1" applyAlignment="1">
      <alignment horizontal="left" vertical="center"/>
    </xf>
    <xf numFmtId="43" fontId="47" fillId="6" borderId="1" xfId="1" applyNumberFormat="1" applyFont="1" applyFill="1" applyBorder="1" applyAlignment="1">
      <alignment horizontal="left" vertical="center" wrapText="1"/>
    </xf>
    <xf numFmtId="164" fontId="47" fillId="6" borderId="1" xfId="1" applyNumberFormat="1" applyFont="1" applyFill="1" applyBorder="1" applyAlignment="1">
      <alignment horizontal="left" vertical="center" wrapText="1"/>
    </xf>
    <xf numFmtId="166" fontId="47" fillId="6" borderId="1" xfId="1" applyNumberFormat="1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164" fontId="46" fillId="0" borderId="1" xfId="1" applyNumberFormat="1" applyFont="1" applyFill="1" applyBorder="1" applyAlignment="1">
      <alignment horizontal="left" vertical="center" wrapText="1"/>
    </xf>
    <xf numFmtId="43" fontId="46" fillId="0" borderId="1" xfId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164" fontId="50" fillId="0" borderId="0" xfId="0" applyNumberFormat="1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164" fontId="50" fillId="0" borderId="19" xfId="0" applyNumberFormat="1" applyFont="1" applyBorder="1" applyAlignment="1">
      <alignment horizontal="left" vertical="center"/>
    </xf>
    <xf numFmtId="164" fontId="47" fillId="6" borderId="48" xfId="1" applyNumberFormat="1" applyFont="1" applyFill="1" applyBorder="1" applyAlignment="1">
      <alignment horizontal="left" vertical="center" wrapText="1"/>
    </xf>
    <xf numFmtId="0" fontId="21" fillId="5" borderId="51" xfId="0" applyFont="1" applyFill="1" applyBorder="1" applyAlignment="1">
      <alignment horizontal="center" vertical="center" wrapText="1"/>
    </xf>
    <xf numFmtId="164" fontId="25" fillId="6" borderId="48" xfId="1" applyNumberFormat="1" applyFont="1" applyFill="1" applyBorder="1" applyAlignment="1">
      <alignment horizontal="left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43" fontId="47" fillId="6" borderId="27" xfId="1" applyNumberFormat="1" applyFont="1" applyFill="1" applyBorder="1" applyAlignment="1">
      <alignment horizontal="left" vertical="center" wrapText="1"/>
    </xf>
    <xf numFmtId="43" fontId="47" fillId="6" borderId="48" xfId="1" applyNumberFormat="1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textRotation="90"/>
    </xf>
    <xf numFmtId="0" fontId="40" fillId="0" borderId="25" xfId="0" applyFont="1" applyFill="1" applyBorder="1" applyAlignment="1">
      <alignment horizontal="center" vertical="center" textRotation="90"/>
    </xf>
    <xf numFmtId="0" fontId="40" fillId="0" borderId="14" xfId="0" applyFont="1" applyFill="1" applyBorder="1" applyAlignment="1">
      <alignment horizontal="center" vertical="center" textRotation="90"/>
    </xf>
    <xf numFmtId="0" fontId="23" fillId="0" borderId="3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166" fontId="21" fillId="5" borderId="2" xfId="0" applyNumberFormat="1" applyFont="1" applyFill="1" applyBorder="1" applyAlignment="1">
      <alignment horizontal="center" vertical="center" wrapText="1"/>
    </xf>
    <xf numFmtId="166" fontId="21" fillId="5" borderId="6" xfId="0" applyNumberFormat="1" applyFont="1" applyFill="1" applyBorder="1" applyAlignment="1">
      <alignment horizontal="center" vertical="center" wrapText="1"/>
    </xf>
    <xf numFmtId="166" fontId="21" fillId="5" borderId="7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textRotation="90" wrapText="1"/>
    </xf>
    <xf numFmtId="0" fontId="40" fillId="0" borderId="25" xfId="0" applyFont="1" applyFill="1" applyBorder="1" applyAlignment="1">
      <alignment horizontal="center" vertical="center" textRotation="90" wrapText="1"/>
    </xf>
    <xf numFmtId="0" fontId="40" fillId="0" borderId="14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3" xfId="0" applyFont="1" applyFill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164" fontId="51" fillId="0" borderId="1" xfId="1" applyNumberFormat="1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left" vertical="center"/>
    </xf>
    <xf numFmtId="43" fontId="47" fillId="6" borderId="1" xfId="1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80819\3.%20&#4321;&#4317;&#4324;&#4314;&#4312;&#4321;%20&#4308;&#4325;&#4312;&#4315;&#4312;%2013.05.19\last%20080819\Copy%20of%20&#4321;&#4317;&#4324;&#4314;&#4312;&#4321;%20&#4308;&#4325;&#4312;&#4315;&#4308;&#4305;&#4310;&#4308;%20&#4307;&#4304;&#4315;&#4304;&#4322;&#4308;&#4305;&#4312;&#4311;%20&#4334;&#4304;&#4320;&#4335;&#4312;%20-%20&#4321;&#4321;&#4307;&#43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revadze\Desktop\&#4321;&#4317;&#4324;&#4314;&#4312;&#4321;%20&#4308;&#4325;&#4312;&#4315;&#4308;&#4305;&#4312;\2019_&#4332;&#4314;&#4312;&#4321;_&#4305;&#4312;&#4323;&#4335;&#4308;&#4322;&#4312;&#4311;_&#4306;&#4304;&#4332;&#4308;&#4323;&#4314;&#4312;_&#4334;&#4304;&#4320;&#4335;&#4312;_-ssa%20+%20&#4315;&#4317;&#4321;&#4304;&#4314;&#4317;&#4307;&#4316;&#4308;&#4314;&#4312;%20&#4334;&#4304;&#4320;&#4335;&#4312;%2031.07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 08.08.19 (2)"/>
      <sheetName val="სსდც 08.08.19"/>
      <sheetName val="ბიუჯეტი 2019 დაკორექტ"/>
      <sheetName val="ბიუჯეტი 2019"/>
      <sheetName val="სსდც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/>
      <sheetData sheetId="1">
        <row r="13">
          <cell r="E13">
            <v>29900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 refreshError="1">
        <row r="5">
          <cell r="D5">
            <v>7641.75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7"/>
  <sheetViews>
    <sheetView showGridLines="0" tabSelected="1" zoomScale="80" zoomScaleNormal="80" workbookViewId="0">
      <selection activeCell="J36" sqref="J36"/>
    </sheetView>
  </sheetViews>
  <sheetFormatPr defaultRowHeight="12.75" outlineLevelRow="1" x14ac:dyDescent="0.25"/>
  <cols>
    <col min="1" max="1" width="2.5703125" style="114" customWidth="1"/>
    <col min="2" max="2" width="60" style="114" customWidth="1"/>
    <col min="3" max="3" width="18.28515625" style="114" customWidth="1"/>
    <col min="4" max="4" width="16.28515625" style="114" customWidth="1"/>
    <col min="5" max="5" width="13.85546875" style="114" customWidth="1"/>
    <col min="6" max="6" width="16" style="114" customWidth="1"/>
    <col min="7" max="7" width="13" style="114" customWidth="1"/>
    <col min="8" max="8" width="1.5703125" style="118" customWidth="1"/>
    <col min="9" max="9" width="3.5703125" style="114" customWidth="1"/>
    <col min="10" max="10" width="62.28515625" style="114" customWidth="1"/>
    <col min="11" max="11" width="16.42578125" style="114" customWidth="1"/>
    <col min="12" max="12" width="14.7109375" style="114" customWidth="1"/>
    <col min="13" max="13" width="13.5703125" style="114" customWidth="1"/>
    <col min="14" max="14" width="15.5703125" style="114" customWidth="1"/>
    <col min="15" max="15" width="12.5703125" style="114" customWidth="1"/>
    <col min="16" max="16384" width="9.140625" style="114"/>
  </cols>
  <sheetData>
    <row r="1" spans="1:15" ht="21" x14ac:dyDescent="0.25">
      <c r="B1" s="221" t="s">
        <v>295</v>
      </c>
    </row>
    <row r="2" spans="1:15" ht="22.5" customHeight="1" x14ac:dyDescent="0.25">
      <c r="A2" s="264"/>
      <c r="B2" s="266" t="s">
        <v>290</v>
      </c>
      <c r="C2" s="268" t="s">
        <v>285</v>
      </c>
      <c r="D2" s="272" t="s">
        <v>286</v>
      </c>
      <c r="E2" s="273"/>
      <c r="F2" s="273"/>
      <c r="G2" s="273"/>
      <c r="H2" s="209"/>
      <c r="I2" s="264"/>
      <c r="J2" s="277" t="s">
        <v>190</v>
      </c>
      <c r="K2" s="270" t="s">
        <v>285</v>
      </c>
      <c r="L2" s="272" t="s">
        <v>286</v>
      </c>
      <c r="M2" s="273"/>
      <c r="N2" s="273"/>
      <c r="O2" s="273"/>
    </row>
    <row r="3" spans="1:15" ht="57" customHeight="1" x14ac:dyDescent="0.25">
      <c r="A3" s="265"/>
      <c r="B3" s="267"/>
      <c r="C3" s="269"/>
      <c r="D3" s="220" t="s">
        <v>296</v>
      </c>
      <c r="E3" s="220" t="s">
        <v>297</v>
      </c>
      <c r="F3" s="220" t="s">
        <v>5</v>
      </c>
      <c r="G3" s="219" t="s">
        <v>76</v>
      </c>
      <c r="H3" s="210"/>
      <c r="I3" s="276"/>
      <c r="J3" s="277"/>
      <c r="K3" s="271"/>
      <c r="L3" s="263" t="s">
        <v>293</v>
      </c>
      <c r="M3" s="263" t="s">
        <v>294</v>
      </c>
      <c r="N3" s="263" t="s">
        <v>5</v>
      </c>
      <c r="O3" s="258" t="s">
        <v>76</v>
      </c>
    </row>
    <row r="4" spans="1:15" ht="33" customHeight="1" x14ac:dyDescent="0.25">
      <c r="A4" s="274" t="s">
        <v>77</v>
      </c>
      <c r="B4" s="274"/>
      <c r="C4" s="223">
        <f>C7+C20+C19+C21</f>
        <v>26000000</v>
      </c>
      <c r="D4" s="224">
        <f>D7+D19+D20+D21</f>
        <v>23309857.970000003</v>
      </c>
      <c r="E4" s="224">
        <f>E7+E19+E20+E21</f>
        <v>2315645.75</v>
      </c>
      <c r="F4" s="224">
        <f>F7+F19+F20+F21</f>
        <v>25625503.720000003</v>
      </c>
      <c r="G4" s="215">
        <f>C4-F4</f>
        <v>374496.27999999747</v>
      </c>
      <c r="H4" s="209"/>
      <c r="I4" s="275" t="s">
        <v>289</v>
      </c>
      <c r="J4" s="275"/>
      <c r="K4" s="257">
        <f>K5+K6</f>
        <v>44725000</v>
      </c>
      <c r="L4" s="257">
        <f>L5+L6</f>
        <v>44725000</v>
      </c>
      <c r="M4" s="257">
        <f>M5+M6</f>
        <v>374496.25666666671</v>
      </c>
      <c r="N4" s="257">
        <f>N5+N6</f>
        <v>45099496.256666668</v>
      </c>
      <c r="O4" s="259">
        <f>K4-N4</f>
        <v>-374496.25666666776</v>
      </c>
    </row>
    <row r="5" spans="1:15" ht="33" customHeight="1" x14ac:dyDescent="0.25">
      <c r="A5" s="225"/>
      <c r="B5" s="226"/>
      <c r="C5" s="227"/>
      <c r="D5" s="227"/>
      <c r="E5" s="227"/>
      <c r="F5" s="227"/>
      <c r="G5" s="217"/>
      <c r="H5" s="209"/>
      <c r="I5" s="244">
        <v>1</v>
      </c>
      <c r="J5" s="243" t="s">
        <v>281</v>
      </c>
      <c r="K5" s="243">
        <v>725000</v>
      </c>
      <c r="L5" s="243">
        <v>725000</v>
      </c>
      <c r="M5" s="243">
        <v>0</v>
      </c>
      <c r="N5" s="243">
        <f>SUM(L5:M5)</f>
        <v>725000</v>
      </c>
      <c r="O5" s="115">
        <f>K5-N5</f>
        <v>0</v>
      </c>
    </row>
    <row r="6" spans="1:15" ht="33" customHeight="1" x14ac:dyDescent="0.25">
      <c r="A6" s="228"/>
      <c r="B6" s="229"/>
      <c r="C6" s="230"/>
      <c r="D6" s="230"/>
      <c r="E6" s="230"/>
      <c r="F6" s="230"/>
      <c r="G6" s="218"/>
      <c r="H6" s="209"/>
      <c r="I6" s="244">
        <v>2</v>
      </c>
      <c r="J6" s="243" t="s">
        <v>284</v>
      </c>
      <c r="K6" s="243">
        <v>44000000</v>
      </c>
      <c r="L6" s="243">
        <f>44000000+SUM(L8:L16)</f>
        <v>44000000</v>
      </c>
      <c r="M6" s="243">
        <f>SUM(M9:M16)</f>
        <v>374496.25666666671</v>
      </c>
      <c r="N6" s="243">
        <f>SUM(L6:M6)</f>
        <v>44374496.256666668</v>
      </c>
      <c r="O6" s="115">
        <f>K6-N6</f>
        <v>-374496.25666666776</v>
      </c>
    </row>
    <row r="7" spans="1:15" ht="34.5" customHeight="1" x14ac:dyDescent="0.25">
      <c r="A7" s="231">
        <v>1</v>
      </c>
      <c r="B7" s="232" t="s">
        <v>78</v>
      </c>
      <c r="C7" s="243">
        <v>19318600</v>
      </c>
      <c r="D7" s="243">
        <f>SUM(D8:D18)</f>
        <v>17179975.720000003</v>
      </c>
      <c r="E7" s="243">
        <f>SUM(E8:E18)</f>
        <v>1736685</v>
      </c>
      <c r="F7" s="243">
        <f>SUM(F8:F18)</f>
        <v>18916660.720000003</v>
      </c>
      <c r="G7" s="216">
        <f>C7-F7</f>
        <v>401939.27999999747</v>
      </c>
      <c r="H7" s="209"/>
      <c r="I7" s="241"/>
      <c r="J7" s="243"/>
      <c r="K7" s="243"/>
      <c r="L7" s="243"/>
      <c r="M7" s="243"/>
      <c r="N7" s="243"/>
      <c r="O7" s="110"/>
    </row>
    <row r="8" spans="1:15" outlineLevel="1" x14ac:dyDescent="0.25">
      <c r="A8" s="234"/>
      <c r="B8" s="235" t="s">
        <v>74</v>
      </c>
      <c r="C8" s="314"/>
      <c r="D8" s="246">
        <f>SUM('გაწ.-მოს.ხარჯ ssa'!I4:T4)</f>
        <v>16971335.210000001</v>
      </c>
      <c r="E8" s="246">
        <f>'გაწ.-მოს.ხარჯ ssa'!U4</f>
        <v>1551485</v>
      </c>
      <c r="F8" s="246">
        <f>SUM(D8:E8)</f>
        <v>18522820.210000001</v>
      </c>
      <c r="G8" s="116"/>
      <c r="H8" s="209"/>
      <c r="I8" s="234"/>
      <c r="J8" s="245"/>
      <c r="K8" s="246"/>
      <c r="L8" s="246"/>
      <c r="M8" s="246"/>
      <c r="N8" s="246"/>
      <c r="O8" s="116"/>
    </row>
    <row r="9" spans="1:15" outlineLevel="1" x14ac:dyDescent="0.25">
      <c r="A9" s="234"/>
      <c r="B9" s="235" t="s">
        <v>158</v>
      </c>
      <c r="C9" s="314"/>
      <c r="D9" s="246">
        <f>7641.75</f>
        <v>7641.75</v>
      </c>
      <c r="E9" s="246">
        <v>0</v>
      </c>
      <c r="F9" s="246">
        <f t="shared" ref="F9:F21" si="0">SUM(D9:E9)</f>
        <v>7641.75</v>
      </c>
      <c r="G9" s="116"/>
      <c r="H9" s="211"/>
      <c r="I9" s="234"/>
      <c r="J9" s="235" t="s">
        <v>158</v>
      </c>
      <c r="K9" s="246"/>
      <c r="L9" s="246"/>
      <c r="M9" s="246">
        <f>გადაუდ.ცენტრი!E13</f>
        <v>29900</v>
      </c>
      <c r="N9" s="246"/>
      <c r="O9" s="116"/>
    </row>
    <row r="10" spans="1:15" outlineLevel="1" x14ac:dyDescent="0.25">
      <c r="A10" s="234"/>
      <c r="B10" s="235" t="s">
        <v>282</v>
      </c>
      <c r="C10" s="314"/>
      <c r="D10" s="246">
        <v>27539.5</v>
      </c>
      <c r="E10" s="246">
        <v>0</v>
      </c>
      <c r="F10" s="246">
        <f t="shared" si="0"/>
        <v>27539.5</v>
      </c>
      <c r="G10" s="116"/>
      <c r="H10" s="211"/>
      <c r="I10" s="234"/>
      <c r="J10" s="235" t="s">
        <v>282</v>
      </c>
      <c r="K10" s="246"/>
      <c r="L10" s="235"/>
      <c r="M10" s="246">
        <v>9023.89</v>
      </c>
      <c r="N10" s="235"/>
      <c r="O10" s="116"/>
    </row>
    <row r="11" spans="1:15" outlineLevel="1" x14ac:dyDescent="0.25">
      <c r="A11" s="234"/>
      <c r="B11" s="235" t="s">
        <v>159</v>
      </c>
      <c r="C11" s="314"/>
      <c r="D11" s="246">
        <v>43995</v>
      </c>
      <c r="E11" s="246">
        <v>0</v>
      </c>
      <c r="F11" s="246">
        <f t="shared" si="0"/>
        <v>43995</v>
      </c>
      <c r="G11" s="116"/>
      <c r="H11" s="209"/>
      <c r="I11" s="234"/>
      <c r="J11" s="235" t="s">
        <v>159</v>
      </c>
      <c r="K11" s="246"/>
      <c r="L11" s="246"/>
      <c r="M11" s="246">
        <v>0</v>
      </c>
      <c r="N11" s="246"/>
      <c r="O11" s="116"/>
    </row>
    <row r="12" spans="1:15" outlineLevel="1" x14ac:dyDescent="0.25">
      <c r="A12" s="234"/>
      <c r="B12" s="235" t="s">
        <v>160</v>
      </c>
      <c r="C12" s="314"/>
      <c r="D12" s="246">
        <f>'გაწ.-მოს.ხარჯ ssa'!B4</f>
        <v>29831</v>
      </c>
      <c r="E12" s="246">
        <v>0</v>
      </c>
      <c r="F12" s="246">
        <f t="shared" si="0"/>
        <v>29831</v>
      </c>
      <c r="G12" s="116"/>
      <c r="H12" s="209"/>
      <c r="I12" s="234"/>
      <c r="J12" s="235" t="s">
        <v>160</v>
      </c>
      <c r="K12" s="247"/>
      <c r="L12" s="247"/>
      <c r="M12" s="246">
        <v>0</v>
      </c>
      <c r="N12" s="247"/>
      <c r="O12" s="116"/>
    </row>
    <row r="13" spans="1:15" outlineLevel="1" x14ac:dyDescent="0.25">
      <c r="A13" s="234"/>
      <c r="B13" s="235" t="s">
        <v>161</v>
      </c>
      <c r="C13" s="314"/>
      <c r="D13" s="246">
        <f>'გაწ.-მოს.ხარჯ ssa'!D4</f>
        <v>47199</v>
      </c>
      <c r="E13" s="246">
        <v>0</v>
      </c>
      <c r="F13" s="246">
        <f t="shared" si="0"/>
        <v>47199</v>
      </c>
      <c r="G13" s="116"/>
      <c r="H13" s="209"/>
      <c r="I13" s="234"/>
      <c r="J13" s="235" t="s">
        <v>161</v>
      </c>
      <c r="K13" s="246"/>
      <c r="L13" s="246"/>
      <c r="M13" s="246">
        <v>0</v>
      </c>
      <c r="N13" s="246"/>
      <c r="O13" s="116"/>
    </row>
    <row r="14" spans="1:15" outlineLevel="1" x14ac:dyDescent="0.25">
      <c r="A14" s="234"/>
      <c r="B14" s="235" t="s">
        <v>163</v>
      </c>
      <c r="C14" s="314"/>
      <c r="D14" s="246">
        <v>0</v>
      </c>
      <c r="E14" s="246">
        <v>0</v>
      </c>
      <c r="F14" s="246">
        <f t="shared" si="0"/>
        <v>0</v>
      </c>
      <c r="G14" s="116"/>
      <c r="H14" s="212"/>
      <c r="I14" s="234"/>
      <c r="J14" s="235" t="s">
        <v>163</v>
      </c>
      <c r="K14" s="246"/>
      <c r="L14" s="246"/>
      <c r="M14" s="246">
        <f>გადაუდ.ცენტრი!E14</f>
        <v>35100</v>
      </c>
      <c r="N14" s="246"/>
      <c r="O14" s="116"/>
    </row>
    <row r="15" spans="1:15" outlineLevel="1" x14ac:dyDescent="0.25">
      <c r="A15" s="234"/>
      <c r="B15" s="235" t="s">
        <v>162</v>
      </c>
      <c r="C15" s="314"/>
      <c r="D15" s="246">
        <v>0</v>
      </c>
      <c r="E15" s="246">
        <v>0</v>
      </c>
      <c r="F15" s="246">
        <f t="shared" si="0"/>
        <v>0</v>
      </c>
      <c r="G15" s="116"/>
      <c r="H15" s="212"/>
      <c r="I15" s="234"/>
      <c r="J15" s="235" t="s">
        <v>162</v>
      </c>
      <c r="K15" s="246"/>
      <c r="L15" s="246"/>
      <c r="M15" s="246">
        <f>გადაუდ.ცენტრი!G22/2</f>
        <v>2379.6666666666665</v>
      </c>
      <c r="N15" s="246"/>
      <c r="O15" s="116"/>
    </row>
    <row r="16" spans="1:15" outlineLevel="1" x14ac:dyDescent="0.25">
      <c r="A16" s="234"/>
      <c r="B16" s="235" t="s">
        <v>196</v>
      </c>
      <c r="C16" s="315"/>
      <c r="D16" s="246">
        <v>0</v>
      </c>
      <c r="E16" s="246">
        <v>0</v>
      </c>
      <c r="F16" s="246">
        <f t="shared" si="0"/>
        <v>0</v>
      </c>
      <c r="G16" s="121"/>
      <c r="H16" s="213"/>
      <c r="I16" s="234"/>
      <c r="J16" s="235" t="s">
        <v>196</v>
      </c>
      <c r="K16" s="247"/>
      <c r="L16" s="237"/>
      <c r="M16" s="246">
        <v>298092.7</v>
      </c>
      <c r="N16" s="237"/>
      <c r="O16" s="121"/>
    </row>
    <row r="17" spans="1:15" outlineLevel="1" x14ac:dyDescent="0.25">
      <c r="A17" s="234"/>
      <c r="B17" s="235" t="s">
        <v>283</v>
      </c>
      <c r="C17" s="314"/>
      <c r="D17" s="246">
        <v>0</v>
      </c>
      <c r="E17" s="246">
        <f>გადაუდ.ცენტრი!H8</f>
        <v>165200</v>
      </c>
      <c r="F17" s="246">
        <f>SUM(D17:E17)</f>
        <v>165200</v>
      </c>
      <c r="G17" s="116"/>
      <c r="H17" s="212"/>
      <c r="I17" s="234"/>
      <c r="J17" s="248"/>
      <c r="K17" s="236"/>
      <c r="L17" s="236"/>
      <c r="M17" s="236"/>
      <c r="N17" s="236"/>
      <c r="O17" s="116"/>
    </row>
    <row r="18" spans="1:15" outlineLevel="1" x14ac:dyDescent="0.25">
      <c r="A18" s="234"/>
      <c r="B18" s="235" t="s">
        <v>79</v>
      </c>
      <c r="C18" s="314"/>
      <c r="D18" s="246">
        <f>'გაწ.-მოს.ხარჯ ssa'!G4+7*1000*3</f>
        <v>52434.259999999995</v>
      </c>
      <c r="E18" s="246">
        <f>10*1000*2</f>
        <v>20000</v>
      </c>
      <c r="F18" s="246">
        <f>SUM(D18:E18)</f>
        <v>72434.259999999995</v>
      </c>
      <c r="G18" s="116"/>
      <c r="H18" s="212"/>
      <c r="I18" s="234"/>
      <c r="J18" s="249"/>
      <c r="K18" s="246"/>
      <c r="L18" s="246"/>
      <c r="M18" s="246"/>
      <c r="N18" s="246"/>
      <c r="O18" s="116"/>
    </row>
    <row r="19" spans="1:15" ht="51" customHeight="1" x14ac:dyDescent="0.25">
      <c r="A19" s="241">
        <v>2</v>
      </c>
      <c r="B19" s="242" t="s">
        <v>81</v>
      </c>
      <c r="C19" s="243">
        <v>213300</v>
      </c>
      <c r="D19" s="243">
        <f>SUM('გაწ.-მოს.ხარჯ ssa'!J5:T5)+10296</f>
        <v>204638</v>
      </c>
      <c r="E19" s="243">
        <f>'გაწ.-მოს.ხარჯ ssa'!U5+10296</f>
        <v>28617</v>
      </c>
      <c r="F19" s="243">
        <f t="shared" si="0"/>
        <v>233255</v>
      </c>
      <c r="G19" s="115">
        <f>C19-F19</f>
        <v>-19955</v>
      </c>
      <c r="H19" s="212"/>
      <c r="I19" s="122"/>
      <c r="J19" s="119"/>
      <c r="L19" s="118"/>
      <c r="M19" s="118"/>
      <c r="N19" s="222"/>
    </row>
    <row r="20" spans="1:15" ht="51.75" customHeight="1" x14ac:dyDescent="0.25">
      <c r="A20" s="241">
        <v>3</v>
      </c>
      <c r="B20" s="242" t="s">
        <v>80</v>
      </c>
      <c r="C20" s="243">
        <v>3742100</v>
      </c>
      <c r="D20" s="243">
        <f>'3.სპეც'!C42*8+'3.სპეც'!K42*2+'3.სპეც'!M42</f>
        <v>3434689</v>
      </c>
      <c r="E20" s="243">
        <f>'3.სპეც'!M42</f>
        <v>314899</v>
      </c>
      <c r="F20" s="243">
        <f t="shared" si="0"/>
        <v>3749588</v>
      </c>
      <c r="G20" s="115">
        <f>C20-F20</f>
        <v>-7488</v>
      </c>
      <c r="H20" s="212"/>
      <c r="L20" s="118"/>
      <c r="M20" s="222"/>
      <c r="N20" s="222"/>
    </row>
    <row r="21" spans="1:15" ht="57.75" customHeight="1" x14ac:dyDescent="0.25">
      <c r="A21" s="241">
        <v>4</v>
      </c>
      <c r="B21" s="242" t="s">
        <v>82</v>
      </c>
      <c r="C21" s="243">
        <v>2726000</v>
      </c>
      <c r="D21" s="243">
        <f>SUM('გაწ.-მოს.ხარჯ ssa'!I7:T7)</f>
        <v>2490555.25</v>
      </c>
      <c r="E21" s="243">
        <f>'გაწ.-მოს.ხარჯ ssa'!U7+'გაწ.-მოს.ხარჯ ssa'!C7</f>
        <v>235444.75</v>
      </c>
      <c r="F21" s="243">
        <f t="shared" si="0"/>
        <v>2726000</v>
      </c>
      <c r="G21" s="115">
        <f>C21-F21</f>
        <v>0</v>
      </c>
      <c r="H21" s="214"/>
      <c r="J21" s="119"/>
      <c r="L21" s="222"/>
      <c r="M21" s="222"/>
      <c r="N21" s="222"/>
    </row>
    <row r="22" spans="1:15" x14ac:dyDescent="0.25">
      <c r="L22" s="117"/>
      <c r="M22" s="117"/>
      <c r="N22" s="117"/>
    </row>
    <row r="23" spans="1:15" x14ac:dyDescent="0.25">
      <c r="G23" s="122"/>
      <c r="K23" s="117"/>
      <c r="L23" s="117"/>
      <c r="M23" s="117"/>
      <c r="N23" s="117"/>
      <c r="O23" s="122"/>
    </row>
    <row r="25" spans="1:15" x14ac:dyDescent="0.25">
      <c r="F25" s="117"/>
    </row>
    <row r="26" spans="1:15" x14ac:dyDescent="0.25">
      <c r="F26" s="119"/>
    </row>
    <row r="27" spans="1:15" ht="21" x14ac:dyDescent="0.25">
      <c r="B27" s="221" t="s">
        <v>295</v>
      </c>
    </row>
    <row r="28" spans="1:15" x14ac:dyDescent="0.25">
      <c r="A28" s="264"/>
      <c r="B28" s="266" t="s">
        <v>290</v>
      </c>
      <c r="C28" s="268" t="s">
        <v>285</v>
      </c>
      <c r="D28" s="272" t="s">
        <v>286</v>
      </c>
      <c r="E28" s="273"/>
      <c r="F28" s="273"/>
      <c r="G28" s="273"/>
      <c r="H28" s="209"/>
    </row>
    <row r="29" spans="1:15" ht="25.5" x14ac:dyDescent="0.25">
      <c r="A29" s="276"/>
      <c r="B29" s="266"/>
      <c r="C29" s="277"/>
      <c r="D29" s="220" t="s">
        <v>299</v>
      </c>
      <c r="E29" s="220" t="s">
        <v>297</v>
      </c>
      <c r="F29" s="220" t="s">
        <v>5</v>
      </c>
      <c r="G29" s="219" t="s">
        <v>76</v>
      </c>
      <c r="H29" s="210"/>
    </row>
    <row r="30" spans="1:15" x14ac:dyDescent="0.25">
      <c r="A30" s="316" t="s">
        <v>77</v>
      </c>
      <c r="B30" s="316"/>
      <c r="C30" s="243">
        <f>C31+C33+C32+C34</f>
        <v>25999.999999999996</v>
      </c>
      <c r="D30" s="224">
        <f>D31+D32+D33+D34</f>
        <v>23309.899999999998</v>
      </c>
      <c r="E30" s="224">
        <f>E31+E32+E33+E34</f>
        <v>2315.6439999999998</v>
      </c>
      <c r="F30" s="224">
        <f>F31+F32+F33+F34</f>
        <v>25625.544000000002</v>
      </c>
      <c r="G30" s="215">
        <f>C30-F30</f>
        <v>374.45599999999467</v>
      </c>
      <c r="H30" s="209"/>
    </row>
    <row r="31" spans="1:15" x14ac:dyDescent="0.25">
      <c r="A31" s="241">
        <v>1</v>
      </c>
      <c r="B31" s="242" t="s">
        <v>78</v>
      </c>
      <c r="C31" s="243">
        <v>19318.599999999999</v>
      </c>
      <c r="D31" s="243">
        <v>17180</v>
      </c>
      <c r="E31" s="243">
        <v>1736.7</v>
      </c>
      <c r="F31" s="243">
        <f>SUM(D31:E31)</f>
        <v>18916.7</v>
      </c>
      <c r="G31" s="115">
        <f>C31-F31</f>
        <v>401.89999999999782</v>
      </c>
      <c r="H31" s="209"/>
    </row>
    <row r="32" spans="1:15" ht="25.5" x14ac:dyDescent="0.25">
      <c r="A32" s="241">
        <v>2</v>
      </c>
      <c r="B32" s="242" t="s">
        <v>81</v>
      </c>
      <c r="C32" s="243">
        <v>213.3</v>
      </c>
      <c r="D32" s="243">
        <v>204.6</v>
      </c>
      <c r="E32" s="243">
        <v>28.6</v>
      </c>
      <c r="F32" s="243">
        <f>SUM(D32:E32)</f>
        <v>233.2</v>
      </c>
      <c r="G32" s="115">
        <f>C32-F32</f>
        <v>-19.899999999999977</v>
      </c>
      <c r="H32" s="209"/>
    </row>
    <row r="33" spans="1:15" ht="38.25" x14ac:dyDescent="0.25">
      <c r="A33" s="241">
        <v>3</v>
      </c>
      <c r="B33" s="242" t="s">
        <v>80</v>
      </c>
      <c r="C33" s="243">
        <v>3742.1</v>
      </c>
      <c r="D33" s="243">
        <v>3434.7</v>
      </c>
      <c r="E33" s="243">
        <v>314.89999999999998</v>
      </c>
      <c r="F33" s="243">
        <f>SUM(D33:E33)</f>
        <v>3749.6</v>
      </c>
      <c r="G33" s="115">
        <f>C33-F33</f>
        <v>-7.5</v>
      </c>
      <c r="H33" s="209"/>
    </row>
    <row r="34" spans="1:15" ht="51" x14ac:dyDescent="0.25">
      <c r="A34" s="241">
        <v>4</v>
      </c>
      <c r="B34" s="242" t="s">
        <v>82</v>
      </c>
      <c r="C34" s="243">
        <v>2726</v>
      </c>
      <c r="D34" s="243">
        <v>2490.6</v>
      </c>
      <c r="E34" s="243">
        <v>235.44399999999999</v>
      </c>
      <c r="F34" s="243">
        <f>SUM(D34:E34)</f>
        <v>2726.0439999999999</v>
      </c>
      <c r="G34" s="115">
        <f>C34-F34</f>
        <v>-4.3999999999869033E-2</v>
      </c>
      <c r="H34" s="212"/>
      <c r="I34" s="122"/>
      <c r="L34" s="118"/>
      <c r="M34" s="118"/>
      <c r="N34" s="222"/>
    </row>
    <row r="35" spans="1:15" x14ac:dyDescent="0.25">
      <c r="H35" s="212"/>
      <c r="K35" s="114" t="s">
        <v>190</v>
      </c>
      <c r="L35" s="118"/>
      <c r="M35" s="222"/>
      <c r="N35" s="222"/>
    </row>
    <row r="36" spans="1:15" x14ac:dyDescent="0.25">
      <c r="A36" s="264"/>
      <c r="B36" s="277" t="s">
        <v>190</v>
      </c>
      <c r="C36" s="270" t="s">
        <v>285</v>
      </c>
      <c r="D36" s="272" t="s">
        <v>286</v>
      </c>
      <c r="E36" s="273"/>
      <c r="F36" s="273"/>
      <c r="G36" s="273"/>
      <c r="H36" s="214"/>
      <c r="L36" s="222"/>
      <c r="M36" s="222"/>
      <c r="N36" s="222"/>
    </row>
    <row r="37" spans="1:15" ht="38.25" x14ac:dyDescent="0.25">
      <c r="A37" s="276"/>
      <c r="B37" s="277"/>
      <c r="C37" s="271"/>
      <c r="D37" s="263" t="s">
        <v>293</v>
      </c>
      <c r="E37" s="263" t="s">
        <v>300</v>
      </c>
      <c r="F37" s="263" t="s">
        <v>5</v>
      </c>
      <c r="G37" s="258" t="s">
        <v>76</v>
      </c>
      <c r="H37" s="214"/>
      <c r="L37" s="222"/>
      <c r="M37" s="222"/>
      <c r="N37" s="222"/>
    </row>
    <row r="38" spans="1:15" x14ac:dyDescent="0.25">
      <c r="A38" s="275" t="s">
        <v>289</v>
      </c>
      <c r="B38" s="275"/>
      <c r="C38" s="257">
        <f>C39+C40</f>
        <v>44725</v>
      </c>
      <c r="D38" s="257">
        <f>D39+D40</f>
        <v>44725</v>
      </c>
      <c r="E38" s="257">
        <f>E39+E40</f>
        <v>374.5</v>
      </c>
      <c r="F38" s="257">
        <f>F39+F40</f>
        <v>45099.5</v>
      </c>
      <c r="G38" s="259">
        <f>C38-F38</f>
        <v>-374.5</v>
      </c>
      <c r="H38" s="214"/>
      <c r="L38" s="222"/>
      <c r="M38" s="222"/>
      <c r="N38" s="222"/>
    </row>
    <row r="39" spans="1:15" ht="25.5" x14ac:dyDescent="0.25">
      <c r="A39" s="241">
        <v>1</v>
      </c>
      <c r="B39" s="243" t="s">
        <v>281</v>
      </c>
      <c r="C39" s="243">
        <v>725</v>
      </c>
      <c r="D39" s="243">
        <v>725</v>
      </c>
      <c r="E39" s="243">
        <v>0</v>
      </c>
      <c r="F39" s="243">
        <f>SUM(D39:E39)</f>
        <v>725</v>
      </c>
      <c r="G39" s="115">
        <f>C39-F39</f>
        <v>0</v>
      </c>
      <c r="H39" s="214"/>
      <c r="L39" s="222"/>
      <c r="M39" s="222"/>
      <c r="N39" s="222"/>
    </row>
    <row r="40" spans="1:15" ht="25.5" x14ac:dyDescent="0.25">
      <c r="A40" s="241">
        <v>2</v>
      </c>
      <c r="B40" s="243" t="s">
        <v>284</v>
      </c>
      <c r="C40" s="243">
        <v>44000</v>
      </c>
      <c r="D40" s="243">
        <v>44000</v>
      </c>
      <c r="E40" s="243">
        <v>374.5</v>
      </c>
      <c r="F40" s="243">
        <f>SUM(D40:E40)</f>
        <v>44374.5</v>
      </c>
      <c r="G40" s="115">
        <f>C40-F40</f>
        <v>-374.5</v>
      </c>
      <c r="H40" s="214"/>
      <c r="L40" s="222"/>
      <c r="M40" s="222"/>
      <c r="N40" s="222"/>
    </row>
    <row r="41" spans="1:15" x14ac:dyDescent="0.25">
      <c r="A41" s="241"/>
      <c r="B41" s="243"/>
      <c r="C41" s="243"/>
      <c r="D41" s="243"/>
      <c r="E41" s="243"/>
      <c r="F41" s="243"/>
      <c r="G41" s="110"/>
      <c r="L41" s="117"/>
      <c r="M41" s="117"/>
      <c r="N41" s="117"/>
    </row>
    <row r="42" spans="1:15" x14ac:dyDescent="0.25">
      <c r="G42" s="122"/>
      <c r="K42" s="117"/>
      <c r="L42" s="117"/>
      <c r="M42" s="117"/>
      <c r="N42" s="117"/>
      <c r="O42" s="122"/>
    </row>
    <row r="43" spans="1:15" x14ac:dyDescent="0.25">
      <c r="B43" s="262" t="s">
        <v>291</v>
      </c>
      <c r="C43" s="220" t="s">
        <v>285</v>
      </c>
      <c r="D43" s="220" t="s">
        <v>286</v>
      </c>
      <c r="E43" s="219" t="s">
        <v>76</v>
      </c>
      <c r="F43" s="119"/>
      <c r="N43" s="117"/>
    </row>
    <row r="44" spans="1:15" x14ac:dyDescent="0.25">
      <c r="B44" s="250"/>
      <c r="C44" s="250"/>
      <c r="D44" s="250"/>
      <c r="E44" s="250"/>
      <c r="N44" s="117"/>
    </row>
    <row r="45" spans="1:15" ht="15" x14ac:dyDescent="0.25">
      <c r="B45" s="253" t="s">
        <v>77</v>
      </c>
      <c r="C45" s="254">
        <f>C30</f>
        <v>25999.999999999996</v>
      </c>
      <c r="D45" s="254">
        <f>F30</f>
        <v>25625.544000000002</v>
      </c>
      <c r="E45" s="254">
        <f>C45-D45</f>
        <v>374.45599999999467</v>
      </c>
      <c r="N45" s="117"/>
    </row>
    <row r="46" spans="1:15" ht="15.75" thickBot="1" x14ac:dyDescent="0.3">
      <c r="B46" s="255" t="s">
        <v>292</v>
      </c>
      <c r="C46" s="256">
        <f>C38</f>
        <v>44725</v>
      </c>
      <c r="D46" s="256">
        <f>F38</f>
        <v>45099.5</v>
      </c>
      <c r="E46" s="256">
        <f>C46-D46</f>
        <v>-374.5</v>
      </c>
      <c r="J46" s="114" t="s">
        <v>190</v>
      </c>
      <c r="N46" s="117"/>
    </row>
    <row r="47" spans="1:15" ht="15" x14ac:dyDescent="0.25">
      <c r="B47" s="251"/>
      <c r="C47" s="252">
        <f>SUM(C45:C46)</f>
        <v>70725</v>
      </c>
      <c r="D47" s="252">
        <f>SUM(D45:D46)</f>
        <v>70725.043999999994</v>
      </c>
      <c r="E47" s="252">
        <f>C47-D47</f>
        <v>-4.3999999994412065E-2</v>
      </c>
      <c r="M47" s="117"/>
      <c r="N47" s="117"/>
      <c r="O47" s="119"/>
    </row>
  </sheetData>
  <mergeCells count="20">
    <mergeCell ref="C36:C37"/>
    <mergeCell ref="D36:G36"/>
    <mergeCell ref="A30:B30"/>
    <mergeCell ref="A38:B38"/>
    <mergeCell ref="K2:K3"/>
    <mergeCell ref="L2:O2"/>
    <mergeCell ref="A4:B4"/>
    <mergeCell ref="I4:J4"/>
    <mergeCell ref="A28:A29"/>
    <mergeCell ref="B28:B29"/>
    <mergeCell ref="C28:C29"/>
    <mergeCell ref="D28:G28"/>
    <mergeCell ref="A36:A37"/>
    <mergeCell ref="B36:B37"/>
    <mergeCell ref="A2:A3"/>
    <mergeCell ref="B2:B3"/>
    <mergeCell ref="C2:C3"/>
    <mergeCell ref="D2:G2"/>
    <mergeCell ref="I2:I3"/>
    <mergeCell ref="J2:J3"/>
  </mergeCells>
  <pageMargins left="0.7" right="0.7" top="0.17" bottom="0.17" header="0.3" footer="0.17"/>
  <pageSetup paperSize="9" scale="90" orientation="landscape" horizontalDpi="300" verticalDpi="300" r:id="rId1"/>
  <ignoredErrors>
    <ignoredError sqref="D8 D21 F19 F20 D19 F21 F31:F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showGridLines="0" zoomScale="80" zoomScaleNormal="80" workbookViewId="0">
      <selection activeCell="M6" sqref="M6"/>
    </sheetView>
  </sheetViews>
  <sheetFormatPr defaultRowHeight="12.75" outlineLevelRow="1" x14ac:dyDescent="0.25"/>
  <cols>
    <col min="1" max="1" width="2.7109375" style="114" customWidth="1"/>
    <col min="2" max="2" width="60" style="114" customWidth="1"/>
    <col min="3" max="3" width="18.28515625" style="114" customWidth="1"/>
    <col min="4" max="4" width="16.28515625" style="114" customWidth="1"/>
    <col min="5" max="5" width="13.85546875" style="114" customWidth="1"/>
    <col min="6" max="6" width="16" style="114" customWidth="1"/>
    <col min="7" max="7" width="13" style="114" customWidth="1"/>
    <col min="8" max="8" width="1.5703125" style="118" customWidth="1"/>
    <col min="9" max="9" width="3.5703125" style="114" customWidth="1"/>
    <col min="10" max="10" width="62.85546875" style="114" customWidth="1"/>
    <col min="11" max="11" width="16.42578125" style="114" customWidth="1"/>
    <col min="12" max="12" width="14.7109375" style="114" customWidth="1"/>
    <col min="13" max="13" width="13.5703125" style="114" customWidth="1"/>
    <col min="14" max="14" width="15.5703125" style="114" customWidth="1"/>
    <col min="15" max="15" width="12.5703125" style="114" customWidth="1"/>
    <col min="16" max="16384" width="9.140625" style="114"/>
  </cols>
  <sheetData>
    <row r="1" spans="1:15" ht="21" x14ac:dyDescent="0.25">
      <c r="B1" s="221" t="s">
        <v>295</v>
      </c>
    </row>
    <row r="2" spans="1:15" ht="22.5" customHeight="1" x14ac:dyDescent="0.25">
      <c r="A2" s="264"/>
      <c r="B2" s="266" t="s">
        <v>290</v>
      </c>
      <c r="C2" s="268" t="s">
        <v>285</v>
      </c>
      <c r="D2" s="272" t="s">
        <v>286</v>
      </c>
      <c r="E2" s="273"/>
      <c r="F2" s="273"/>
      <c r="G2" s="273"/>
      <c r="H2" s="209"/>
      <c r="I2" s="264"/>
      <c r="J2" s="277" t="s">
        <v>190</v>
      </c>
      <c r="K2" s="270" t="s">
        <v>285</v>
      </c>
      <c r="L2" s="272" t="s">
        <v>286</v>
      </c>
      <c r="M2" s="273"/>
      <c r="N2" s="273"/>
      <c r="O2" s="273"/>
    </row>
    <row r="3" spans="1:15" ht="57" customHeight="1" x14ac:dyDescent="0.25">
      <c r="A3" s="265"/>
      <c r="B3" s="267"/>
      <c r="C3" s="269"/>
      <c r="D3" s="220" t="s">
        <v>287</v>
      </c>
      <c r="E3" s="220" t="s">
        <v>288</v>
      </c>
      <c r="F3" s="220" t="s">
        <v>5</v>
      </c>
      <c r="G3" s="219" t="s">
        <v>76</v>
      </c>
      <c r="H3" s="210"/>
      <c r="I3" s="276"/>
      <c r="J3" s="277"/>
      <c r="K3" s="271"/>
      <c r="L3" s="260" t="s">
        <v>293</v>
      </c>
      <c r="M3" s="260" t="s">
        <v>294</v>
      </c>
      <c r="N3" s="260" t="s">
        <v>5</v>
      </c>
      <c r="O3" s="258" t="s">
        <v>76</v>
      </c>
    </row>
    <row r="4" spans="1:15" ht="33" customHeight="1" x14ac:dyDescent="0.25">
      <c r="A4" s="274" t="s">
        <v>77</v>
      </c>
      <c r="B4" s="274"/>
      <c r="C4" s="223">
        <f>C7+C20+C19+C21</f>
        <v>26000000</v>
      </c>
      <c r="D4" s="224">
        <f>D7+D19+D20+D21</f>
        <v>21180376.969999999</v>
      </c>
      <c r="E4" s="224">
        <f>E7+E19+E20+E21</f>
        <v>4530726.75</v>
      </c>
      <c r="F4" s="224">
        <f>F7+F19+F20+F21</f>
        <v>25711103.720000003</v>
      </c>
      <c r="G4" s="215">
        <f>C4-F4</f>
        <v>288896.27999999747</v>
      </c>
      <c r="H4" s="209"/>
      <c r="I4" s="275" t="s">
        <v>289</v>
      </c>
      <c r="J4" s="275"/>
      <c r="K4" s="257">
        <f>K5+K6</f>
        <v>44725000</v>
      </c>
      <c r="L4" s="257">
        <f>L5+L6</f>
        <v>44725000</v>
      </c>
      <c r="M4" s="257">
        <f>M5+M6</f>
        <v>288896.32333333336</v>
      </c>
      <c r="N4" s="257">
        <f>N5+N6</f>
        <v>45013896.32333333</v>
      </c>
      <c r="O4" s="259">
        <f>K4-N4</f>
        <v>-288896.32333333045</v>
      </c>
    </row>
    <row r="5" spans="1:15" ht="33" customHeight="1" x14ac:dyDescent="0.25">
      <c r="A5" s="225"/>
      <c r="B5" s="226"/>
      <c r="C5" s="227"/>
      <c r="D5" s="227"/>
      <c r="E5" s="227"/>
      <c r="F5" s="227"/>
      <c r="G5" s="217"/>
      <c r="H5" s="209"/>
      <c r="I5" s="244">
        <v>1</v>
      </c>
      <c r="J5" s="243" t="s">
        <v>281</v>
      </c>
      <c r="K5" s="243">
        <v>725000</v>
      </c>
      <c r="L5" s="243">
        <v>725000</v>
      </c>
      <c r="M5" s="243">
        <v>0</v>
      </c>
      <c r="N5" s="243">
        <f>SUM(L5:M5)</f>
        <v>725000</v>
      </c>
      <c r="O5" s="115">
        <f>K5-N5</f>
        <v>0</v>
      </c>
    </row>
    <row r="6" spans="1:15" ht="33" customHeight="1" x14ac:dyDescent="0.25">
      <c r="A6" s="228"/>
      <c r="B6" s="229"/>
      <c r="C6" s="230"/>
      <c r="D6" s="230"/>
      <c r="E6" s="230"/>
      <c r="F6" s="230"/>
      <c r="G6" s="218"/>
      <c r="H6" s="209"/>
      <c r="I6" s="244">
        <v>2</v>
      </c>
      <c r="J6" s="243" t="s">
        <v>284</v>
      </c>
      <c r="K6" s="243">
        <v>44000000</v>
      </c>
      <c r="L6" s="243">
        <f>44000000+SUM(L8:L16)</f>
        <v>44000000</v>
      </c>
      <c r="M6" s="243">
        <f>SUM(M9:M16)</f>
        <v>288896.32333333336</v>
      </c>
      <c r="N6" s="243">
        <f>SUM(L6:M6)</f>
        <v>44288896.32333333</v>
      </c>
      <c r="O6" s="115">
        <f>K6-N6</f>
        <v>-288896.32333333045</v>
      </c>
    </row>
    <row r="7" spans="1:15" ht="34.5" customHeight="1" x14ac:dyDescent="0.25">
      <c r="A7" s="231">
        <v>1</v>
      </c>
      <c r="B7" s="232" t="s">
        <v>78</v>
      </c>
      <c r="C7" s="233">
        <v>19318600</v>
      </c>
      <c r="D7" s="233">
        <f>SUM(D8:D18)</f>
        <v>15621490.719999999</v>
      </c>
      <c r="E7" s="233">
        <f>SUM(E8:E18)</f>
        <v>3380770</v>
      </c>
      <c r="F7" s="233">
        <f>SUM(F8:F18)</f>
        <v>19002260.720000003</v>
      </c>
      <c r="G7" s="216">
        <f>C7-F7</f>
        <v>316339.27999999747</v>
      </c>
      <c r="H7" s="209"/>
      <c r="I7" s="241"/>
      <c r="J7" s="243"/>
      <c r="K7" s="243"/>
      <c r="L7" s="243"/>
      <c r="M7" s="243"/>
      <c r="N7" s="243"/>
      <c r="O7" s="110"/>
    </row>
    <row r="8" spans="1:15" outlineLevel="1" x14ac:dyDescent="0.25">
      <c r="A8" s="234"/>
      <c r="B8" s="235" t="s">
        <v>74</v>
      </c>
      <c r="C8" s="236"/>
      <c r="D8" s="237">
        <f>SUM('გაწ.-მოს.ხარჯ ssa'!I4:S4)</f>
        <v>15419850.209999999</v>
      </c>
      <c r="E8" s="237">
        <f>'გაწ.-მოს.ხარჯ ssa'!T4+'გაწ.-მოს.ხარჯ ssa'!U4</f>
        <v>3102970</v>
      </c>
      <c r="F8" s="236">
        <f>SUM(D8:E8)</f>
        <v>18522820.210000001</v>
      </c>
      <c r="G8" s="116"/>
      <c r="H8" s="209"/>
      <c r="I8" s="234"/>
      <c r="J8" s="245"/>
      <c r="K8" s="246"/>
      <c r="L8" s="246"/>
      <c r="M8" s="246"/>
      <c r="N8" s="246"/>
      <c r="O8" s="116"/>
    </row>
    <row r="9" spans="1:15" outlineLevel="1" x14ac:dyDescent="0.25">
      <c r="A9" s="234"/>
      <c r="B9" s="235" t="s">
        <v>158</v>
      </c>
      <c r="C9" s="236"/>
      <c r="D9" s="235">
        <f>7641.75</f>
        <v>7641.75</v>
      </c>
      <c r="E9" s="235">
        <v>0</v>
      </c>
      <c r="F9" s="236">
        <f t="shared" ref="F9:F21" si="0">SUM(D9:E9)</f>
        <v>7641.75</v>
      </c>
      <c r="G9" s="116"/>
      <c r="H9" s="211"/>
      <c r="I9" s="234"/>
      <c r="J9" s="235" t="s">
        <v>158</v>
      </c>
      <c r="K9" s="246"/>
      <c r="L9" s="246"/>
      <c r="M9" s="246">
        <f>გადაუდ.ცენტრი!E13*2</f>
        <v>59800</v>
      </c>
      <c r="N9" s="246"/>
      <c r="O9" s="116"/>
    </row>
    <row r="10" spans="1:15" outlineLevel="1" x14ac:dyDescent="0.25">
      <c r="A10" s="234"/>
      <c r="B10" s="235" t="s">
        <v>282</v>
      </c>
      <c r="C10" s="236"/>
      <c r="D10" s="235">
        <v>27539.5</v>
      </c>
      <c r="E10" s="235">
        <v>0</v>
      </c>
      <c r="F10" s="236">
        <f t="shared" si="0"/>
        <v>27539.5</v>
      </c>
      <c r="G10" s="116"/>
      <c r="H10" s="211"/>
      <c r="I10" s="234"/>
      <c r="J10" s="235" t="s">
        <v>282</v>
      </c>
      <c r="K10" s="246"/>
      <c r="L10" s="235"/>
      <c r="M10" s="235">
        <v>9023.89</v>
      </c>
      <c r="N10" s="235"/>
      <c r="O10" s="116"/>
    </row>
    <row r="11" spans="1:15" outlineLevel="1" x14ac:dyDescent="0.25">
      <c r="A11" s="234"/>
      <c r="B11" s="235" t="s">
        <v>159</v>
      </c>
      <c r="C11" s="236"/>
      <c r="D11" s="236">
        <v>43995</v>
      </c>
      <c r="E11" s="236">
        <v>0</v>
      </c>
      <c r="F11" s="236">
        <f t="shared" si="0"/>
        <v>43995</v>
      </c>
      <c r="G11" s="116"/>
      <c r="H11" s="209"/>
      <c r="I11" s="234"/>
      <c r="J11" s="235" t="s">
        <v>159</v>
      </c>
      <c r="K11" s="246"/>
      <c r="L11" s="246"/>
      <c r="M11" s="246">
        <v>0</v>
      </c>
      <c r="N11" s="246"/>
      <c r="O11" s="116"/>
    </row>
    <row r="12" spans="1:15" outlineLevel="1" x14ac:dyDescent="0.25">
      <c r="A12" s="234"/>
      <c r="B12" s="235" t="s">
        <v>160</v>
      </c>
      <c r="C12" s="236"/>
      <c r="D12" s="236">
        <f>'გაწ.-მოს.ხარჯ ssa'!B4</f>
        <v>29831</v>
      </c>
      <c r="E12" s="236">
        <v>0</v>
      </c>
      <c r="F12" s="236">
        <f t="shared" si="0"/>
        <v>29831</v>
      </c>
      <c r="G12" s="116"/>
      <c r="H12" s="209"/>
      <c r="I12" s="234"/>
      <c r="J12" s="235" t="s">
        <v>160</v>
      </c>
      <c r="K12" s="247"/>
      <c r="L12" s="247"/>
      <c r="M12" s="247">
        <v>0</v>
      </c>
      <c r="N12" s="247"/>
      <c r="O12" s="116"/>
    </row>
    <row r="13" spans="1:15" outlineLevel="1" x14ac:dyDescent="0.25">
      <c r="A13" s="234"/>
      <c r="B13" s="235" t="s">
        <v>161</v>
      </c>
      <c r="C13" s="236"/>
      <c r="D13" s="236">
        <f>'გაწ.-მოს.ხარჯ ssa'!D4</f>
        <v>47199</v>
      </c>
      <c r="E13" s="236">
        <v>0</v>
      </c>
      <c r="F13" s="236">
        <f t="shared" si="0"/>
        <v>47199</v>
      </c>
      <c r="G13" s="116"/>
      <c r="H13" s="209"/>
      <c r="I13" s="234"/>
      <c r="J13" s="235" t="s">
        <v>161</v>
      </c>
      <c r="K13" s="246"/>
      <c r="L13" s="246"/>
      <c r="M13" s="246">
        <v>0</v>
      </c>
      <c r="N13" s="246"/>
      <c r="O13" s="116"/>
    </row>
    <row r="14" spans="1:15" outlineLevel="1" x14ac:dyDescent="0.25">
      <c r="A14" s="234"/>
      <c r="B14" s="235" t="s">
        <v>163</v>
      </c>
      <c r="C14" s="236"/>
      <c r="D14" s="238">
        <v>0</v>
      </c>
      <c r="E14" s="236">
        <v>0</v>
      </c>
      <c r="F14" s="236">
        <f t="shared" si="0"/>
        <v>0</v>
      </c>
      <c r="G14" s="116"/>
      <c r="H14" s="212"/>
      <c r="I14" s="234"/>
      <c r="J14" s="235" t="s">
        <v>163</v>
      </c>
      <c r="K14" s="246"/>
      <c r="L14" s="246"/>
      <c r="M14" s="246">
        <f>გადაუდ.ცენტრი!E14*2</f>
        <v>70200</v>
      </c>
      <c r="N14" s="246"/>
      <c r="O14" s="116"/>
    </row>
    <row r="15" spans="1:15" outlineLevel="1" x14ac:dyDescent="0.25">
      <c r="A15" s="234"/>
      <c r="B15" s="235" t="s">
        <v>162</v>
      </c>
      <c r="C15" s="236"/>
      <c r="D15" s="238">
        <v>0</v>
      </c>
      <c r="E15" s="236">
        <v>0</v>
      </c>
      <c r="F15" s="236">
        <f t="shared" si="0"/>
        <v>0</v>
      </c>
      <c r="G15" s="116"/>
      <c r="H15" s="212"/>
      <c r="I15" s="234"/>
      <c r="J15" s="235" t="s">
        <v>162</v>
      </c>
      <c r="K15" s="246"/>
      <c r="L15" s="246"/>
      <c r="M15" s="246">
        <f>გადაუდ.ცენტრი!G22</f>
        <v>4759.333333333333</v>
      </c>
      <c r="N15" s="246"/>
      <c r="O15" s="116"/>
    </row>
    <row r="16" spans="1:15" outlineLevel="1" x14ac:dyDescent="0.25">
      <c r="A16" s="234"/>
      <c r="B16" s="235" t="s">
        <v>196</v>
      </c>
      <c r="C16" s="239"/>
      <c r="D16" s="240">
        <v>0</v>
      </c>
      <c r="E16" s="237">
        <v>0</v>
      </c>
      <c r="F16" s="236">
        <f t="shared" si="0"/>
        <v>0</v>
      </c>
      <c r="G16" s="121"/>
      <c r="H16" s="213"/>
      <c r="I16" s="234"/>
      <c r="J16" s="235" t="s">
        <v>196</v>
      </c>
      <c r="K16" s="247"/>
      <c r="L16" s="237"/>
      <c r="M16" s="237">
        <v>145113.1</v>
      </c>
      <c r="N16" s="237"/>
      <c r="O16" s="121"/>
    </row>
    <row r="17" spans="1:15" outlineLevel="1" x14ac:dyDescent="0.25">
      <c r="A17" s="234"/>
      <c r="B17" s="235" t="s">
        <v>283</v>
      </c>
      <c r="C17" s="236"/>
      <c r="D17" s="238">
        <v>0</v>
      </c>
      <c r="E17" s="236">
        <f>გადაუდ.ცენტრი!G8</f>
        <v>247800</v>
      </c>
      <c r="F17" s="236">
        <f>SUM(D17:E17)</f>
        <v>247800</v>
      </c>
      <c r="G17" s="116"/>
      <c r="H17" s="212"/>
      <c r="I17" s="234"/>
      <c r="J17" s="248"/>
      <c r="K17" s="236"/>
      <c r="L17" s="236"/>
      <c r="M17" s="236"/>
      <c r="N17" s="236"/>
      <c r="O17" s="116"/>
    </row>
    <row r="18" spans="1:15" outlineLevel="1" x14ac:dyDescent="0.25">
      <c r="A18" s="234"/>
      <c r="B18" s="235" t="s">
        <v>79</v>
      </c>
      <c r="C18" s="236"/>
      <c r="D18" s="237">
        <f>'გაწ.-მოს.ხარჯ ssa'!G4+7*1000*2</f>
        <v>45434.259999999995</v>
      </c>
      <c r="E18" s="237">
        <f>10*1000*3</f>
        <v>30000</v>
      </c>
      <c r="F18" s="236">
        <f>SUM(D18:E18)</f>
        <v>75434.259999999995</v>
      </c>
      <c r="G18" s="116"/>
      <c r="H18" s="212"/>
      <c r="I18" s="234"/>
      <c r="J18" s="249"/>
      <c r="K18" s="246"/>
      <c r="L18" s="246"/>
      <c r="M18" s="246"/>
      <c r="N18" s="246"/>
      <c r="O18" s="116"/>
    </row>
    <row r="19" spans="1:15" ht="51" customHeight="1" x14ac:dyDescent="0.25">
      <c r="A19" s="241">
        <v>2</v>
      </c>
      <c r="B19" s="242" t="s">
        <v>81</v>
      </c>
      <c r="C19" s="243">
        <v>213300</v>
      </c>
      <c r="D19" s="243">
        <f>SUM('გაწ.-მოს.ხარჯ ssa'!J5:S5)</f>
        <v>178041</v>
      </c>
      <c r="E19" s="243">
        <f>SUM('გაწ.-მოს.ხარჯ ssa'!T5:U5)+10296*2</f>
        <v>55214</v>
      </c>
      <c r="F19" s="243">
        <f t="shared" si="0"/>
        <v>233255</v>
      </c>
      <c r="G19" s="115">
        <f>C19-F19</f>
        <v>-19955</v>
      </c>
      <c r="H19" s="212"/>
      <c r="I19" s="122"/>
      <c r="J19" s="119"/>
      <c r="L19" s="118"/>
      <c r="M19" s="118"/>
      <c r="N19" s="222"/>
    </row>
    <row r="20" spans="1:15" ht="51.75" customHeight="1" x14ac:dyDescent="0.25">
      <c r="A20" s="241">
        <v>3</v>
      </c>
      <c r="B20" s="242" t="s">
        <v>80</v>
      </c>
      <c r="C20" s="243">
        <v>3742100</v>
      </c>
      <c r="D20" s="243">
        <f>'3.სპეც'!C42*8+'3.სპეც'!K42*2</f>
        <v>3119790</v>
      </c>
      <c r="E20" s="243">
        <f>'3.სპეც'!M42*2</f>
        <v>629798</v>
      </c>
      <c r="F20" s="243">
        <f t="shared" si="0"/>
        <v>3749588</v>
      </c>
      <c r="G20" s="115">
        <f>C20-F20</f>
        <v>-7488</v>
      </c>
      <c r="H20" s="212"/>
      <c r="L20" s="118"/>
      <c r="M20" s="222"/>
      <c r="N20" s="222"/>
    </row>
    <row r="21" spans="1:15" ht="57.75" customHeight="1" x14ac:dyDescent="0.25">
      <c r="A21" s="241">
        <v>4</v>
      </c>
      <c r="B21" s="242" t="s">
        <v>82</v>
      </c>
      <c r="C21" s="243">
        <v>2726000</v>
      </c>
      <c r="D21" s="243">
        <f>SUM('გაწ.-მოს.ხარჯ ssa'!I7:S7)</f>
        <v>2261055.25</v>
      </c>
      <c r="E21" s="243">
        <f>SUM('გაწ.-მოს.ხარჯ ssa'!T7:U7)+'გაწ.-მოს.ხარჯ ssa'!C7</f>
        <v>464944.75</v>
      </c>
      <c r="F21" s="243">
        <f t="shared" si="0"/>
        <v>2726000</v>
      </c>
      <c r="G21" s="115">
        <f>C21-F21</f>
        <v>0</v>
      </c>
      <c r="H21" s="214"/>
      <c r="L21" s="118"/>
      <c r="M21" s="120"/>
      <c r="N21" s="120"/>
    </row>
    <row r="23" spans="1:15" x14ac:dyDescent="0.25">
      <c r="G23" s="122"/>
      <c r="J23" s="114" t="s">
        <v>190</v>
      </c>
      <c r="K23" s="117"/>
      <c r="L23" s="117"/>
      <c r="M23" s="117"/>
      <c r="N23" s="117"/>
      <c r="O23" s="122"/>
    </row>
    <row r="24" spans="1:15" x14ac:dyDescent="0.25">
      <c r="B24" s="261" t="s">
        <v>291</v>
      </c>
      <c r="C24" s="220" t="s">
        <v>285</v>
      </c>
      <c r="D24" s="220" t="s">
        <v>286</v>
      </c>
      <c r="E24" s="219" t="s">
        <v>76</v>
      </c>
      <c r="F24" s="119"/>
    </row>
    <row r="25" spans="1:15" x14ac:dyDescent="0.25">
      <c r="B25" s="250"/>
      <c r="C25" s="250"/>
      <c r="D25" s="250"/>
      <c r="E25" s="250"/>
    </row>
    <row r="26" spans="1:15" ht="15" x14ac:dyDescent="0.25">
      <c r="B26" s="253" t="s">
        <v>77</v>
      </c>
      <c r="C26" s="254">
        <f>C4</f>
        <v>26000000</v>
      </c>
      <c r="D26" s="254">
        <f>F4</f>
        <v>25711103.720000003</v>
      </c>
      <c r="E26" s="254">
        <f>C26-D26</f>
        <v>288896.27999999747</v>
      </c>
    </row>
    <row r="27" spans="1:15" ht="15.75" thickBot="1" x14ac:dyDescent="0.3">
      <c r="B27" s="255" t="s">
        <v>292</v>
      </c>
      <c r="C27" s="256">
        <f>K4</f>
        <v>44725000</v>
      </c>
      <c r="D27" s="256">
        <f>N4</f>
        <v>45013896.32333333</v>
      </c>
      <c r="E27" s="256">
        <f>C27-D27</f>
        <v>-288896.32333333045</v>
      </c>
    </row>
    <row r="28" spans="1:15" ht="15" x14ac:dyDescent="0.25">
      <c r="B28" s="251"/>
      <c r="C28" s="252">
        <f>SUM(C26:C27)</f>
        <v>70725000</v>
      </c>
      <c r="D28" s="252">
        <f>SUM(D26:D27)</f>
        <v>70725000.043333337</v>
      </c>
      <c r="E28" s="252">
        <f>C28-D28</f>
        <v>-4.3333336710929871E-2</v>
      </c>
    </row>
    <row r="29" spans="1:15" x14ac:dyDescent="0.25">
      <c r="D29" s="117"/>
      <c r="E29" s="117"/>
      <c r="F29" s="117"/>
    </row>
    <row r="30" spans="1:15" x14ac:dyDescent="0.25">
      <c r="D30" s="117"/>
      <c r="E30" s="117"/>
      <c r="F30" s="117"/>
    </row>
    <row r="31" spans="1:15" x14ac:dyDescent="0.25">
      <c r="D31" s="117"/>
      <c r="E31" s="117"/>
      <c r="F31" s="117"/>
    </row>
    <row r="32" spans="1:15" x14ac:dyDescent="0.25">
      <c r="D32" s="117"/>
      <c r="E32" s="117"/>
      <c r="F32" s="117"/>
    </row>
    <row r="33" spans="4:6" x14ac:dyDescent="0.25">
      <c r="D33" s="117"/>
      <c r="E33" s="117"/>
      <c r="F33" s="117"/>
    </row>
    <row r="34" spans="4:6" x14ac:dyDescent="0.25">
      <c r="F34" s="119"/>
    </row>
    <row r="35" spans="4:6" x14ac:dyDescent="0.25">
      <c r="D35" s="117"/>
    </row>
    <row r="37" spans="4:6" x14ac:dyDescent="0.25">
      <c r="F37" s="117"/>
    </row>
    <row r="38" spans="4:6" x14ac:dyDescent="0.25">
      <c r="F38" s="119"/>
    </row>
  </sheetData>
  <mergeCells count="10">
    <mergeCell ref="K2:K3"/>
    <mergeCell ref="L2:O2"/>
    <mergeCell ref="A4:B4"/>
    <mergeCell ref="I4:J4"/>
    <mergeCell ref="A2:A3"/>
    <mergeCell ref="B2:B3"/>
    <mergeCell ref="C2:C3"/>
    <mergeCell ref="D2:G2"/>
    <mergeCell ref="I2:I3"/>
    <mergeCell ref="J2:J3"/>
  </mergeCells>
  <pageMargins left="0.7" right="0.7" top="0.17" bottom="0.17" header="0.3" footer="0.17"/>
  <pageSetup paperSize="9" scale="90" orientation="landscape" horizontalDpi="300" verticalDpi="300" r:id="rId1"/>
  <ignoredErrors>
    <ignoredError sqref="D8 D19:E19 D21:E21 N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3"/>
  <sheetViews>
    <sheetView workbookViewId="0">
      <selection activeCell="F2" sqref="F2"/>
    </sheetView>
  </sheetViews>
  <sheetFormatPr defaultRowHeight="15" x14ac:dyDescent="0.25"/>
  <cols>
    <col min="1" max="1" width="2" customWidth="1"/>
    <col min="2" max="2" width="47.42578125" customWidth="1"/>
    <col min="3" max="3" width="19.85546875" customWidth="1"/>
    <col min="4" max="8" width="22.42578125" customWidth="1"/>
    <col min="10" max="10" width="14.42578125" customWidth="1"/>
    <col min="11" max="11" width="10" bestFit="1" customWidth="1"/>
    <col min="12" max="12" width="16.7109375" customWidth="1"/>
    <col min="13" max="13" width="11.28515625" customWidth="1"/>
    <col min="14" max="14" width="28.85546875" customWidth="1"/>
  </cols>
  <sheetData>
    <row r="1" spans="1:14" s="84" customFormat="1" ht="60" x14ac:dyDescent="0.25">
      <c r="A1" s="182"/>
      <c r="B1" s="278" t="s">
        <v>197</v>
      </c>
      <c r="C1" s="278"/>
      <c r="D1" s="183" t="s">
        <v>228</v>
      </c>
      <c r="E1" s="183" t="s">
        <v>229</v>
      </c>
      <c r="F1" s="184" t="s">
        <v>230</v>
      </c>
      <c r="G1" s="185" t="s">
        <v>231</v>
      </c>
      <c r="H1" s="186" t="s">
        <v>232</v>
      </c>
      <c r="I1" s="187"/>
      <c r="J1" s="187"/>
      <c r="K1" s="187"/>
      <c r="L1" s="187"/>
      <c r="M1" s="187"/>
      <c r="N1" s="188"/>
    </row>
    <row r="2" spans="1:14" ht="48.75" x14ac:dyDescent="0.25">
      <c r="A2" s="189">
        <v>1</v>
      </c>
      <c r="B2" s="190" t="s">
        <v>233</v>
      </c>
      <c r="C2" s="190" t="s">
        <v>234</v>
      </c>
      <c r="D2" s="190" t="s">
        <v>235</v>
      </c>
      <c r="E2" s="190" t="s">
        <v>236</v>
      </c>
      <c r="F2" s="191">
        <v>10</v>
      </c>
      <c r="G2" s="192">
        <f t="shared" ref="G2:G9" si="0">1150*F2</f>
        <v>11500</v>
      </c>
      <c r="H2" s="193">
        <v>23000</v>
      </c>
      <c r="I2" s="187">
        <v>0.15</v>
      </c>
      <c r="J2" s="194">
        <f>G2*I2</f>
        <v>1725</v>
      </c>
      <c r="K2" s="194">
        <f>I2*H2</f>
        <v>3450</v>
      </c>
      <c r="L2" s="195" t="s">
        <v>237</v>
      </c>
      <c r="M2" s="196" t="s">
        <v>238</v>
      </c>
      <c r="N2" s="196" t="s">
        <v>239</v>
      </c>
    </row>
    <row r="3" spans="1:14" ht="48.75" x14ac:dyDescent="0.25">
      <c r="A3" s="189">
        <v>2</v>
      </c>
      <c r="B3" s="190" t="s">
        <v>240</v>
      </c>
      <c r="C3" s="190" t="s">
        <v>241</v>
      </c>
      <c r="D3" s="190" t="s">
        <v>242</v>
      </c>
      <c r="E3" s="190" t="s">
        <v>236</v>
      </c>
      <c r="F3" s="191">
        <v>10</v>
      </c>
      <c r="G3" s="192">
        <f t="shared" si="0"/>
        <v>11500</v>
      </c>
      <c r="H3" s="193">
        <v>23000</v>
      </c>
      <c r="I3" s="187">
        <v>0.05</v>
      </c>
      <c r="J3" s="194">
        <f>G3*I3</f>
        <v>575</v>
      </c>
      <c r="K3" s="194">
        <f>I3*H3</f>
        <v>1150</v>
      </c>
      <c r="L3" s="195" t="s">
        <v>237</v>
      </c>
      <c r="M3" s="196" t="s">
        <v>238</v>
      </c>
      <c r="N3" s="196" t="s">
        <v>239</v>
      </c>
    </row>
    <row r="4" spans="1:14" ht="48.75" x14ac:dyDescent="0.25">
      <c r="A4" s="189">
        <v>3</v>
      </c>
      <c r="B4" s="190" t="s">
        <v>243</v>
      </c>
      <c r="C4" s="190" t="s">
        <v>244</v>
      </c>
      <c r="D4" s="190" t="s">
        <v>245</v>
      </c>
      <c r="E4" s="190" t="s">
        <v>236</v>
      </c>
      <c r="F4" s="191">
        <v>10</v>
      </c>
      <c r="G4" s="192">
        <f t="shared" si="0"/>
        <v>11500</v>
      </c>
      <c r="H4" s="193">
        <v>23000</v>
      </c>
      <c r="I4" s="187">
        <v>0.04</v>
      </c>
      <c r="J4" s="194">
        <f>G4*I4</f>
        <v>460</v>
      </c>
      <c r="K4" s="194">
        <f>I4*H4</f>
        <v>920</v>
      </c>
      <c r="L4" s="195" t="s">
        <v>237</v>
      </c>
      <c r="M4" s="196" t="s">
        <v>238</v>
      </c>
      <c r="N4" s="196" t="s">
        <v>239</v>
      </c>
    </row>
    <row r="5" spans="1:14" ht="48.75" x14ac:dyDescent="0.25">
      <c r="A5" s="189">
        <v>4</v>
      </c>
      <c r="B5" s="190" t="s">
        <v>246</v>
      </c>
      <c r="C5" s="190" t="s">
        <v>247</v>
      </c>
      <c r="D5" s="190" t="s">
        <v>248</v>
      </c>
      <c r="E5" s="190" t="s">
        <v>236</v>
      </c>
      <c r="F5" s="191">
        <v>10</v>
      </c>
      <c r="G5" s="192">
        <f>1150*F5</f>
        <v>11500</v>
      </c>
      <c r="H5" s="193">
        <v>23000</v>
      </c>
      <c r="I5" s="187">
        <v>0.03</v>
      </c>
      <c r="J5" s="194">
        <f>G5*I5</f>
        <v>345</v>
      </c>
      <c r="K5" s="194">
        <f>I5*H5</f>
        <v>690</v>
      </c>
      <c r="L5" s="197" t="s">
        <v>249</v>
      </c>
      <c r="M5" s="196" t="s">
        <v>238</v>
      </c>
      <c r="N5" s="196" t="s">
        <v>239</v>
      </c>
    </row>
    <row r="6" spans="1:14" ht="48.75" x14ac:dyDescent="0.25">
      <c r="A6" s="198">
        <v>5</v>
      </c>
      <c r="B6" s="190" t="s">
        <v>250</v>
      </c>
      <c r="C6" s="190" t="s">
        <v>251</v>
      </c>
      <c r="D6" s="190" t="s">
        <v>252</v>
      </c>
      <c r="E6" s="190" t="s">
        <v>253</v>
      </c>
      <c r="F6" s="208">
        <v>1</v>
      </c>
      <c r="G6" s="192">
        <f t="shared" si="0"/>
        <v>1150</v>
      </c>
      <c r="H6" s="193">
        <v>2300</v>
      </c>
      <c r="I6" s="187">
        <v>4.8</v>
      </c>
      <c r="J6" s="194">
        <f>G6*I6</f>
        <v>5520</v>
      </c>
      <c r="K6" s="194">
        <f>H6*I6</f>
        <v>11040</v>
      </c>
      <c r="L6" s="197" t="s">
        <v>254</v>
      </c>
      <c r="M6" s="196" t="s">
        <v>238</v>
      </c>
      <c r="N6" s="196" t="s">
        <v>239</v>
      </c>
    </row>
    <row r="7" spans="1:14" ht="135" x14ac:dyDescent="0.25">
      <c r="A7" s="198">
        <v>6</v>
      </c>
      <c r="B7" s="190" t="s">
        <v>255</v>
      </c>
      <c r="C7" s="190" t="s">
        <v>256</v>
      </c>
      <c r="D7" s="190" t="s">
        <v>257</v>
      </c>
      <c r="E7" s="190" t="s">
        <v>258</v>
      </c>
      <c r="F7" s="208">
        <v>5</v>
      </c>
      <c r="G7" s="192">
        <f t="shared" si="0"/>
        <v>5750</v>
      </c>
      <c r="H7" s="193">
        <v>6900</v>
      </c>
      <c r="I7" s="187">
        <v>0.33</v>
      </c>
      <c r="J7" s="194">
        <f>I7*G7</f>
        <v>1897.5</v>
      </c>
      <c r="K7" s="194">
        <f>I7*H7</f>
        <v>2277</v>
      </c>
      <c r="L7" s="195" t="s">
        <v>259</v>
      </c>
      <c r="M7" s="187"/>
      <c r="N7" s="199"/>
    </row>
    <row r="8" spans="1:14" ht="60" x14ac:dyDescent="0.25">
      <c r="A8" s="198">
        <v>7</v>
      </c>
      <c r="B8" s="190" t="s">
        <v>260</v>
      </c>
      <c r="C8" s="190" t="s">
        <v>261</v>
      </c>
      <c r="D8" s="190" t="s">
        <v>262</v>
      </c>
      <c r="E8" s="190" t="s">
        <v>263</v>
      </c>
      <c r="F8" s="190">
        <v>5</v>
      </c>
      <c r="G8" s="192">
        <f t="shared" si="0"/>
        <v>5750</v>
      </c>
      <c r="H8" s="193">
        <v>12570</v>
      </c>
      <c r="I8" s="187"/>
      <c r="J8" s="187"/>
      <c r="K8" s="187"/>
      <c r="L8" s="195" t="s">
        <v>264</v>
      </c>
      <c r="M8" s="199"/>
      <c r="N8" s="200"/>
    </row>
    <row r="9" spans="1:14" ht="90.75" thickBot="1" x14ac:dyDescent="0.3">
      <c r="A9" s="201">
        <v>8</v>
      </c>
      <c r="B9" s="202" t="s">
        <v>265</v>
      </c>
      <c r="C9" s="202" t="s">
        <v>266</v>
      </c>
      <c r="D9" s="202" t="s">
        <v>267</v>
      </c>
      <c r="E9" s="202" t="s">
        <v>268</v>
      </c>
      <c r="F9" s="207">
        <v>6</v>
      </c>
      <c r="G9" s="192">
        <f t="shared" si="0"/>
        <v>6900</v>
      </c>
      <c r="H9" s="203">
        <v>11500</v>
      </c>
      <c r="I9" s="187">
        <v>0.26</v>
      </c>
      <c r="J9" s="204">
        <f>G9*I9</f>
        <v>1794</v>
      </c>
      <c r="K9" s="204">
        <f>H9*I9</f>
        <v>2990</v>
      </c>
      <c r="L9" s="195" t="s">
        <v>269</v>
      </c>
      <c r="M9" s="199"/>
      <c r="N9" s="200"/>
    </row>
    <row r="10" spans="1:14" x14ac:dyDescent="0.25">
      <c r="A10" s="199"/>
      <c r="B10" s="199"/>
      <c r="C10" s="199"/>
      <c r="D10" s="199"/>
      <c r="E10" s="199"/>
      <c r="F10" s="199"/>
      <c r="G10" s="199"/>
      <c r="H10" s="199"/>
      <c r="I10" s="199"/>
      <c r="J10" s="206">
        <f>SUM(J2:J9)</f>
        <v>12316.5</v>
      </c>
      <c r="K10" s="199"/>
      <c r="L10" s="199"/>
      <c r="M10" s="199"/>
      <c r="N10" s="199"/>
    </row>
    <row r="11" spans="1:14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4" ht="20.25" customHeight="1" x14ac:dyDescent="0.25">
      <c r="A12" s="199"/>
      <c r="B12" s="279" t="s">
        <v>270</v>
      </c>
      <c r="C12" s="279"/>
      <c r="D12" s="279"/>
      <c r="E12" s="279"/>
      <c r="F12" s="279"/>
      <c r="G12" s="279"/>
      <c r="H12" s="279"/>
      <c r="I12" s="199"/>
      <c r="J12" s="199"/>
      <c r="K12" s="199"/>
      <c r="L12" s="199"/>
      <c r="M12" s="199"/>
      <c r="N12" s="199"/>
    </row>
    <row r="13" spans="1:14" ht="18.75" customHeight="1" x14ac:dyDescent="0.25">
      <c r="A13" s="199"/>
      <c r="B13" s="205" t="s">
        <v>271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ht="18.75" customHeight="1" x14ac:dyDescent="0.25">
      <c r="A14" s="199"/>
      <c r="B14" s="205" t="s">
        <v>272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</row>
    <row r="15" spans="1:14" ht="18.75" customHeight="1" x14ac:dyDescent="0.25">
      <c r="A15" s="199"/>
      <c r="B15" s="205" t="s">
        <v>273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18.75" customHeight="1" x14ac:dyDescent="0.25">
      <c r="A16" s="199"/>
      <c r="B16" s="205" t="s">
        <v>274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ht="18.75" customHeight="1" x14ac:dyDescent="0.25">
      <c r="A17" s="199"/>
      <c r="B17" s="205" t="s">
        <v>275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ht="18.75" customHeight="1" x14ac:dyDescent="0.25">
      <c r="A18" s="199"/>
      <c r="B18" s="205" t="s">
        <v>276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18.75" customHeight="1" x14ac:dyDescent="0.25">
      <c r="A19" s="199"/>
      <c r="B19" s="205" t="s">
        <v>277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</row>
    <row r="20" spans="1:14" ht="18.75" customHeight="1" x14ac:dyDescent="0.25">
      <c r="A20" s="199"/>
      <c r="B20" s="205" t="s">
        <v>278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</row>
    <row r="21" spans="1:14" ht="18.75" customHeight="1" x14ac:dyDescent="0.25">
      <c r="A21" s="199"/>
      <c r="B21" s="205" t="s">
        <v>279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</row>
    <row r="22" spans="1:14" ht="18.75" customHeight="1" x14ac:dyDescent="0.25">
      <c r="A22" s="199"/>
      <c r="B22" s="205" t="s">
        <v>280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spans="1:14" x14ac:dyDescent="0.25">
      <c r="B23" s="199"/>
      <c r="C23" s="199"/>
      <c r="D23" s="199"/>
      <c r="E23" s="199"/>
      <c r="F23" s="199"/>
      <c r="G23" s="199"/>
      <c r="H23" s="199"/>
    </row>
  </sheetData>
  <mergeCells count="2">
    <mergeCell ref="B1:C1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W145"/>
  <sheetViews>
    <sheetView workbookViewId="0">
      <pane ySplit="2" topLeftCell="A3" activePane="bottomLeft" state="frozen"/>
      <selection activeCell="A2" sqref="A2"/>
      <selection pane="bottomLeft" activeCell="C7" sqref="C7"/>
    </sheetView>
  </sheetViews>
  <sheetFormatPr defaultRowHeight="11.25" x14ac:dyDescent="0.2"/>
  <cols>
    <col min="1" max="1" width="29.28515625" style="5" customWidth="1"/>
    <col min="2" max="2" width="10.42578125" style="5" customWidth="1"/>
    <col min="3" max="3" width="13.5703125" style="5" customWidth="1"/>
    <col min="4" max="7" width="10.42578125" style="5" customWidth="1"/>
    <col min="8" max="9" width="12.7109375" style="2" customWidth="1"/>
    <col min="10" max="21" width="11.140625" style="2" customWidth="1"/>
    <col min="22" max="22" width="12.42578125" style="2" customWidth="1"/>
    <col min="23" max="23" width="14.42578125" style="2" customWidth="1"/>
    <col min="24" max="24" width="24.28515625" style="2" customWidth="1"/>
    <col min="25" max="16384" width="9.140625" style="2"/>
  </cols>
  <sheetData>
    <row r="1" spans="1:23" s="1" customFormat="1" ht="30" customHeight="1" x14ac:dyDescent="0.15">
      <c r="A1" s="280" t="s">
        <v>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2"/>
      <c r="P1" s="283" t="s">
        <v>6</v>
      </c>
      <c r="Q1" s="284"/>
      <c r="R1" s="284"/>
      <c r="S1" s="284"/>
      <c r="T1" s="284"/>
      <c r="U1" s="285"/>
    </row>
    <row r="2" spans="1:23" s="9" customFormat="1" ht="86.25" customHeight="1" x14ac:dyDescent="0.25">
      <c r="A2" s="11" t="s">
        <v>0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8" t="s">
        <v>156</v>
      </c>
      <c r="I2" s="8" t="s">
        <v>157</v>
      </c>
      <c r="J2" s="10">
        <v>43435</v>
      </c>
      <c r="K2" s="10">
        <v>43466</v>
      </c>
      <c r="L2" s="10">
        <v>43497</v>
      </c>
      <c r="M2" s="10">
        <v>43525</v>
      </c>
      <c r="N2" s="10">
        <v>43556</v>
      </c>
      <c r="O2" s="10">
        <v>43586</v>
      </c>
      <c r="P2" s="10">
        <v>43617</v>
      </c>
      <c r="Q2" s="10">
        <v>43647</v>
      </c>
      <c r="R2" s="10">
        <v>43678</v>
      </c>
      <c r="S2" s="10">
        <v>43709</v>
      </c>
      <c r="T2" s="10">
        <v>43739</v>
      </c>
      <c r="U2" s="10">
        <v>43770</v>
      </c>
      <c r="V2" s="10" t="s">
        <v>5</v>
      </c>
    </row>
    <row r="3" spans="1:23" s="6" customFormat="1" ht="58.5" customHeight="1" x14ac:dyDescent="0.2">
      <c r="A3" s="3" t="s">
        <v>1</v>
      </c>
      <c r="B3" s="4">
        <f t="shared" ref="B3:U3" si="0">B4+B6+B5+B7</f>
        <v>29831</v>
      </c>
      <c r="C3" s="4">
        <f t="shared" si="0"/>
        <v>22610.39</v>
      </c>
      <c r="D3" s="4">
        <f t="shared" si="0"/>
        <v>47199</v>
      </c>
      <c r="E3" s="4">
        <f>E4+E6+E5+E7</f>
        <v>93576</v>
      </c>
      <c r="F3" s="4">
        <f t="shared" si="0"/>
        <v>35000</v>
      </c>
      <c r="G3" s="4">
        <f t="shared" si="0"/>
        <v>31434.26</v>
      </c>
      <c r="H3" s="4">
        <f>H4+H6+H5+H7</f>
        <v>79176</v>
      </c>
      <c r="I3" s="4">
        <f t="shared" ref="I3" si="1">I4+I6+I5+I7</f>
        <v>3346.54</v>
      </c>
      <c r="J3" s="4">
        <f t="shared" si="0"/>
        <v>2082334.86</v>
      </c>
      <c r="K3" s="4">
        <f t="shared" si="0"/>
        <v>2070131.53</v>
      </c>
      <c r="L3" s="4">
        <f t="shared" si="0"/>
        <v>2080373.26</v>
      </c>
      <c r="M3" s="4">
        <f t="shared" si="0"/>
        <v>2080523.91</v>
      </c>
      <c r="N3" s="4">
        <f t="shared" si="0"/>
        <v>2091179.25</v>
      </c>
      <c r="O3" s="4">
        <f t="shared" si="0"/>
        <v>2086519.1099999999</v>
      </c>
      <c r="P3" s="4">
        <f t="shared" si="0"/>
        <v>2101387</v>
      </c>
      <c r="Q3" s="4">
        <f t="shared" si="0"/>
        <v>2101387</v>
      </c>
      <c r="R3" s="4">
        <f t="shared" si="0"/>
        <v>2101387</v>
      </c>
      <c r="S3" s="4">
        <f t="shared" si="0"/>
        <v>2101387</v>
      </c>
      <c r="T3" s="4">
        <f t="shared" si="0"/>
        <v>2101387</v>
      </c>
      <c r="U3" s="4">
        <f t="shared" si="0"/>
        <v>2103407</v>
      </c>
      <c r="V3" s="4">
        <f>SUM(B3:U3)</f>
        <v>25443577.109999999</v>
      </c>
    </row>
    <row r="4" spans="1:23" s="6" customFormat="1" ht="66.75" customHeight="1" x14ac:dyDescent="0.2">
      <c r="A4" s="4" t="s">
        <v>2</v>
      </c>
      <c r="B4" s="4">
        <v>29831</v>
      </c>
      <c r="C4" s="4">
        <v>16665.64</v>
      </c>
      <c r="D4" s="4">
        <v>47199</v>
      </c>
      <c r="E4" s="4">
        <v>0</v>
      </c>
      <c r="F4" s="4">
        <v>35000</v>
      </c>
      <c r="G4" s="4">
        <v>31434.26</v>
      </c>
      <c r="H4" s="27">
        <v>79176</v>
      </c>
      <c r="I4" s="27">
        <v>866.7</v>
      </c>
      <c r="J4" s="7">
        <v>1529963.86</v>
      </c>
      <c r="K4" s="7">
        <v>1525030.98</v>
      </c>
      <c r="L4" s="7">
        <v>1540235.26</v>
      </c>
      <c r="M4" s="7">
        <v>1538811.18</v>
      </c>
      <c r="N4" s="7">
        <v>1539267.25</v>
      </c>
      <c r="O4" s="7">
        <v>1539734.98</v>
      </c>
      <c r="P4" s="7">
        <v>1551485</v>
      </c>
      <c r="Q4" s="7">
        <v>1551485</v>
      </c>
      <c r="R4" s="7">
        <v>1551485</v>
      </c>
      <c r="S4" s="7">
        <v>1551485</v>
      </c>
      <c r="T4" s="7">
        <v>1551485</v>
      </c>
      <c r="U4" s="7">
        <v>1551485</v>
      </c>
      <c r="V4" s="7">
        <f>SUM(B4:U4)</f>
        <v>18762126.109999999</v>
      </c>
    </row>
    <row r="5" spans="1:23" s="6" customFormat="1" ht="66.75" customHeight="1" x14ac:dyDescent="0.2">
      <c r="A5" s="4" t="s">
        <v>3</v>
      </c>
      <c r="B5" s="4">
        <v>0</v>
      </c>
      <c r="C5" s="4">
        <v>0</v>
      </c>
      <c r="D5" s="4">
        <v>0</v>
      </c>
      <c r="E5" s="4">
        <v>0</v>
      </c>
      <c r="F5" s="4"/>
      <c r="G5" s="4"/>
      <c r="H5" s="7"/>
      <c r="I5" s="7"/>
      <c r="J5" s="7">
        <v>19433</v>
      </c>
      <c r="K5" s="7">
        <v>19483</v>
      </c>
      <c r="L5" s="7">
        <v>19483</v>
      </c>
      <c r="M5" s="7">
        <v>19816</v>
      </c>
      <c r="N5" s="7">
        <v>18321</v>
      </c>
      <c r="O5" s="7">
        <v>16301</v>
      </c>
      <c r="P5" s="7">
        <v>16301</v>
      </c>
      <c r="Q5" s="7">
        <v>16301</v>
      </c>
      <c r="R5" s="7">
        <v>16301</v>
      </c>
      <c r="S5" s="7">
        <v>16301</v>
      </c>
      <c r="T5" s="7">
        <v>16301</v>
      </c>
      <c r="U5" s="7">
        <v>18321</v>
      </c>
      <c r="V5" s="7">
        <f>SUM(B5:U5)</f>
        <v>212663</v>
      </c>
    </row>
    <row r="6" spans="1:23" s="6" customFormat="1" ht="66.75" customHeight="1" x14ac:dyDescent="0.2">
      <c r="A6" s="4" t="s">
        <v>10</v>
      </c>
      <c r="B6" s="4">
        <v>0</v>
      </c>
      <c r="C6" s="4">
        <v>0</v>
      </c>
      <c r="D6" s="4">
        <v>0</v>
      </c>
      <c r="E6" s="4">
        <v>93576</v>
      </c>
      <c r="F6" s="4"/>
      <c r="G6" s="4"/>
      <c r="H6" s="7"/>
      <c r="I6" s="7"/>
      <c r="J6" s="7">
        <v>304101</v>
      </c>
      <c r="K6" s="7">
        <v>304101</v>
      </c>
      <c r="L6" s="7">
        <v>304101</v>
      </c>
      <c r="M6" s="7">
        <v>304101</v>
      </c>
      <c r="N6" s="7">
        <v>304101</v>
      </c>
      <c r="O6" s="7">
        <v>304101</v>
      </c>
      <c r="P6" s="7">
        <v>304101</v>
      </c>
      <c r="Q6" s="7">
        <v>304101</v>
      </c>
      <c r="R6" s="7">
        <v>304101</v>
      </c>
      <c r="S6" s="7">
        <v>304101</v>
      </c>
      <c r="T6" s="7">
        <v>304101</v>
      </c>
      <c r="U6" s="7">
        <v>304101</v>
      </c>
      <c r="V6" s="27">
        <f>SUM(B6:U6)</f>
        <v>3742788</v>
      </c>
      <c r="W6" s="24"/>
    </row>
    <row r="7" spans="1:23" s="6" customFormat="1" ht="66.75" customHeight="1" x14ac:dyDescent="0.2">
      <c r="A7" s="4" t="s">
        <v>4</v>
      </c>
      <c r="B7" s="4">
        <v>0</v>
      </c>
      <c r="C7" s="4">
        <v>5944.75</v>
      </c>
      <c r="D7" s="4">
        <v>0</v>
      </c>
      <c r="E7" s="4">
        <v>0</v>
      </c>
      <c r="F7" s="4"/>
      <c r="G7" s="4"/>
      <c r="H7" s="7"/>
      <c r="I7" s="7">
        <v>2479.84</v>
      </c>
      <c r="J7" s="7">
        <v>228837</v>
      </c>
      <c r="K7" s="7">
        <v>221516.55</v>
      </c>
      <c r="L7" s="7">
        <v>216554</v>
      </c>
      <c r="M7" s="7">
        <v>217795.73</v>
      </c>
      <c r="N7" s="7">
        <v>229490</v>
      </c>
      <c r="O7" s="7">
        <v>226382.13</v>
      </c>
      <c r="P7" s="7">
        <v>229500</v>
      </c>
      <c r="Q7" s="7">
        <v>229500</v>
      </c>
      <c r="R7" s="7">
        <v>229500</v>
      </c>
      <c r="S7" s="7">
        <v>229500</v>
      </c>
      <c r="T7" s="7">
        <v>229500</v>
      </c>
      <c r="U7" s="7">
        <v>229500</v>
      </c>
      <c r="V7" s="7">
        <f>SUM(B7:U7)</f>
        <v>2726000</v>
      </c>
    </row>
    <row r="8" spans="1:23" s="28" customFormat="1" x14ac:dyDescent="0.2">
      <c r="A8" s="25"/>
      <c r="B8" s="25"/>
      <c r="C8" s="25"/>
      <c r="D8" s="25"/>
      <c r="E8" s="25"/>
      <c r="F8" s="25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3" s="28" customFormat="1" x14ac:dyDescent="0.2">
      <c r="A9" s="25"/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45" spans="1:7" x14ac:dyDescent="0.2">
      <c r="A145" s="2"/>
      <c r="B145" s="2"/>
      <c r="C145" s="2"/>
      <c r="D145" s="2"/>
      <c r="E145" s="2"/>
      <c r="F145" s="2"/>
      <c r="G145" s="2"/>
    </row>
  </sheetData>
  <mergeCells count="2">
    <mergeCell ref="A1:O1"/>
    <mergeCell ref="P1:U1"/>
  </mergeCells>
  <pageMargins left="0.7" right="0.7" top="0.75" bottom="0.75" header="0.3" footer="0.3"/>
  <pageSetup paperSize="9" orientation="landscape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B3:I29"/>
  <sheetViews>
    <sheetView topLeftCell="A7" workbookViewId="0">
      <selection activeCell="D25" sqref="D25"/>
    </sheetView>
  </sheetViews>
  <sheetFormatPr defaultRowHeight="15" x14ac:dyDescent="0.25"/>
  <cols>
    <col min="1" max="1" width="0.7109375" customWidth="1"/>
    <col min="2" max="2" width="79" bestFit="1" customWidth="1"/>
    <col min="3" max="3" width="12" customWidth="1"/>
    <col min="4" max="4" width="16.28515625" customWidth="1"/>
    <col min="5" max="5" width="12.140625" customWidth="1"/>
    <col min="6" max="6" width="28.28515625" customWidth="1"/>
    <col min="7" max="7" width="18.140625" customWidth="1"/>
    <col min="8" max="8" width="25.7109375" style="84" customWidth="1"/>
    <col min="9" max="9" width="25.7109375" customWidth="1"/>
  </cols>
  <sheetData>
    <row r="3" spans="2:9" ht="24" x14ac:dyDescent="0.25">
      <c r="B3" s="83" t="s">
        <v>197</v>
      </c>
      <c r="C3" s="83" t="s">
        <v>192</v>
      </c>
      <c r="D3" s="83" t="s">
        <v>198</v>
      </c>
      <c r="E3" s="83" t="s">
        <v>199</v>
      </c>
      <c r="F3" s="83" t="s">
        <v>200</v>
      </c>
      <c r="G3" s="83" t="s">
        <v>201</v>
      </c>
      <c r="H3" s="83" t="s">
        <v>298</v>
      </c>
    </row>
    <row r="4" spans="2:9" x14ac:dyDescent="0.25">
      <c r="B4" s="85" t="s">
        <v>202</v>
      </c>
      <c r="C4" s="86">
        <v>21</v>
      </c>
      <c r="D4" s="87">
        <v>1300</v>
      </c>
      <c r="E4" s="87">
        <f>D4*C4</f>
        <v>27300</v>
      </c>
      <c r="F4" s="87">
        <f>E4*12</f>
        <v>327600</v>
      </c>
      <c r="G4" s="87">
        <f>E4*3</f>
        <v>81900</v>
      </c>
      <c r="H4" s="103">
        <f>E4*2</f>
        <v>54600</v>
      </c>
    </row>
    <row r="5" spans="2:9" x14ac:dyDescent="0.25">
      <c r="B5" s="85" t="s">
        <v>203</v>
      </c>
      <c r="C5" s="86">
        <v>1</v>
      </c>
      <c r="D5" s="87">
        <v>2200</v>
      </c>
      <c r="E5" s="87">
        <f>D5*C5</f>
        <v>2200</v>
      </c>
      <c r="F5" s="87">
        <f t="shared" ref="F5:F7" si="0">E5*12</f>
        <v>26400</v>
      </c>
      <c r="G5" s="87">
        <f>E5*3</f>
        <v>6600</v>
      </c>
      <c r="H5" s="103">
        <f>E5*2</f>
        <v>4400</v>
      </c>
    </row>
    <row r="6" spans="2:9" x14ac:dyDescent="0.25">
      <c r="B6" s="85" t="s">
        <v>204</v>
      </c>
      <c r="C6" s="86">
        <v>59</v>
      </c>
      <c r="D6" s="87">
        <v>650</v>
      </c>
      <c r="E6" s="87">
        <f>D6*C6</f>
        <v>38350</v>
      </c>
      <c r="F6" s="87">
        <f t="shared" si="0"/>
        <v>460200</v>
      </c>
      <c r="G6" s="87">
        <f>E6*3</f>
        <v>115050</v>
      </c>
      <c r="H6" s="103">
        <f>E6*2</f>
        <v>76700</v>
      </c>
    </row>
    <row r="7" spans="2:9" x14ac:dyDescent="0.25">
      <c r="B7" s="85" t="s">
        <v>205</v>
      </c>
      <c r="C7" s="86">
        <v>59</v>
      </c>
      <c r="D7" s="87">
        <v>250</v>
      </c>
      <c r="E7" s="87">
        <f>D7*C7</f>
        <v>14750</v>
      </c>
      <c r="F7" s="87">
        <f t="shared" si="0"/>
        <v>177000</v>
      </c>
      <c r="G7" s="87">
        <f>E7*3</f>
        <v>44250</v>
      </c>
      <c r="H7" s="103">
        <f>E7*2</f>
        <v>29500</v>
      </c>
    </row>
    <row r="8" spans="2:9" x14ac:dyDescent="0.25">
      <c r="C8" s="88"/>
      <c r="D8" s="89"/>
      <c r="E8" s="90">
        <f>'[1]სსდც 08.08.19'!E13*2</f>
        <v>59800</v>
      </c>
      <c r="F8" s="90">
        <f>SUM(F4:F7)</f>
        <v>991200</v>
      </c>
      <c r="G8" s="90">
        <f>SUM(G4:G7)</f>
        <v>247800</v>
      </c>
      <c r="H8" s="90">
        <f>SUM(H4:H7)</f>
        <v>165200</v>
      </c>
      <c r="I8" s="12"/>
    </row>
    <row r="9" spans="2:9" x14ac:dyDescent="0.25">
      <c r="F9" s="91"/>
    </row>
    <row r="11" spans="2:9" x14ac:dyDescent="0.25">
      <c r="I11" s="92"/>
    </row>
    <row r="12" spans="2:9" ht="48" x14ac:dyDescent="0.25">
      <c r="B12" s="93" t="s">
        <v>197</v>
      </c>
      <c r="C12" s="93" t="s">
        <v>192</v>
      </c>
      <c r="D12" s="93" t="s">
        <v>206</v>
      </c>
      <c r="E12" s="93" t="s">
        <v>199</v>
      </c>
      <c r="F12" s="83" t="s">
        <v>200</v>
      </c>
      <c r="G12" s="93" t="s">
        <v>207</v>
      </c>
      <c r="H12" s="94" t="s">
        <v>208</v>
      </c>
    </row>
    <row r="13" spans="2:9" x14ac:dyDescent="0.25">
      <c r="B13" s="85" t="s">
        <v>209</v>
      </c>
      <c r="C13" s="86">
        <v>1300</v>
      </c>
      <c r="D13" s="87">
        <v>23</v>
      </c>
      <c r="E13" s="95">
        <f>D13*C13</f>
        <v>29900</v>
      </c>
      <c r="F13" s="87">
        <f>E13*12</f>
        <v>358800</v>
      </c>
      <c r="G13" s="87">
        <f>E13*2-H13</f>
        <v>52158.25</v>
      </c>
      <c r="H13" s="96">
        <f>'[2]ბიუჯეტი 2019'!$D$5</f>
        <v>7641.75</v>
      </c>
    </row>
    <row r="14" spans="2:9" x14ac:dyDescent="0.25">
      <c r="B14" s="85" t="s">
        <v>210</v>
      </c>
      <c r="C14" s="86">
        <v>900</v>
      </c>
      <c r="D14" s="87">
        <v>39</v>
      </c>
      <c r="E14" s="95">
        <f>D14*C14</f>
        <v>35100</v>
      </c>
      <c r="F14" s="87">
        <f>E14*12</f>
        <v>421200</v>
      </c>
      <c r="G14" s="87">
        <f>E14*2-H14</f>
        <v>9000</v>
      </c>
      <c r="H14" s="96">
        <v>61200</v>
      </c>
    </row>
    <row r="15" spans="2:9" x14ac:dyDescent="0.25">
      <c r="B15" s="97"/>
      <c r="C15" s="98"/>
      <c r="D15" s="99"/>
      <c r="E15" s="88" t="s">
        <v>5</v>
      </c>
      <c r="F15" s="90">
        <f>SUM(F13:F14)</f>
        <v>780000</v>
      </c>
      <c r="G15" s="90">
        <f>SUM(G13:G14)</f>
        <v>61158.25</v>
      </c>
      <c r="H15"/>
    </row>
    <row r="16" spans="2:9" x14ac:dyDescent="0.25">
      <c r="B16" s="97"/>
      <c r="C16" s="98"/>
      <c r="D16" s="99"/>
      <c r="E16" s="88"/>
      <c r="F16" s="90"/>
      <c r="H16" s="100"/>
    </row>
    <row r="17" spans="2:9" ht="15.75" thickBot="1" x14ac:dyDescent="0.3"/>
    <row r="18" spans="2:9" ht="36" x14ac:dyDescent="0.25">
      <c r="B18" s="101" t="s">
        <v>197</v>
      </c>
      <c r="C18" s="102" t="s">
        <v>192</v>
      </c>
      <c r="D18" s="102" t="s">
        <v>211</v>
      </c>
      <c r="E18" s="102" t="s">
        <v>199</v>
      </c>
      <c r="F18" s="102" t="s">
        <v>212</v>
      </c>
      <c r="G18" s="102" t="s">
        <v>207</v>
      </c>
      <c r="H18" s="102"/>
    </row>
    <row r="19" spans="2:9" x14ac:dyDescent="0.25">
      <c r="B19" s="85" t="s">
        <v>213</v>
      </c>
      <c r="C19" s="86">
        <v>59</v>
      </c>
      <c r="D19" s="87">
        <f>60/6</f>
        <v>10</v>
      </c>
      <c r="E19" s="87">
        <f>D19*C19</f>
        <v>590</v>
      </c>
      <c r="F19" s="87">
        <f>E19*12</f>
        <v>7080</v>
      </c>
      <c r="G19" s="87">
        <f>E19*2</f>
        <v>1180</v>
      </c>
      <c r="H19" s="103"/>
    </row>
    <row r="20" spans="2:9" x14ac:dyDescent="0.25">
      <c r="B20" s="85" t="s">
        <v>214</v>
      </c>
      <c r="C20" s="86">
        <v>59</v>
      </c>
      <c r="D20" s="87">
        <f>8.5*2</f>
        <v>17</v>
      </c>
      <c r="E20" s="87">
        <f>D20*C20</f>
        <v>1003</v>
      </c>
      <c r="F20" s="87">
        <f>E20*12</f>
        <v>12036</v>
      </c>
      <c r="G20" s="87">
        <f>E20*2</f>
        <v>2006</v>
      </c>
      <c r="H20" s="103"/>
    </row>
    <row r="21" spans="2:9" x14ac:dyDescent="0.25">
      <c r="B21" s="85" t="s">
        <v>215</v>
      </c>
      <c r="C21" s="86">
        <v>59</v>
      </c>
      <c r="D21" s="87" t="s">
        <v>216</v>
      </c>
      <c r="E21" s="87" t="s">
        <v>216</v>
      </c>
      <c r="F21" s="87">
        <f>160*C21</f>
        <v>9440</v>
      </c>
      <c r="G21" s="87">
        <f>F21/6</f>
        <v>1573.3333333333333</v>
      </c>
      <c r="H21" s="103"/>
      <c r="I21" s="12"/>
    </row>
    <row r="22" spans="2:9" x14ac:dyDescent="0.25">
      <c r="B22" s="88" t="s">
        <v>5</v>
      </c>
      <c r="C22" s="88"/>
      <c r="D22" s="89"/>
      <c r="E22" s="88" t="s">
        <v>5</v>
      </c>
      <c r="F22" s="90">
        <f>SUM(F19:F21)</f>
        <v>28556</v>
      </c>
      <c r="G22" s="90">
        <f>SUM(G19:G21)</f>
        <v>4759.333333333333</v>
      </c>
      <c r="H22" s="103"/>
      <c r="I22" s="12"/>
    </row>
    <row r="24" spans="2:9" ht="60" x14ac:dyDescent="0.25">
      <c r="B24" s="93" t="s">
        <v>197</v>
      </c>
      <c r="C24" s="93" t="s">
        <v>217</v>
      </c>
      <c r="D24" s="93" t="s">
        <v>218</v>
      </c>
      <c r="E24" s="93" t="s">
        <v>219</v>
      </c>
      <c r="F24" s="104" t="s">
        <v>83</v>
      </c>
    </row>
    <row r="25" spans="2:9" ht="57" x14ac:dyDescent="0.25">
      <c r="B25" s="86" t="s">
        <v>220</v>
      </c>
      <c r="C25" s="86">
        <v>3000</v>
      </c>
      <c r="D25" s="87">
        <v>150</v>
      </c>
      <c r="E25" s="87">
        <f>D25*C25</f>
        <v>450000</v>
      </c>
      <c r="F25" s="105" t="s">
        <v>221</v>
      </c>
    </row>
    <row r="27" spans="2:9" ht="15.75" thickBot="1" x14ac:dyDescent="0.3"/>
    <row r="28" spans="2:9" ht="48" x14ac:dyDescent="0.25">
      <c r="F28" s="102" t="s">
        <v>222</v>
      </c>
      <c r="G28" s="106" t="s">
        <v>223</v>
      </c>
    </row>
    <row r="29" spans="2:9" ht="17.25" x14ac:dyDescent="0.4">
      <c r="E29" s="107" t="s">
        <v>5</v>
      </c>
      <c r="F29" s="108">
        <f>E25+G22+G15+G8</f>
        <v>763717.58333333326</v>
      </c>
      <c r="G29" s="109">
        <f>G22+G15+G8</f>
        <v>313717.58333333331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74"/>
  <sheetViews>
    <sheetView topLeftCell="A52" workbookViewId="0">
      <selection activeCell="I65" sqref="I65"/>
    </sheetView>
  </sheetViews>
  <sheetFormatPr defaultRowHeight="12.75" x14ac:dyDescent="0.25"/>
  <cols>
    <col min="1" max="1" width="5.7109375" style="30" customWidth="1"/>
    <col min="2" max="2" width="3.42578125" style="30" customWidth="1"/>
    <col min="3" max="3" width="10.28515625" style="30" customWidth="1"/>
    <col min="4" max="4" width="17.85546875" style="113" customWidth="1"/>
    <col min="5" max="5" width="13" style="30" customWidth="1"/>
    <col min="6" max="6" width="12.28515625" style="30" customWidth="1"/>
    <col min="7" max="7" width="17.140625" style="30" customWidth="1"/>
    <col min="8" max="8" width="17.7109375" style="30" customWidth="1"/>
    <col min="9" max="9" width="17.85546875" style="30" customWidth="1"/>
    <col min="10" max="16384" width="9.140625" style="30"/>
  </cols>
  <sheetData>
    <row r="1" spans="1:6" ht="13.5" thickBot="1" x14ac:dyDescent="0.3">
      <c r="E1" s="289" t="s">
        <v>72</v>
      </c>
      <c r="F1" s="290"/>
    </row>
    <row r="2" spans="1:6" s="33" customFormat="1" ht="34.5" customHeight="1" thickBot="1" x14ac:dyDescent="0.3">
      <c r="B2" s="123" t="s">
        <v>75</v>
      </c>
      <c r="C2" s="123" t="s">
        <v>84</v>
      </c>
      <c r="D2" s="123" t="s">
        <v>224</v>
      </c>
      <c r="E2" s="31" t="s">
        <v>85</v>
      </c>
      <c r="F2" s="31" t="s">
        <v>86</v>
      </c>
    </row>
    <row r="3" spans="1:6" ht="15.75" customHeight="1" x14ac:dyDescent="0.25">
      <c r="A3" s="30">
        <v>1</v>
      </c>
      <c r="B3" s="124">
        <v>1</v>
      </c>
      <c r="C3" s="286" t="s">
        <v>87</v>
      </c>
      <c r="D3" s="125" t="s">
        <v>88</v>
      </c>
      <c r="E3" s="126">
        <v>33</v>
      </c>
      <c r="F3" s="127">
        <v>33</v>
      </c>
    </row>
    <row r="4" spans="1:6" x14ac:dyDescent="0.25">
      <c r="A4" s="30">
        <v>2</v>
      </c>
      <c r="B4" s="128">
        <v>2</v>
      </c>
      <c r="C4" s="287"/>
      <c r="D4" s="129" t="s">
        <v>89</v>
      </c>
      <c r="E4" s="130">
        <v>12</v>
      </c>
      <c r="F4" s="131">
        <v>12</v>
      </c>
    </row>
    <row r="5" spans="1:6" x14ac:dyDescent="0.25">
      <c r="A5" s="30">
        <v>3</v>
      </c>
      <c r="B5" s="128">
        <v>3</v>
      </c>
      <c r="C5" s="287"/>
      <c r="D5" s="129" t="s">
        <v>90</v>
      </c>
      <c r="E5" s="130">
        <v>11</v>
      </c>
      <c r="F5" s="131">
        <v>11</v>
      </c>
    </row>
    <row r="6" spans="1:6" x14ac:dyDescent="0.25">
      <c r="A6" s="30">
        <v>4</v>
      </c>
      <c r="B6" s="128">
        <v>4</v>
      </c>
      <c r="C6" s="287"/>
      <c r="D6" s="129" t="s">
        <v>91</v>
      </c>
      <c r="E6" s="130">
        <v>20</v>
      </c>
      <c r="F6" s="131">
        <v>23</v>
      </c>
    </row>
    <row r="7" spans="1:6" x14ac:dyDescent="0.25">
      <c r="A7" s="30">
        <v>5</v>
      </c>
      <c r="B7" s="128">
        <v>5</v>
      </c>
      <c r="C7" s="287"/>
      <c r="D7" s="129" t="s">
        <v>92</v>
      </c>
      <c r="E7" s="130">
        <v>31</v>
      </c>
      <c r="F7" s="131">
        <v>31</v>
      </c>
    </row>
    <row r="8" spans="1:6" ht="13.5" thickBot="1" x14ac:dyDescent="0.3">
      <c r="B8" s="132"/>
      <c r="C8" s="288"/>
      <c r="D8" s="133"/>
      <c r="E8" s="134">
        <f t="shared" ref="E8" si="0">SUM(E3:E7)</f>
        <v>107</v>
      </c>
      <c r="F8" s="135">
        <f t="shared" ref="F8" si="1">SUM(F3:F7)</f>
        <v>110</v>
      </c>
    </row>
    <row r="9" spans="1:6" ht="21.75" customHeight="1" x14ac:dyDescent="0.25">
      <c r="A9" s="30">
        <v>6</v>
      </c>
      <c r="B9" s="124">
        <v>1</v>
      </c>
      <c r="C9" s="286" t="s">
        <v>93</v>
      </c>
      <c r="D9" s="125" t="s">
        <v>94</v>
      </c>
      <c r="E9" s="136">
        <v>37</v>
      </c>
      <c r="F9" s="137">
        <v>42</v>
      </c>
    </row>
    <row r="10" spans="1:6" x14ac:dyDescent="0.25">
      <c r="A10" s="30">
        <v>7</v>
      </c>
      <c r="B10" s="128">
        <v>2</v>
      </c>
      <c r="C10" s="287"/>
      <c r="D10" s="129" t="s">
        <v>95</v>
      </c>
      <c r="E10" s="138">
        <v>19</v>
      </c>
      <c r="F10" s="139">
        <v>21</v>
      </c>
    </row>
    <row r="11" spans="1:6" ht="21" customHeight="1" x14ac:dyDescent="0.25">
      <c r="A11" s="30">
        <v>8</v>
      </c>
      <c r="B11" s="128">
        <v>3</v>
      </c>
      <c r="C11" s="287"/>
      <c r="D11" s="129" t="s">
        <v>96</v>
      </c>
      <c r="E11" s="138">
        <v>19</v>
      </c>
      <c r="F11" s="139">
        <v>20</v>
      </c>
    </row>
    <row r="12" spans="1:6" ht="13.5" thickBot="1" x14ac:dyDescent="0.3">
      <c r="B12" s="132"/>
      <c r="C12" s="288"/>
      <c r="D12" s="133"/>
      <c r="E12" s="140">
        <f t="shared" ref="E12" si="2">SUM(E9:E11)</f>
        <v>75</v>
      </c>
      <c r="F12" s="141">
        <f t="shared" ref="F12" si="3">SUM(F9:F11)</f>
        <v>83</v>
      </c>
    </row>
    <row r="13" spans="1:6" ht="15.75" customHeight="1" x14ac:dyDescent="0.25">
      <c r="A13" s="30">
        <v>9</v>
      </c>
      <c r="B13" s="142">
        <v>1</v>
      </c>
      <c r="C13" s="286" t="s">
        <v>97</v>
      </c>
      <c r="D13" s="143" t="s">
        <v>98</v>
      </c>
      <c r="E13" s="136">
        <v>12</v>
      </c>
      <c r="F13" s="137">
        <v>12</v>
      </c>
    </row>
    <row r="14" spans="1:6" x14ac:dyDescent="0.25">
      <c r="A14" s="30">
        <v>10</v>
      </c>
      <c r="B14" s="144">
        <v>2</v>
      </c>
      <c r="C14" s="287"/>
      <c r="D14" s="145" t="s">
        <v>99</v>
      </c>
      <c r="E14" s="138">
        <v>22</v>
      </c>
      <c r="F14" s="139">
        <v>23</v>
      </c>
    </row>
    <row r="15" spans="1:6" x14ac:dyDescent="0.25">
      <c r="A15" s="30">
        <v>11</v>
      </c>
      <c r="B15" s="144">
        <v>3</v>
      </c>
      <c r="C15" s="287"/>
      <c r="D15" s="145" t="s">
        <v>100</v>
      </c>
      <c r="E15" s="146">
        <v>15</v>
      </c>
      <c r="F15" s="147">
        <v>16</v>
      </c>
    </row>
    <row r="16" spans="1:6" x14ac:dyDescent="0.25">
      <c r="A16" s="30">
        <v>12</v>
      </c>
      <c r="B16" s="144">
        <v>4</v>
      </c>
      <c r="C16" s="287"/>
      <c r="D16" s="145" t="s">
        <v>101</v>
      </c>
      <c r="E16" s="138">
        <v>32</v>
      </c>
      <c r="F16" s="139">
        <v>33</v>
      </c>
    </row>
    <row r="17" spans="1:6" ht="15.75" customHeight="1" x14ac:dyDescent="0.25">
      <c r="A17" s="30">
        <v>13</v>
      </c>
      <c r="B17" s="144">
        <v>5</v>
      </c>
      <c r="C17" s="287"/>
      <c r="D17" s="145" t="s">
        <v>102</v>
      </c>
      <c r="E17" s="146">
        <v>18</v>
      </c>
      <c r="F17" s="147">
        <v>19</v>
      </c>
    </row>
    <row r="18" spans="1:6" x14ac:dyDescent="0.25">
      <c r="A18" s="30">
        <v>14</v>
      </c>
      <c r="B18" s="144">
        <v>6</v>
      </c>
      <c r="C18" s="287"/>
      <c r="D18" s="145" t="s">
        <v>103</v>
      </c>
      <c r="E18" s="146">
        <v>17</v>
      </c>
      <c r="F18" s="147">
        <v>18</v>
      </c>
    </row>
    <row r="19" spans="1:6" x14ac:dyDescent="0.25">
      <c r="A19" s="30">
        <v>15</v>
      </c>
      <c r="B19" s="144">
        <v>7</v>
      </c>
      <c r="C19" s="287"/>
      <c r="D19" s="145" t="s">
        <v>104</v>
      </c>
      <c r="E19" s="146">
        <v>19</v>
      </c>
      <c r="F19" s="147">
        <v>20</v>
      </c>
    </row>
    <row r="20" spans="1:6" x14ac:dyDescent="0.25">
      <c r="A20" s="30">
        <v>16</v>
      </c>
      <c r="B20" s="144">
        <v>8</v>
      </c>
      <c r="C20" s="287"/>
      <c r="D20" s="145" t="s">
        <v>105</v>
      </c>
      <c r="E20" s="146">
        <v>16</v>
      </c>
      <c r="F20" s="147">
        <v>19</v>
      </c>
    </row>
    <row r="21" spans="1:6" x14ac:dyDescent="0.25">
      <c r="A21" s="30">
        <v>17</v>
      </c>
      <c r="B21" s="144">
        <v>9</v>
      </c>
      <c r="C21" s="287"/>
      <c r="D21" s="145" t="s">
        <v>106</v>
      </c>
      <c r="E21" s="138">
        <v>17</v>
      </c>
      <c r="F21" s="139">
        <v>17</v>
      </c>
    </row>
    <row r="22" spans="1:6" ht="15.75" customHeight="1" x14ac:dyDescent="0.25">
      <c r="A22" s="30">
        <v>18</v>
      </c>
      <c r="B22" s="144">
        <v>10</v>
      </c>
      <c r="C22" s="287"/>
      <c r="D22" s="145" t="s">
        <v>107</v>
      </c>
      <c r="E22" s="146">
        <v>25</v>
      </c>
      <c r="F22" s="147">
        <v>29</v>
      </c>
    </row>
    <row r="23" spans="1:6" x14ac:dyDescent="0.25">
      <c r="A23" s="30">
        <v>19</v>
      </c>
      <c r="B23" s="144">
        <v>11</v>
      </c>
      <c r="C23" s="287"/>
      <c r="D23" s="145" t="s">
        <v>108</v>
      </c>
      <c r="E23" s="146">
        <v>24</v>
      </c>
      <c r="F23" s="147">
        <v>41</v>
      </c>
    </row>
    <row r="24" spans="1:6" ht="13.5" thickBot="1" x14ac:dyDescent="0.3">
      <c r="B24" s="148"/>
      <c r="C24" s="288"/>
      <c r="D24" s="149"/>
      <c r="E24" s="134">
        <f t="shared" ref="E24" si="4">SUM(E13:E23)</f>
        <v>217</v>
      </c>
      <c r="F24" s="135">
        <f t="shared" ref="F24" si="5">SUM(F13:F23)</f>
        <v>247</v>
      </c>
    </row>
    <row r="25" spans="1:6" ht="15.75" customHeight="1" x14ac:dyDescent="0.25">
      <c r="A25" s="30">
        <v>20</v>
      </c>
      <c r="B25" s="142">
        <v>1</v>
      </c>
      <c r="C25" s="294" t="s">
        <v>109</v>
      </c>
      <c r="D25" s="143" t="s">
        <v>110</v>
      </c>
      <c r="E25" s="136">
        <v>31</v>
      </c>
      <c r="F25" s="137">
        <v>32</v>
      </c>
    </row>
    <row r="26" spans="1:6" x14ac:dyDescent="0.25">
      <c r="A26" s="30">
        <v>21</v>
      </c>
      <c r="B26" s="144">
        <v>2</v>
      </c>
      <c r="C26" s="295"/>
      <c r="D26" s="145" t="s">
        <v>111</v>
      </c>
      <c r="E26" s="138">
        <v>22</v>
      </c>
      <c r="F26" s="139">
        <v>29</v>
      </c>
    </row>
    <row r="27" spans="1:6" x14ac:dyDescent="0.25">
      <c r="A27" s="30">
        <v>22</v>
      </c>
      <c r="B27" s="144">
        <v>3</v>
      </c>
      <c r="C27" s="295"/>
      <c r="D27" s="145" t="s">
        <v>112</v>
      </c>
      <c r="E27" s="138">
        <v>29</v>
      </c>
      <c r="F27" s="139">
        <v>33</v>
      </c>
    </row>
    <row r="28" spans="1:6" x14ac:dyDescent="0.25">
      <c r="A28" s="30">
        <v>23</v>
      </c>
      <c r="B28" s="144">
        <v>4</v>
      </c>
      <c r="C28" s="295"/>
      <c r="D28" s="145" t="s">
        <v>113</v>
      </c>
      <c r="E28" s="138">
        <v>51</v>
      </c>
      <c r="F28" s="139">
        <v>65</v>
      </c>
    </row>
    <row r="29" spans="1:6" ht="13.5" thickBot="1" x14ac:dyDescent="0.3">
      <c r="B29" s="148"/>
      <c r="C29" s="296"/>
      <c r="D29" s="149"/>
      <c r="E29" s="134">
        <f t="shared" ref="E29" si="6">SUM(E25:E28)</f>
        <v>133</v>
      </c>
      <c r="F29" s="135">
        <f t="shared" ref="F29" si="7">SUM(F25:F28)</f>
        <v>159</v>
      </c>
    </row>
    <row r="30" spans="1:6" ht="15.75" customHeight="1" x14ac:dyDescent="0.25">
      <c r="A30" s="30">
        <v>24</v>
      </c>
      <c r="B30" s="142">
        <v>1</v>
      </c>
      <c r="C30" s="286" t="s">
        <v>114</v>
      </c>
      <c r="D30" s="143" t="s">
        <v>115</v>
      </c>
      <c r="E30" s="150">
        <v>38</v>
      </c>
      <c r="F30" s="151">
        <v>40</v>
      </c>
    </row>
    <row r="31" spans="1:6" x14ac:dyDescent="0.25">
      <c r="A31" s="30">
        <v>25</v>
      </c>
      <c r="B31" s="144">
        <v>2</v>
      </c>
      <c r="C31" s="287"/>
      <c r="D31" s="145" t="s">
        <v>116</v>
      </c>
      <c r="E31" s="146">
        <v>27</v>
      </c>
      <c r="F31" s="147">
        <v>29</v>
      </c>
    </row>
    <row r="32" spans="1:6" x14ac:dyDescent="0.25">
      <c r="A32" s="30">
        <v>26</v>
      </c>
      <c r="B32" s="144">
        <v>3</v>
      </c>
      <c r="C32" s="287"/>
      <c r="D32" s="145" t="s">
        <v>117</v>
      </c>
      <c r="E32" s="138">
        <v>32</v>
      </c>
      <c r="F32" s="139">
        <v>36</v>
      </c>
    </row>
    <row r="33" spans="1:6" x14ac:dyDescent="0.25">
      <c r="A33" s="30">
        <v>27</v>
      </c>
      <c r="B33" s="144">
        <v>4</v>
      </c>
      <c r="C33" s="287"/>
      <c r="D33" s="145" t="s">
        <v>118</v>
      </c>
      <c r="E33" s="138">
        <v>19</v>
      </c>
      <c r="F33" s="139">
        <v>22</v>
      </c>
    </row>
    <row r="34" spans="1:6" x14ac:dyDescent="0.25">
      <c r="A34" s="30">
        <v>28</v>
      </c>
      <c r="B34" s="144">
        <v>5</v>
      </c>
      <c r="C34" s="287"/>
      <c r="D34" s="145" t="s">
        <v>119</v>
      </c>
      <c r="E34" s="138">
        <v>20</v>
      </c>
      <c r="F34" s="139">
        <v>21</v>
      </c>
    </row>
    <row r="35" spans="1:6" x14ac:dyDescent="0.25">
      <c r="A35" s="30">
        <v>29</v>
      </c>
      <c r="B35" s="144">
        <v>6</v>
      </c>
      <c r="C35" s="287"/>
      <c r="D35" s="145" t="s">
        <v>120</v>
      </c>
      <c r="E35" s="138">
        <v>33</v>
      </c>
      <c r="F35" s="139">
        <v>33</v>
      </c>
    </row>
    <row r="36" spans="1:6" x14ac:dyDescent="0.25">
      <c r="A36" s="30">
        <v>30</v>
      </c>
      <c r="B36" s="144">
        <v>7</v>
      </c>
      <c r="C36" s="287"/>
      <c r="D36" s="145" t="s">
        <v>121</v>
      </c>
      <c r="E36" s="138">
        <v>26</v>
      </c>
      <c r="F36" s="139">
        <v>28</v>
      </c>
    </row>
    <row r="37" spans="1:6" x14ac:dyDescent="0.25">
      <c r="A37" s="30">
        <v>31</v>
      </c>
      <c r="B37" s="144">
        <v>8</v>
      </c>
      <c r="C37" s="287"/>
      <c r="D37" s="145" t="s">
        <v>122</v>
      </c>
      <c r="E37" s="138">
        <v>14</v>
      </c>
      <c r="F37" s="139">
        <v>14</v>
      </c>
    </row>
    <row r="38" spans="1:6" ht="13.5" thickBot="1" x14ac:dyDescent="0.3">
      <c r="B38" s="148"/>
      <c r="C38" s="288"/>
      <c r="D38" s="149"/>
      <c r="E38" s="134">
        <f t="shared" ref="E38" si="8">SUM(E30:E37)</f>
        <v>209</v>
      </c>
      <c r="F38" s="135">
        <f t="shared" ref="F38" si="9">SUM(F30:F37)</f>
        <v>223</v>
      </c>
    </row>
    <row r="39" spans="1:6" ht="15.75" customHeight="1" x14ac:dyDescent="0.25">
      <c r="A39" s="30">
        <v>32</v>
      </c>
      <c r="B39" s="152">
        <v>1</v>
      </c>
      <c r="C39" s="294" t="s">
        <v>123</v>
      </c>
      <c r="D39" s="143" t="s">
        <v>124</v>
      </c>
      <c r="E39" s="150">
        <v>30</v>
      </c>
      <c r="F39" s="151">
        <v>36</v>
      </c>
    </row>
    <row r="40" spans="1:6" x14ac:dyDescent="0.25">
      <c r="A40" s="30">
        <v>33</v>
      </c>
      <c r="B40" s="153">
        <v>2</v>
      </c>
      <c r="C40" s="295"/>
      <c r="D40" s="145" t="s">
        <v>125</v>
      </c>
      <c r="E40" s="146">
        <v>23</v>
      </c>
      <c r="F40" s="147">
        <v>29</v>
      </c>
    </row>
    <row r="41" spans="1:6" x14ac:dyDescent="0.25">
      <c r="A41" s="30">
        <v>34</v>
      </c>
      <c r="B41" s="153">
        <v>3</v>
      </c>
      <c r="C41" s="295"/>
      <c r="D41" s="145" t="s">
        <v>126</v>
      </c>
      <c r="E41" s="138">
        <v>7</v>
      </c>
      <c r="F41" s="139">
        <v>13</v>
      </c>
    </row>
    <row r="42" spans="1:6" x14ac:dyDescent="0.25">
      <c r="A42" s="30">
        <v>35</v>
      </c>
      <c r="B42" s="153">
        <v>4</v>
      </c>
      <c r="C42" s="295"/>
      <c r="D42" s="145" t="s">
        <v>127</v>
      </c>
      <c r="E42" s="138">
        <v>3</v>
      </c>
      <c r="F42" s="139">
        <v>5</v>
      </c>
    </row>
    <row r="43" spans="1:6" ht="13.5" thickBot="1" x14ac:dyDescent="0.3">
      <c r="B43" s="154"/>
      <c r="C43" s="296"/>
      <c r="D43" s="155"/>
      <c r="E43" s="134">
        <f t="shared" ref="E43" si="10">SUM(E39:E42)</f>
        <v>63</v>
      </c>
      <c r="F43" s="135">
        <f t="shared" ref="F43" si="11">SUM(F39:F42)</f>
        <v>83</v>
      </c>
    </row>
    <row r="44" spans="1:6" ht="15.75" customHeight="1" x14ac:dyDescent="0.25">
      <c r="A44" s="30">
        <v>34</v>
      </c>
      <c r="B44" s="142">
        <v>1</v>
      </c>
      <c r="C44" s="294" t="s">
        <v>128</v>
      </c>
      <c r="D44" s="143" t="s">
        <v>129</v>
      </c>
      <c r="E44" s="136">
        <v>21</v>
      </c>
      <c r="F44" s="137">
        <v>43</v>
      </c>
    </row>
    <row r="45" spans="1:6" x14ac:dyDescent="0.25">
      <c r="A45" s="30">
        <v>35</v>
      </c>
      <c r="B45" s="144">
        <v>2</v>
      </c>
      <c r="C45" s="295"/>
      <c r="D45" s="145" t="s">
        <v>130</v>
      </c>
      <c r="E45" s="138">
        <v>12</v>
      </c>
      <c r="F45" s="139">
        <v>23</v>
      </c>
    </row>
    <row r="46" spans="1:6" x14ac:dyDescent="0.25">
      <c r="A46" s="30">
        <v>36</v>
      </c>
      <c r="B46" s="144">
        <v>3</v>
      </c>
      <c r="C46" s="295"/>
      <c r="D46" s="145" t="s">
        <v>131</v>
      </c>
      <c r="E46" s="138">
        <v>20</v>
      </c>
      <c r="F46" s="139">
        <v>41</v>
      </c>
    </row>
    <row r="47" spans="1:6" x14ac:dyDescent="0.25">
      <c r="A47" s="30">
        <v>37</v>
      </c>
      <c r="B47" s="144">
        <v>4</v>
      </c>
      <c r="C47" s="295"/>
      <c r="D47" s="145" t="s">
        <v>132</v>
      </c>
      <c r="E47" s="138">
        <v>9</v>
      </c>
      <c r="F47" s="139">
        <v>23</v>
      </c>
    </row>
    <row r="48" spans="1:6" ht="13.5" thickBot="1" x14ac:dyDescent="0.3">
      <c r="B48" s="148"/>
      <c r="C48" s="296"/>
      <c r="D48" s="149"/>
      <c r="E48" s="134">
        <f t="shared" ref="E48" si="12">SUM(E44:E47)</f>
        <v>62</v>
      </c>
      <c r="F48" s="135">
        <f t="shared" ref="F48" si="13">SUM(F44:F47)</f>
        <v>130</v>
      </c>
    </row>
    <row r="49" spans="1:8" ht="15.75" customHeight="1" x14ac:dyDescent="0.25">
      <c r="A49" s="30">
        <v>38</v>
      </c>
      <c r="B49" s="142">
        <v>1</v>
      </c>
      <c r="C49" s="294" t="s">
        <v>133</v>
      </c>
      <c r="D49" s="156" t="s">
        <v>134</v>
      </c>
      <c r="E49" s="136">
        <v>17</v>
      </c>
      <c r="F49" s="137">
        <v>18</v>
      </c>
    </row>
    <row r="50" spans="1:8" x14ac:dyDescent="0.25">
      <c r="A50" s="30">
        <v>39</v>
      </c>
      <c r="B50" s="144">
        <v>2</v>
      </c>
      <c r="C50" s="295"/>
      <c r="D50" s="145" t="s">
        <v>135</v>
      </c>
      <c r="E50" s="138">
        <v>46</v>
      </c>
      <c r="F50" s="139">
        <v>46</v>
      </c>
    </row>
    <row r="51" spans="1:8" x14ac:dyDescent="0.25">
      <c r="A51" s="30">
        <v>40</v>
      </c>
      <c r="B51" s="144">
        <v>3</v>
      </c>
      <c r="C51" s="295"/>
      <c r="D51" s="145" t="s">
        <v>136</v>
      </c>
      <c r="E51" s="138">
        <v>22</v>
      </c>
      <c r="F51" s="139">
        <v>22</v>
      </c>
    </row>
    <row r="52" spans="1:8" x14ac:dyDescent="0.25">
      <c r="A52" s="30">
        <v>41</v>
      </c>
      <c r="B52" s="144">
        <v>4</v>
      </c>
      <c r="C52" s="295"/>
      <c r="D52" s="145" t="s">
        <v>137</v>
      </c>
      <c r="E52" s="138">
        <v>20</v>
      </c>
      <c r="F52" s="139">
        <v>21</v>
      </c>
    </row>
    <row r="53" spans="1:8" x14ac:dyDescent="0.25">
      <c r="A53" s="30">
        <v>42</v>
      </c>
      <c r="B53" s="144">
        <v>5</v>
      </c>
      <c r="C53" s="295"/>
      <c r="D53" s="145" t="s">
        <v>138</v>
      </c>
      <c r="E53" s="138">
        <v>15</v>
      </c>
      <c r="F53" s="139">
        <v>15</v>
      </c>
    </row>
    <row r="54" spans="1:8" x14ac:dyDescent="0.25">
      <c r="A54" s="30">
        <v>43</v>
      </c>
      <c r="B54" s="144">
        <v>6</v>
      </c>
      <c r="C54" s="295"/>
      <c r="D54" s="145" t="s">
        <v>139</v>
      </c>
      <c r="E54" s="138">
        <v>18</v>
      </c>
      <c r="F54" s="139">
        <v>21</v>
      </c>
    </row>
    <row r="55" spans="1:8" x14ac:dyDescent="0.25">
      <c r="A55" s="30">
        <v>44</v>
      </c>
      <c r="B55" s="144">
        <v>7</v>
      </c>
      <c r="C55" s="295"/>
      <c r="D55" s="145" t="s">
        <v>140</v>
      </c>
      <c r="E55" s="138">
        <v>15</v>
      </c>
      <c r="F55" s="139">
        <v>16</v>
      </c>
    </row>
    <row r="56" spans="1:8" x14ac:dyDescent="0.25">
      <c r="A56" s="30">
        <v>45</v>
      </c>
      <c r="B56" s="144">
        <v>8</v>
      </c>
      <c r="C56" s="295"/>
      <c r="D56" s="145" t="s">
        <v>141</v>
      </c>
      <c r="E56" s="138">
        <v>14</v>
      </c>
      <c r="F56" s="139">
        <v>30</v>
      </c>
    </row>
    <row r="57" spans="1:8" ht="13.5" thickBot="1" x14ac:dyDescent="0.3">
      <c r="B57" s="148"/>
      <c r="C57" s="296"/>
      <c r="D57" s="149"/>
      <c r="E57" s="134">
        <f t="shared" ref="E57" si="14">SUM(E49:E56)</f>
        <v>167</v>
      </c>
      <c r="F57" s="135">
        <f t="shared" ref="F57" si="15">SUM(F49:F56)</f>
        <v>189</v>
      </c>
    </row>
    <row r="58" spans="1:8" ht="15.75" customHeight="1" x14ac:dyDescent="0.25">
      <c r="A58" s="30">
        <v>46</v>
      </c>
      <c r="B58" s="142">
        <v>1</v>
      </c>
      <c r="C58" s="294" t="s">
        <v>142</v>
      </c>
      <c r="D58" s="156" t="s">
        <v>143</v>
      </c>
      <c r="E58" s="157">
        <v>24</v>
      </c>
      <c r="F58" s="158">
        <v>46</v>
      </c>
    </row>
    <row r="59" spans="1:8" x14ac:dyDescent="0.25">
      <c r="A59" s="30">
        <v>47</v>
      </c>
      <c r="B59" s="144">
        <v>2</v>
      </c>
      <c r="C59" s="295"/>
      <c r="D59" s="159" t="s">
        <v>144</v>
      </c>
      <c r="E59" s="160">
        <v>17</v>
      </c>
      <c r="F59" s="161">
        <v>22</v>
      </c>
    </row>
    <row r="60" spans="1:8" x14ac:dyDescent="0.25">
      <c r="A60" s="30">
        <v>48</v>
      </c>
      <c r="B60" s="144">
        <v>3</v>
      </c>
      <c r="C60" s="295"/>
      <c r="D60" s="145" t="s">
        <v>145</v>
      </c>
      <c r="E60" s="138">
        <v>16</v>
      </c>
      <c r="F60" s="139">
        <v>22</v>
      </c>
    </row>
    <row r="61" spans="1:8" x14ac:dyDescent="0.25">
      <c r="A61" s="30">
        <v>49</v>
      </c>
      <c r="B61" s="144">
        <v>4</v>
      </c>
      <c r="C61" s="295"/>
      <c r="D61" s="145" t="s">
        <v>146</v>
      </c>
      <c r="E61" s="160">
        <v>8</v>
      </c>
      <c r="F61" s="139">
        <v>15</v>
      </c>
    </row>
    <row r="62" spans="1:8" ht="18" customHeight="1" x14ac:dyDescent="0.25">
      <c r="A62" s="30">
        <v>50</v>
      </c>
      <c r="B62" s="144">
        <v>5</v>
      </c>
      <c r="C62" s="295"/>
      <c r="D62" s="145" t="s">
        <v>147</v>
      </c>
      <c r="E62" s="138">
        <v>14</v>
      </c>
      <c r="F62" s="139">
        <v>21</v>
      </c>
    </row>
    <row r="63" spans="1:8" x14ac:dyDescent="0.25">
      <c r="A63" s="30">
        <v>51</v>
      </c>
      <c r="B63" s="144">
        <v>6</v>
      </c>
      <c r="C63" s="295"/>
      <c r="D63" s="145" t="s">
        <v>148</v>
      </c>
      <c r="E63" s="160">
        <v>19</v>
      </c>
      <c r="F63" s="139">
        <v>28</v>
      </c>
    </row>
    <row r="64" spans="1:8" ht="13.5" thickBot="1" x14ac:dyDescent="0.3">
      <c r="B64" s="148"/>
      <c r="C64" s="296"/>
      <c r="D64" s="149"/>
      <c r="E64" s="134">
        <f t="shared" ref="E64" si="16">SUM(E58:E63)</f>
        <v>98</v>
      </c>
      <c r="F64" s="135">
        <f t="shared" ref="F64" si="17">SUM(F58:F63)</f>
        <v>154</v>
      </c>
      <c r="G64" s="162"/>
      <c r="H64" s="162"/>
    </row>
    <row r="65" spans="1:7" ht="15.75" customHeight="1" x14ac:dyDescent="0.25">
      <c r="A65" s="30">
        <v>52</v>
      </c>
      <c r="B65" s="142">
        <v>1</v>
      </c>
      <c r="C65" s="294" t="s">
        <v>149</v>
      </c>
      <c r="D65" s="143" t="s">
        <v>150</v>
      </c>
      <c r="E65" s="136">
        <v>19</v>
      </c>
      <c r="F65" s="137">
        <v>23</v>
      </c>
    </row>
    <row r="66" spans="1:7" x14ac:dyDescent="0.25">
      <c r="A66" s="30">
        <v>53</v>
      </c>
      <c r="B66" s="144">
        <v>2</v>
      </c>
      <c r="C66" s="295"/>
      <c r="D66" s="145" t="s">
        <v>151</v>
      </c>
      <c r="E66" s="138">
        <v>42</v>
      </c>
      <c r="F66" s="139">
        <v>45</v>
      </c>
    </row>
    <row r="67" spans="1:7" x14ac:dyDescent="0.25">
      <c r="A67" s="30">
        <v>54</v>
      </c>
      <c r="B67" s="144">
        <v>3</v>
      </c>
      <c r="C67" s="295"/>
      <c r="D67" s="145" t="s">
        <v>152</v>
      </c>
      <c r="E67" s="138">
        <v>53</v>
      </c>
      <c r="F67" s="139">
        <v>53</v>
      </c>
      <c r="G67" s="163"/>
    </row>
    <row r="68" spans="1:7" x14ac:dyDescent="0.25">
      <c r="A68" s="30">
        <v>55</v>
      </c>
      <c r="B68" s="144">
        <v>4</v>
      </c>
      <c r="C68" s="295"/>
      <c r="D68" s="145" t="s">
        <v>153</v>
      </c>
      <c r="E68" s="138">
        <v>14</v>
      </c>
      <c r="F68" s="139">
        <v>16</v>
      </c>
    </row>
    <row r="69" spans="1:7" ht="15.75" customHeight="1" x14ac:dyDescent="0.25">
      <c r="A69" s="30">
        <v>56</v>
      </c>
      <c r="B69" s="144">
        <v>5</v>
      </c>
      <c r="C69" s="295"/>
      <c r="D69" s="145" t="s">
        <v>154</v>
      </c>
      <c r="E69" s="138">
        <v>28</v>
      </c>
      <c r="F69" s="139">
        <v>32</v>
      </c>
    </row>
    <row r="70" spans="1:7" x14ac:dyDescent="0.25">
      <c r="A70" s="30">
        <v>57</v>
      </c>
      <c r="B70" s="144">
        <v>6</v>
      </c>
      <c r="C70" s="295"/>
      <c r="D70" s="145" t="s">
        <v>155</v>
      </c>
      <c r="E70" s="138">
        <v>10</v>
      </c>
      <c r="F70" s="139">
        <v>10</v>
      </c>
      <c r="G70" s="163"/>
    </row>
    <row r="71" spans="1:7" ht="13.5" thickBot="1" x14ac:dyDescent="0.3">
      <c r="B71" s="148"/>
      <c r="C71" s="296"/>
      <c r="D71" s="149"/>
      <c r="E71" s="164">
        <f t="shared" ref="E71" si="18">SUM(E65:E70)</f>
        <v>166</v>
      </c>
      <c r="F71" s="165">
        <f t="shared" ref="F71" si="19">SUM(F65:F70)</f>
        <v>179</v>
      </c>
    </row>
    <row r="72" spans="1:7" s="163" customFormat="1" ht="13.5" thickBot="1" x14ac:dyDescent="0.3">
      <c r="B72" s="166"/>
      <c r="C72" s="167"/>
      <c r="D72" s="168"/>
      <c r="E72" s="169">
        <f t="shared" ref="E72" si="20">E8+E12+E24+E29+E38+E43+E48+E57+E64+E71</f>
        <v>1297</v>
      </c>
      <c r="F72" s="170">
        <f t="shared" ref="F72" si="21">F8+F12+F24+F29+F38+F43+F48+F57+F64+F71</f>
        <v>1557</v>
      </c>
      <c r="G72" s="30"/>
    </row>
    <row r="73" spans="1:7" x14ac:dyDescent="0.25">
      <c r="E73" s="171"/>
      <c r="F73" s="171"/>
      <c r="G73" s="163"/>
    </row>
    <row r="74" spans="1:7" x14ac:dyDescent="0.25">
      <c r="B74" s="291" t="s">
        <v>71</v>
      </c>
      <c r="C74" s="292"/>
      <c r="D74" s="293"/>
      <c r="E74" s="172">
        <f>E72*650</f>
        <v>843050</v>
      </c>
      <c r="F74" s="172">
        <f>F72*455</f>
        <v>708435</v>
      </c>
      <c r="G74" s="172">
        <f>SUM(E74:F74)</f>
        <v>1551485</v>
      </c>
    </row>
  </sheetData>
  <mergeCells count="12">
    <mergeCell ref="C3:C8"/>
    <mergeCell ref="E1:F1"/>
    <mergeCell ref="B74:D74"/>
    <mergeCell ref="C9:C12"/>
    <mergeCell ref="C65:C71"/>
    <mergeCell ref="C25:C29"/>
    <mergeCell ref="C30:C38"/>
    <mergeCell ref="C39:C43"/>
    <mergeCell ref="C44:C48"/>
    <mergeCell ref="C49:C57"/>
    <mergeCell ref="C58:C64"/>
    <mergeCell ref="C13:C2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33"/>
  <sheetViews>
    <sheetView workbookViewId="0">
      <selection activeCell="F31" sqref="F31"/>
    </sheetView>
  </sheetViews>
  <sheetFormatPr defaultRowHeight="11.25" x14ac:dyDescent="0.2"/>
  <cols>
    <col min="1" max="1" width="17.7109375" style="34" customWidth="1"/>
    <col min="2" max="2" width="17.28515625" style="34" customWidth="1"/>
    <col min="3" max="3" width="18" style="34" customWidth="1"/>
    <col min="4" max="5" width="16.28515625" style="34" customWidth="1"/>
    <col min="6" max="6" width="15" style="34" customWidth="1"/>
    <col min="7" max="7" width="14.28515625" style="34" customWidth="1"/>
    <col min="8" max="9" width="15.85546875" style="34" customWidth="1"/>
    <col min="10" max="10" width="19.28515625" style="34" customWidth="1"/>
    <col min="11" max="11" width="14.28515625" style="34" customWidth="1"/>
    <col min="12" max="16384" width="9.140625" style="34"/>
  </cols>
  <sheetData>
    <row r="1" spans="1:6" s="39" customFormat="1" ht="18" x14ac:dyDescent="0.25">
      <c r="A1" s="175" t="s">
        <v>180</v>
      </c>
      <c r="B1" s="175"/>
      <c r="C1" s="175"/>
    </row>
    <row r="2" spans="1:6" x14ac:dyDescent="0.2">
      <c r="A2" s="298" t="s">
        <v>164</v>
      </c>
      <c r="B2" s="112">
        <v>2018</v>
      </c>
      <c r="C2" s="301">
        <v>2019</v>
      </c>
      <c r="D2" s="302"/>
      <c r="E2" s="303"/>
      <c r="F2" s="112">
        <v>2020</v>
      </c>
    </row>
    <row r="3" spans="1:6" ht="22.5" x14ac:dyDescent="0.2">
      <c r="A3" s="299"/>
      <c r="B3" s="111" t="s">
        <v>181</v>
      </c>
      <c r="C3" s="111" t="s">
        <v>182</v>
      </c>
      <c r="D3" s="111" t="s">
        <v>183</v>
      </c>
      <c r="E3" s="112" t="s">
        <v>184</v>
      </c>
      <c r="F3" s="111" t="s">
        <v>181</v>
      </c>
    </row>
    <row r="4" spans="1:6" ht="12" customHeight="1" thickBot="1" x14ac:dyDescent="0.25">
      <c r="A4" s="300"/>
      <c r="B4" s="304" t="s">
        <v>185</v>
      </c>
      <c r="C4" s="305"/>
      <c r="D4" s="305"/>
      <c r="E4" s="305"/>
      <c r="F4" s="305"/>
    </row>
    <row r="5" spans="1:6" ht="15" x14ac:dyDescent="0.25">
      <c r="A5" s="40" t="s">
        <v>30</v>
      </c>
      <c r="B5" s="68">
        <v>19333</v>
      </c>
      <c r="C5" s="69">
        <v>19483</v>
      </c>
      <c r="D5" s="70">
        <f>C5</f>
        <v>19483</v>
      </c>
      <c r="E5" s="71">
        <f>D5</f>
        <v>19483</v>
      </c>
      <c r="F5" s="72">
        <f>C5+D25+F31</f>
        <v>30112</v>
      </c>
    </row>
    <row r="6" spans="1:6" ht="15" x14ac:dyDescent="0.25">
      <c r="A6" s="40" t="s">
        <v>31</v>
      </c>
      <c r="B6" s="68">
        <v>19333</v>
      </c>
      <c r="C6" s="73">
        <v>19483</v>
      </c>
      <c r="D6" s="74">
        <f>C6+D25*2</f>
        <v>20149</v>
      </c>
      <c r="E6" s="75">
        <f t="shared" ref="E6:E13" si="0">D6</f>
        <v>20149</v>
      </c>
      <c r="F6" s="76">
        <f>C6+D25+F31</f>
        <v>30112</v>
      </c>
    </row>
    <row r="7" spans="1:6" ht="15" x14ac:dyDescent="0.25">
      <c r="A7" s="40" t="s">
        <v>32</v>
      </c>
      <c r="B7" s="68">
        <v>19333</v>
      </c>
      <c r="C7" s="73">
        <v>19483</v>
      </c>
      <c r="D7" s="74">
        <f>C7+D25</f>
        <v>19816</v>
      </c>
      <c r="E7" s="75">
        <f t="shared" si="0"/>
        <v>19816</v>
      </c>
      <c r="F7" s="76">
        <f>C7+D25+F31</f>
        <v>30112</v>
      </c>
    </row>
    <row r="8" spans="1:6" ht="15" x14ac:dyDescent="0.25">
      <c r="A8" s="40" t="s">
        <v>33</v>
      </c>
      <c r="B8" s="68">
        <v>17838</v>
      </c>
      <c r="C8" s="73">
        <v>17988</v>
      </c>
      <c r="D8" s="74">
        <f>C8+D25</f>
        <v>18321</v>
      </c>
      <c r="E8" s="75">
        <f t="shared" si="0"/>
        <v>18321</v>
      </c>
      <c r="F8" s="76">
        <f>C8+D25+F31</f>
        <v>28617</v>
      </c>
    </row>
    <row r="9" spans="1:6" ht="15" x14ac:dyDescent="0.25">
      <c r="A9" s="40" t="s">
        <v>34</v>
      </c>
      <c r="B9" s="68">
        <v>15818</v>
      </c>
      <c r="C9" s="73">
        <v>15968</v>
      </c>
      <c r="D9" s="74">
        <f>C9+D25</f>
        <v>16301</v>
      </c>
      <c r="E9" s="75">
        <f t="shared" si="0"/>
        <v>16301</v>
      </c>
      <c r="F9" s="76">
        <f>C9+D25+F31</f>
        <v>26597</v>
      </c>
    </row>
    <row r="10" spans="1:6" ht="15" x14ac:dyDescent="0.25">
      <c r="A10" s="40" t="s">
        <v>35</v>
      </c>
      <c r="B10" s="68">
        <v>15838</v>
      </c>
      <c r="C10" s="73">
        <v>15968</v>
      </c>
      <c r="D10" s="74">
        <f>C10+D25</f>
        <v>16301</v>
      </c>
      <c r="E10" s="75">
        <f t="shared" si="0"/>
        <v>16301</v>
      </c>
      <c r="F10" s="76">
        <f>C10+D25+F31</f>
        <v>26597</v>
      </c>
    </row>
    <row r="11" spans="1:6" ht="15" x14ac:dyDescent="0.25">
      <c r="A11" s="40" t="s">
        <v>36</v>
      </c>
      <c r="B11" s="68">
        <v>15858</v>
      </c>
      <c r="C11" s="73">
        <v>15968</v>
      </c>
      <c r="D11" s="74">
        <f>C11+D25</f>
        <v>16301</v>
      </c>
      <c r="E11" s="77">
        <f t="shared" si="0"/>
        <v>16301</v>
      </c>
      <c r="F11" s="76">
        <f>C11+D25+F31</f>
        <v>26597</v>
      </c>
    </row>
    <row r="12" spans="1:6" ht="15" x14ac:dyDescent="0.25">
      <c r="A12" s="40" t="s">
        <v>37</v>
      </c>
      <c r="B12" s="68">
        <v>15818</v>
      </c>
      <c r="C12" s="73">
        <v>15968</v>
      </c>
      <c r="D12" s="74">
        <f>C12+D25</f>
        <v>16301</v>
      </c>
      <c r="E12" s="77">
        <f t="shared" si="0"/>
        <v>16301</v>
      </c>
      <c r="F12" s="76">
        <f>C12+D25+F31</f>
        <v>26597</v>
      </c>
    </row>
    <row r="13" spans="1:6" ht="15" x14ac:dyDescent="0.25">
      <c r="A13" s="40" t="s">
        <v>38</v>
      </c>
      <c r="B13" s="68">
        <v>15818</v>
      </c>
      <c r="C13" s="73">
        <v>15968</v>
      </c>
      <c r="D13" s="74">
        <f>C13+D25</f>
        <v>16301</v>
      </c>
      <c r="E13" s="77">
        <f t="shared" si="0"/>
        <v>16301</v>
      </c>
      <c r="F13" s="76">
        <f>C13+D25+F31</f>
        <v>26597</v>
      </c>
    </row>
    <row r="14" spans="1:6" ht="15" x14ac:dyDescent="0.25">
      <c r="A14" s="40" t="s">
        <v>39</v>
      </c>
      <c r="B14" s="68">
        <v>15818</v>
      </c>
      <c r="C14" s="73">
        <v>15968</v>
      </c>
      <c r="D14" s="74">
        <f>C14+D25</f>
        <v>16301</v>
      </c>
      <c r="E14" s="78">
        <f>D14+F31</f>
        <v>26597</v>
      </c>
      <c r="F14" s="76">
        <f>C14+D25+F31</f>
        <v>26597</v>
      </c>
    </row>
    <row r="15" spans="1:6" ht="15" x14ac:dyDescent="0.25">
      <c r="A15" s="40" t="s">
        <v>40</v>
      </c>
      <c r="B15" s="68">
        <v>17838</v>
      </c>
      <c r="C15" s="73">
        <v>17988</v>
      </c>
      <c r="D15" s="74">
        <f>C15+D25</f>
        <v>18321</v>
      </c>
      <c r="E15" s="78">
        <f>D15+F31</f>
        <v>28617</v>
      </c>
      <c r="F15" s="76">
        <f>C15+D25+F31</f>
        <v>28617</v>
      </c>
    </row>
    <row r="16" spans="1:6" ht="15" x14ac:dyDescent="0.25">
      <c r="A16" s="40" t="s">
        <v>29</v>
      </c>
      <c r="B16" s="79">
        <v>19433</v>
      </c>
      <c r="C16" s="80">
        <v>19583</v>
      </c>
      <c r="D16" s="74">
        <f>C16+D25</f>
        <v>19916</v>
      </c>
      <c r="E16" s="81">
        <f>D16+F31</f>
        <v>30212</v>
      </c>
      <c r="F16" s="82">
        <f>C16+D25+F31</f>
        <v>30212</v>
      </c>
    </row>
    <row r="17" spans="1:6" ht="15" x14ac:dyDescent="0.25">
      <c r="C17" s="42"/>
      <c r="D17" s="43"/>
      <c r="E17" s="41"/>
      <c r="F17" s="56"/>
    </row>
    <row r="18" spans="1:6" ht="12.75" x14ac:dyDescent="0.2">
      <c r="A18" s="173" t="s">
        <v>73</v>
      </c>
      <c r="B18" s="173"/>
      <c r="C18" s="173">
        <f>B16+SUM(C5:C15)</f>
        <v>209666</v>
      </c>
      <c r="D18" s="173">
        <f>B16+(SUM(D5:D15))</f>
        <v>213329</v>
      </c>
      <c r="E18" s="173">
        <f>B16+(SUM(E5:E15))</f>
        <v>233921</v>
      </c>
      <c r="F18" s="173">
        <f>E16+(SUM(F5:F15))</f>
        <v>337364</v>
      </c>
    </row>
    <row r="24" spans="1:6" ht="78.75" x14ac:dyDescent="0.2">
      <c r="A24" s="297" t="s">
        <v>186</v>
      </c>
      <c r="B24" s="32" t="s">
        <v>187</v>
      </c>
      <c r="C24" s="45" t="s">
        <v>188</v>
      </c>
      <c r="D24" s="46" t="s">
        <v>189</v>
      </c>
    </row>
    <row r="25" spans="1:6" x14ac:dyDescent="0.2">
      <c r="A25" s="297"/>
      <c r="B25" s="47">
        <v>4000</v>
      </c>
      <c r="C25" s="47">
        <f>B25/12</f>
        <v>333.33333333333331</v>
      </c>
      <c r="D25" s="47">
        <v>333</v>
      </c>
    </row>
    <row r="27" spans="1:6" x14ac:dyDescent="0.2">
      <c r="F27" s="34" t="s">
        <v>190</v>
      </c>
    </row>
    <row r="28" spans="1:6" ht="22.5" x14ac:dyDescent="0.2">
      <c r="A28" s="297" t="s">
        <v>191</v>
      </c>
      <c r="B28" s="35"/>
      <c r="C28" s="35" t="s">
        <v>192</v>
      </c>
      <c r="D28" s="48" t="s">
        <v>193</v>
      </c>
      <c r="E28" s="48" t="s">
        <v>185</v>
      </c>
      <c r="F28" s="49" t="s">
        <v>194</v>
      </c>
    </row>
    <row r="29" spans="1:6" x14ac:dyDescent="0.2">
      <c r="A29" s="297"/>
      <c r="B29" s="35" t="s">
        <v>85</v>
      </c>
      <c r="C29" s="35">
        <v>40</v>
      </c>
      <c r="D29" s="35">
        <v>650</v>
      </c>
      <c r="E29" s="50">
        <f>C29*D29</f>
        <v>26000</v>
      </c>
      <c r="F29" s="51">
        <f>E29*0.2</f>
        <v>5200</v>
      </c>
    </row>
    <row r="30" spans="1:6" x14ac:dyDescent="0.2">
      <c r="A30" s="297"/>
      <c r="B30" s="35" t="s">
        <v>86</v>
      </c>
      <c r="C30" s="35">
        <v>56</v>
      </c>
      <c r="D30" s="35">
        <v>455</v>
      </c>
      <c r="E30" s="50">
        <f>C30*D30</f>
        <v>25480</v>
      </c>
      <c r="F30" s="44">
        <f>E30*0.2</f>
        <v>5096</v>
      </c>
    </row>
    <row r="31" spans="1:6" x14ac:dyDescent="0.2">
      <c r="A31" s="297"/>
      <c r="B31" s="52" t="s">
        <v>195</v>
      </c>
      <c r="C31" s="53"/>
      <c r="D31" s="53"/>
      <c r="E31" s="53"/>
      <c r="F31" s="54">
        <f>SUM(F29:F30)</f>
        <v>10296</v>
      </c>
    </row>
    <row r="33" spans="6:6" x14ac:dyDescent="0.2">
      <c r="F33" s="55"/>
    </row>
  </sheetData>
  <mergeCells count="5">
    <mergeCell ref="A28:A31"/>
    <mergeCell ref="A2:A4"/>
    <mergeCell ref="C2:E2"/>
    <mergeCell ref="A24:A25"/>
    <mergeCell ref="B4:F4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R47"/>
  <sheetViews>
    <sheetView topLeftCell="A7" workbookViewId="0">
      <selection activeCell="F45" sqref="F45"/>
    </sheetView>
  </sheetViews>
  <sheetFormatPr defaultRowHeight="12.75" x14ac:dyDescent="0.25"/>
  <cols>
    <col min="1" max="1" width="3.7109375" style="13" customWidth="1"/>
    <col min="2" max="2" width="69.42578125" style="14" customWidth="1"/>
    <col min="3" max="3" width="8.85546875" style="14" customWidth="1"/>
    <col min="4" max="4" width="9.42578125" style="14" customWidth="1"/>
    <col min="5" max="5" width="9" style="14" customWidth="1"/>
    <col min="6" max="6" width="8.85546875" style="14" customWidth="1"/>
    <col min="7" max="8" width="8.7109375" style="14" customWidth="1"/>
    <col min="9" max="9" width="9" style="14" customWidth="1"/>
    <col min="10" max="10" width="8.85546875" style="14" customWidth="1"/>
    <col min="11" max="11" width="9" style="14" customWidth="1"/>
    <col min="12" max="12" width="8.85546875" style="14" customWidth="1"/>
    <col min="13" max="14" width="8.7109375" style="14" customWidth="1"/>
    <col min="15" max="15" width="10.28515625" style="15" customWidth="1"/>
    <col min="16" max="253" width="9.140625" style="15"/>
    <col min="254" max="254" width="46.85546875" style="15" customWidth="1"/>
    <col min="255" max="255" width="14.85546875" style="15" customWidth="1"/>
    <col min="256" max="256" width="51.42578125" style="15" customWidth="1"/>
    <col min="257" max="257" width="31.85546875" style="15" customWidth="1"/>
    <col min="258" max="509" width="9.140625" style="15"/>
    <col min="510" max="510" width="46.85546875" style="15" customWidth="1"/>
    <col min="511" max="511" width="14.85546875" style="15" customWidth="1"/>
    <col min="512" max="512" width="51.42578125" style="15" customWidth="1"/>
    <col min="513" max="513" width="31.85546875" style="15" customWidth="1"/>
    <col min="514" max="765" width="9.140625" style="15"/>
    <col min="766" max="766" width="46.85546875" style="15" customWidth="1"/>
    <col min="767" max="767" width="14.85546875" style="15" customWidth="1"/>
    <col min="768" max="768" width="51.42578125" style="15" customWidth="1"/>
    <col min="769" max="769" width="31.85546875" style="15" customWidth="1"/>
    <col min="770" max="1021" width="9.140625" style="15"/>
    <col min="1022" max="1022" width="46.85546875" style="15" customWidth="1"/>
    <col min="1023" max="1023" width="14.85546875" style="15" customWidth="1"/>
    <col min="1024" max="1024" width="51.42578125" style="15" customWidth="1"/>
    <col min="1025" max="1025" width="31.85546875" style="15" customWidth="1"/>
    <col min="1026" max="1277" width="9.140625" style="15"/>
    <col min="1278" max="1278" width="46.85546875" style="15" customWidth="1"/>
    <col min="1279" max="1279" width="14.85546875" style="15" customWidth="1"/>
    <col min="1280" max="1280" width="51.42578125" style="15" customWidth="1"/>
    <col min="1281" max="1281" width="31.85546875" style="15" customWidth="1"/>
    <col min="1282" max="1533" width="9.140625" style="15"/>
    <col min="1534" max="1534" width="46.85546875" style="15" customWidth="1"/>
    <col min="1535" max="1535" width="14.85546875" style="15" customWidth="1"/>
    <col min="1536" max="1536" width="51.42578125" style="15" customWidth="1"/>
    <col min="1537" max="1537" width="31.85546875" style="15" customWidth="1"/>
    <col min="1538" max="1789" width="9.140625" style="15"/>
    <col min="1790" max="1790" width="46.85546875" style="15" customWidth="1"/>
    <col min="1791" max="1791" width="14.85546875" style="15" customWidth="1"/>
    <col min="1792" max="1792" width="51.42578125" style="15" customWidth="1"/>
    <col min="1793" max="1793" width="31.85546875" style="15" customWidth="1"/>
    <col min="1794" max="2045" width="9.140625" style="15"/>
    <col min="2046" max="2046" width="46.85546875" style="15" customWidth="1"/>
    <col min="2047" max="2047" width="14.85546875" style="15" customWidth="1"/>
    <col min="2048" max="2048" width="51.42578125" style="15" customWidth="1"/>
    <col min="2049" max="2049" width="31.85546875" style="15" customWidth="1"/>
    <col min="2050" max="2301" width="9.140625" style="15"/>
    <col min="2302" max="2302" width="46.85546875" style="15" customWidth="1"/>
    <col min="2303" max="2303" width="14.85546875" style="15" customWidth="1"/>
    <col min="2304" max="2304" width="51.42578125" style="15" customWidth="1"/>
    <col min="2305" max="2305" width="31.85546875" style="15" customWidth="1"/>
    <col min="2306" max="2557" width="9.140625" style="15"/>
    <col min="2558" max="2558" width="46.85546875" style="15" customWidth="1"/>
    <col min="2559" max="2559" width="14.85546875" style="15" customWidth="1"/>
    <col min="2560" max="2560" width="51.42578125" style="15" customWidth="1"/>
    <col min="2561" max="2561" width="31.85546875" style="15" customWidth="1"/>
    <col min="2562" max="2813" width="9.140625" style="15"/>
    <col min="2814" max="2814" width="46.85546875" style="15" customWidth="1"/>
    <col min="2815" max="2815" width="14.85546875" style="15" customWidth="1"/>
    <col min="2816" max="2816" width="51.42578125" style="15" customWidth="1"/>
    <col min="2817" max="2817" width="31.85546875" style="15" customWidth="1"/>
    <col min="2818" max="3069" width="9.140625" style="15"/>
    <col min="3070" max="3070" width="46.85546875" style="15" customWidth="1"/>
    <col min="3071" max="3071" width="14.85546875" style="15" customWidth="1"/>
    <col min="3072" max="3072" width="51.42578125" style="15" customWidth="1"/>
    <col min="3073" max="3073" width="31.85546875" style="15" customWidth="1"/>
    <col min="3074" max="3325" width="9.140625" style="15"/>
    <col min="3326" max="3326" width="46.85546875" style="15" customWidth="1"/>
    <col min="3327" max="3327" width="14.85546875" style="15" customWidth="1"/>
    <col min="3328" max="3328" width="51.42578125" style="15" customWidth="1"/>
    <col min="3329" max="3329" width="31.85546875" style="15" customWidth="1"/>
    <col min="3330" max="3581" width="9.140625" style="15"/>
    <col min="3582" max="3582" width="46.85546875" style="15" customWidth="1"/>
    <col min="3583" max="3583" width="14.85546875" style="15" customWidth="1"/>
    <col min="3584" max="3584" width="51.42578125" style="15" customWidth="1"/>
    <col min="3585" max="3585" width="31.85546875" style="15" customWidth="1"/>
    <col min="3586" max="3837" width="9.140625" style="15"/>
    <col min="3838" max="3838" width="46.85546875" style="15" customWidth="1"/>
    <col min="3839" max="3839" width="14.85546875" style="15" customWidth="1"/>
    <col min="3840" max="3840" width="51.42578125" style="15" customWidth="1"/>
    <col min="3841" max="3841" width="31.85546875" style="15" customWidth="1"/>
    <col min="3842" max="4093" width="9.140625" style="15"/>
    <col min="4094" max="4094" width="46.85546875" style="15" customWidth="1"/>
    <col min="4095" max="4095" width="14.85546875" style="15" customWidth="1"/>
    <col min="4096" max="4096" width="51.42578125" style="15" customWidth="1"/>
    <col min="4097" max="4097" width="31.85546875" style="15" customWidth="1"/>
    <col min="4098" max="4349" width="9.140625" style="15"/>
    <col min="4350" max="4350" width="46.85546875" style="15" customWidth="1"/>
    <col min="4351" max="4351" width="14.85546875" style="15" customWidth="1"/>
    <col min="4352" max="4352" width="51.42578125" style="15" customWidth="1"/>
    <col min="4353" max="4353" width="31.85546875" style="15" customWidth="1"/>
    <col min="4354" max="4605" width="9.140625" style="15"/>
    <col min="4606" max="4606" width="46.85546875" style="15" customWidth="1"/>
    <col min="4607" max="4607" width="14.85546875" style="15" customWidth="1"/>
    <col min="4608" max="4608" width="51.42578125" style="15" customWidth="1"/>
    <col min="4609" max="4609" width="31.85546875" style="15" customWidth="1"/>
    <col min="4610" max="4861" width="9.140625" style="15"/>
    <col min="4862" max="4862" width="46.85546875" style="15" customWidth="1"/>
    <col min="4863" max="4863" width="14.85546875" style="15" customWidth="1"/>
    <col min="4864" max="4864" width="51.42578125" style="15" customWidth="1"/>
    <col min="4865" max="4865" width="31.85546875" style="15" customWidth="1"/>
    <col min="4866" max="5117" width="9.140625" style="15"/>
    <col min="5118" max="5118" width="46.85546875" style="15" customWidth="1"/>
    <col min="5119" max="5119" width="14.85546875" style="15" customWidth="1"/>
    <col min="5120" max="5120" width="51.42578125" style="15" customWidth="1"/>
    <col min="5121" max="5121" width="31.85546875" style="15" customWidth="1"/>
    <col min="5122" max="5373" width="9.140625" style="15"/>
    <col min="5374" max="5374" width="46.85546875" style="15" customWidth="1"/>
    <col min="5375" max="5375" width="14.85546875" style="15" customWidth="1"/>
    <col min="5376" max="5376" width="51.42578125" style="15" customWidth="1"/>
    <col min="5377" max="5377" width="31.85546875" style="15" customWidth="1"/>
    <col min="5378" max="5629" width="9.140625" style="15"/>
    <col min="5630" max="5630" width="46.85546875" style="15" customWidth="1"/>
    <col min="5631" max="5631" width="14.85546875" style="15" customWidth="1"/>
    <col min="5632" max="5632" width="51.42578125" style="15" customWidth="1"/>
    <col min="5633" max="5633" width="31.85546875" style="15" customWidth="1"/>
    <col min="5634" max="5885" width="9.140625" style="15"/>
    <col min="5886" max="5886" width="46.85546875" style="15" customWidth="1"/>
    <col min="5887" max="5887" width="14.85546875" style="15" customWidth="1"/>
    <col min="5888" max="5888" width="51.42578125" style="15" customWidth="1"/>
    <col min="5889" max="5889" width="31.85546875" style="15" customWidth="1"/>
    <col min="5890" max="6141" width="9.140625" style="15"/>
    <col min="6142" max="6142" width="46.85546875" style="15" customWidth="1"/>
    <col min="6143" max="6143" width="14.85546875" style="15" customWidth="1"/>
    <col min="6144" max="6144" width="51.42578125" style="15" customWidth="1"/>
    <col min="6145" max="6145" width="31.85546875" style="15" customWidth="1"/>
    <col min="6146" max="6397" width="9.140625" style="15"/>
    <col min="6398" max="6398" width="46.85546875" style="15" customWidth="1"/>
    <col min="6399" max="6399" width="14.85546875" style="15" customWidth="1"/>
    <col min="6400" max="6400" width="51.42578125" style="15" customWidth="1"/>
    <col min="6401" max="6401" width="31.85546875" style="15" customWidth="1"/>
    <col min="6402" max="6653" width="9.140625" style="15"/>
    <col min="6654" max="6654" width="46.85546875" style="15" customWidth="1"/>
    <col min="6655" max="6655" width="14.85546875" style="15" customWidth="1"/>
    <col min="6656" max="6656" width="51.42578125" style="15" customWidth="1"/>
    <col min="6657" max="6657" width="31.85546875" style="15" customWidth="1"/>
    <col min="6658" max="6909" width="9.140625" style="15"/>
    <col min="6910" max="6910" width="46.85546875" style="15" customWidth="1"/>
    <col min="6911" max="6911" width="14.85546875" style="15" customWidth="1"/>
    <col min="6912" max="6912" width="51.42578125" style="15" customWidth="1"/>
    <col min="6913" max="6913" width="31.85546875" style="15" customWidth="1"/>
    <col min="6914" max="7165" width="9.140625" style="15"/>
    <col min="7166" max="7166" width="46.85546875" style="15" customWidth="1"/>
    <col min="7167" max="7167" width="14.85546875" style="15" customWidth="1"/>
    <col min="7168" max="7168" width="51.42578125" style="15" customWidth="1"/>
    <col min="7169" max="7169" width="31.85546875" style="15" customWidth="1"/>
    <col min="7170" max="7421" width="9.140625" style="15"/>
    <col min="7422" max="7422" width="46.85546875" style="15" customWidth="1"/>
    <col min="7423" max="7423" width="14.85546875" style="15" customWidth="1"/>
    <col min="7424" max="7424" width="51.42578125" style="15" customWidth="1"/>
    <col min="7425" max="7425" width="31.85546875" style="15" customWidth="1"/>
    <col min="7426" max="7677" width="9.140625" style="15"/>
    <col min="7678" max="7678" width="46.85546875" style="15" customWidth="1"/>
    <col min="7679" max="7679" width="14.85546875" style="15" customWidth="1"/>
    <col min="7680" max="7680" width="51.42578125" style="15" customWidth="1"/>
    <col min="7681" max="7681" width="31.85546875" style="15" customWidth="1"/>
    <col min="7682" max="7933" width="9.140625" style="15"/>
    <col min="7934" max="7934" width="46.85546875" style="15" customWidth="1"/>
    <col min="7935" max="7935" width="14.85546875" style="15" customWidth="1"/>
    <col min="7936" max="7936" width="51.42578125" style="15" customWidth="1"/>
    <col min="7937" max="7937" width="31.85546875" style="15" customWidth="1"/>
    <col min="7938" max="8189" width="9.140625" style="15"/>
    <col min="8190" max="8190" width="46.85546875" style="15" customWidth="1"/>
    <col min="8191" max="8191" width="14.85546875" style="15" customWidth="1"/>
    <col min="8192" max="8192" width="51.42578125" style="15" customWidth="1"/>
    <col min="8193" max="8193" width="31.85546875" style="15" customWidth="1"/>
    <col min="8194" max="8445" width="9.140625" style="15"/>
    <col min="8446" max="8446" width="46.85546875" style="15" customWidth="1"/>
    <col min="8447" max="8447" width="14.85546875" style="15" customWidth="1"/>
    <col min="8448" max="8448" width="51.42578125" style="15" customWidth="1"/>
    <col min="8449" max="8449" width="31.85546875" style="15" customWidth="1"/>
    <col min="8450" max="8701" width="9.140625" style="15"/>
    <col min="8702" max="8702" width="46.85546875" style="15" customWidth="1"/>
    <col min="8703" max="8703" width="14.85546875" style="15" customWidth="1"/>
    <col min="8704" max="8704" width="51.42578125" style="15" customWidth="1"/>
    <col min="8705" max="8705" width="31.85546875" style="15" customWidth="1"/>
    <col min="8706" max="8957" width="9.140625" style="15"/>
    <col min="8958" max="8958" width="46.85546875" style="15" customWidth="1"/>
    <col min="8959" max="8959" width="14.85546875" style="15" customWidth="1"/>
    <col min="8960" max="8960" width="51.42578125" style="15" customWidth="1"/>
    <col min="8961" max="8961" width="31.85546875" style="15" customWidth="1"/>
    <col min="8962" max="9213" width="9.140625" style="15"/>
    <col min="9214" max="9214" width="46.85546875" style="15" customWidth="1"/>
    <col min="9215" max="9215" width="14.85546875" style="15" customWidth="1"/>
    <col min="9216" max="9216" width="51.42578125" style="15" customWidth="1"/>
    <col min="9217" max="9217" width="31.85546875" style="15" customWidth="1"/>
    <col min="9218" max="9469" width="9.140625" style="15"/>
    <col min="9470" max="9470" width="46.85546875" style="15" customWidth="1"/>
    <col min="9471" max="9471" width="14.85546875" style="15" customWidth="1"/>
    <col min="9472" max="9472" width="51.42578125" style="15" customWidth="1"/>
    <col min="9473" max="9473" width="31.85546875" style="15" customWidth="1"/>
    <col min="9474" max="9725" width="9.140625" style="15"/>
    <col min="9726" max="9726" width="46.85546875" style="15" customWidth="1"/>
    <col min="9727" max="9727" width="14.85546875" style="15" customWidth="1"/>
    <col min="9728" max="9728" width="51.42578125" style="15" customWidth="1"/>
    <col min="9729" max="9729" width="31.85546875" style="15" customWidth="1"/>
    <col min="9730" max="9981" width="9.140625" style="15"/>
    <col min="9982" max="9982" width="46.85546875" style="15" customWidth="1"/>
    <col min="9983" max="9983" width="14.85546875" style="15" customWidth="1"/>
    <col min="9984" max="9984" width="51.42578125" style="15" customWidth="1"/>
    <col min="9985" max="9985" width="31.85546875" style="15" customWidth="1"/>
    <col min="9986" max="10237" width="9.140625" style="15"/>
    <col min="10238" max="10238" width="46.85546875" style="15" customWidth="1"/>
    <col min="10239" max="10239" width="14.85546875" style="15" customWidth="1"/>
    <col min="10240" max="10240" width="51.42578125" style="15" customWidth="1"/>
    <col min="10241" max="10241" width="31.85546875" style="15" customWidth="1"/>
    <col min="10242" max="10493" width="9.140625" style="15"/>
    <col min="10494" max="10494" width="46.85546875" style="15" customWidth="1"/>
    <col min="10495" max="10495" width="14.85546875" style="15" customWidth="1"/>
    <col min="10496" max="10496" width="51.42578125" style="15" customWidth="1"/>
    <col min="10497" max="10497" width="31.85546875" style="15" customWidth="1"/>
    <col min="10498" max="10749" width="9.140625" style="15"/>
    <col min="10750" max="10750" width="46.85546875" style="15" customWidth="1"/>
    <col min="10751" max="10751" width="14.85546875" style="15" customWidth="1"/>
    <col min="10752" max="10752" width="51.42578125" style="15" customWidth="1"/>
    <col min="10753" max="10753" width="31.85546875" style="15" customWidth="1"/>
    <col min="10754" max="11005" width="9.140625" style="15"/>
    <col min="11006" max="11006" width="46.85546875" style="15" customWidth="1"/>
    <col min="11007" max="11007" width="14.85546875" style="15" customWidth="1"/>
    <col min="11008" max="11008" width="51.42578125" style="15" customWidth="1"/>
    <col min="11009" max="11009" width="31.85546875" style="15" customWidth="1"/>
    <col min="11010" max="11261" width="9.140625" style="15"/>
    <col min="11262" max="11262" width="46.85546875" style="15" customWidth="1"/>
    <col min="11263" max="11263" width="14.85546875" style="15" customWidth="1"/>
    <col min="11264" max="11264" width="51.42578125" style="15" customWidth="1"/>
    <col min="11265" max="11265" width="31.85546875" style="15" customWidth="1"/>
    <col min="11266" max="11517" width="9.140625" style="15"/>
    <col min="11518" max="11518" width="46.85546875" style="15" customWidth="1"/>
    <col min="11519" max="11519" width="14.85546875" style="15" customWidth="1"/>
    <col min="11520" max="11520" width="51.42578125" style="15" customWidth="1"/>
    <col min="11521" max="11521" width="31.85546875" style="15" customWidth="1"/>
    <col min="11522" max="11773" width="9.140625" style="15"/>
    <col min="11774" max="11774" width="46.85546875" style="15" customWidth="1"/>
    <col min="11775" max="11775" width="14.85546875" style="15" customWidth="1"/>
    <col min="11776" max="11776" width="51.42578125" style="15" customWidth="1"/>
    <col min="11777" max="11777" width="31.85546875" style="15" customWidth="1"/>
    <col min="11778" max="12029" width="9.140625" style="15"/>
    <col min="12030" max="12030" width="46.85546875" style="15" customWidth="1"/>
    <col min="12031" max="12031" width="14.85546875" style="15" customWidth="1"/>
    <col min="12032" max="12032" width="51.42578125" style="15" customWidth="1"/>
    <col min="12033" max="12033" width="31.85546875" style="15" customWidth="1"/>
    <col min="12034" max="12285" width="9.140625" style="15"/>
    <col min="12286" max="12286" width="46.85546875" style="15" customWidth="1"/>
    <col min="12287" max="12287" width="14.85546875" style="15" customWidth="1"/>
    <col min="12288" max="12288" width="51.42578125" style="15" customWidth="1"/>
    <col min="12289" max="12289" width="31.85546875" style="15" customWidth="1"/>
    <col min="12290" max="12541" width="9.140625" style="15"/>
    <col min="12542" max="12542" width="46.85546875" style="15" customWidth="1"/>
    <col min="12543" max="12543" width="14.85546875" style="15" customWidth="1"/>
    <col min="12544" max="12544" width="51.42578125" style="15" customWidth="1"/>
    <col min="12545" max="12545" width="31.85546875" style="15" customWidth="1"/>
    <col min="12546" max="12797" width="9.140625" style="15"/>
    <col min="12798" max="12798" width="46.85546875" style="15" customWidth="1"/>
    <col min="12799" max="12799" width="14.85546875" style="15" customWidth="1"/>
    <col min="12800" max="12800" width="51.42578125" style="15" customWidth="1"/>
    <col min="12801" max="12801" width="31.85546875" style="15" customWidth="1"/>
    <col min="12802" max="13053" width="9.140625" style="15"/>
    <col min="13054" max="13054" width="46.85546875" style="15" customWidth="1"/>
    <col min="13055" max="13055" width="14.85546875" style="15" customWidth="1"/>
    <col min="13056" max="13056" width="51.42578125" style="15" customWidth="1"/>
    <col min="13057" max="13057" width="31.85546875" style="15" customWidth="1"/>
    <col min="13058" max="13309" width="9.140625" style="15"/>
    <col min="13310" max="13310" width="46.85546875" style="15" customWidth="1"/>
    <col min="13311" max="13311" width="14.85546875" style="15" customWidth="1"/>
    <col min="13312" max="13312" width="51.42578125" style="15" customWidth="1"/>
    <col min="13313" max="13313" width="31.85546875" style="15" customWidth="1"/>
    <col min="13314" max="13565" width="9.140625" style="15"/>
    <col min="13566" max="13566" width="46.85546875" style="15" customWidth="1"/>
    <col min="13567" max="13567" width="14.85546875" style="15" customWidth="1"/>
    <col min="13568" max="13568" width="51.42578125" style="15" customWidth="1"/>
    <col min="13569" max="13569" width="31.85546875" style="15" customWidth="1"/>
    <col min="13570" max="13821" width="9.140625" style="15"/>
    <col min="13822" max="13822" width="46.85546875" style="15" customWidth="1"/>
    <col min="13823" max="13823" width="14.85546875" style="15" customWidth="1"/>
    <col min="13824" max="13824" width="51.42578125" style="15" customWidth="1"/>
    <col min="13825" max="13825" width="31.85546875" style="15" customWidth="1"/>
    <col min="13826" max="14077" width="9.140625" style="15"/>
    <col min="14078" max="14078" width="46.85546875" style="15" customWidth="1"/>
    <col min="14079" max="14079" width="14.85546875" style="15" customWidth="1"/>
    <col min="14080" max="14080" width="51.42578125" style="15" customWidth="1"/>
    <col min="14081" max="14081" width="31.85546875" style="15" customWidth="1"/>
    <col min="14082" max="14333" width="9.140625" style="15"/>
    <col min="14334" max="14334" width="46.85546875" style="15" customWidth="1"/>
    <col min="14335" max="14335" width="14.85546875" style="15" customWidth="1"/>
    <col min="14336" max="14336" width="51.42578125" style="15" customWidth="1"/>
    <col min="14337" max="14337" width="31.85546875" style="15" customWidth="1"/>
    <col min="14338" max="14589" width="9.140625" style="15"/>
    <col min="14590" max="14590" width="46.85546875" style="15" customWidth="1"/>
    <col min="14591" max="14591" width="14.85546875" style="15" customWidth="1"/>
    <col min="14592" max="14592" width="51.42578125" style="15" customWidth="1"/>
    <col min="14593" max="14593" width="31.85546875" style="15" customWidth="1"/>
    <col min="14594" max="14845" width="9.140625" style="15"/>
    <col min="14846" max="14846" width="46.85546875" style="15" customWidth="1"/>
    <col min="14847" max="14847" width="14.85546875" style="15" customWidth="1"/>
    <col min="14848" max="14848" width="51.42578125" style="15" customWidth="1"/>
    <col min="14849" max="14849" width="31.85546875" style="15" customWidth="1"/>
    <col min="14850" max="15101" width="9.140625" style="15"/>
    <col min="15102" max="15102" width="46.85546875" style="15" customWidth="1"/>
    <col min="15103" max="15103" width="14.85546875" style="15" customWidth="1"/>
    <col min="15104" max="15104" width="51.42578125" style="15" customWidth="1"/>
    <col min="15105" max="15105" width="31.85546875" style="15" customWidth="1"/>
    <col min="15106" max="15357" width="9.140625" style="15"/>
    <col min="15358" max="15358" width="46.85546875" style="15" customWidth="1"/>
    <col min="15359" max="15359" width="14.85546875" style="15" customWidth="1"/>
    <col min="15360" max="15360" width="51.42578125" style="15" customWidth="1"/>
    <col min="15361" max="15361" width="31.85546875" style="15" customWidth="1"/>
    <col min="15362" max="15613" width="9.140625" style="15"/>
    <col min="15614" max="15614" width="46.85546875" style="15" customWidth="1"/>
    <col min="15615" max="15615" width="14.85546875" style="15" customWidth="1"/>
    <col min="15616" max="15616" width="51.42578125" style="15" customWidth="1"/>
    <col min="15617" max="15617" width="31.85546875" style="15" customWidth="1"/>
    <col min="15618" max="15869" width="9.140625" style="15"/>
    <col min="15870" max="15870" width="46.85546875" style="15" customWidth="1"/>
    <col min="15871" max="15871" width="14.85546875" style="15" customWidth="1"/>
    <col min="15872" max="15872" width="51.42578125" style="15" customWidth="1"/>
    <col min="15873" max="15873" width="31.85546875" style="15" customWidth="1"/>
    <col min="15874" max="16125" width="9.140625" style="15"/>
    <col min="16126" max="16126" width="46.85546875" style="15" customWidth="1"/>
    <col min="16127" max="16127" width="14.85546875" style="15" customWidth="1"/>
    <col min="16128" max="16128" width="51.42578125" style="15" customWidth="1"/>
    <col min="16129" max="16129" width="31.85546875" style="15" customWidth="1"/>
    <col min="16130" max="16384" width="9.140625" style="15"/>
  </cols>
  <sheetData>
    <row r="2" spans="1:18" ht="15" customHeight="1" x14ac:dyDescent="0.25">
      <c r="A2" s="306" t="s">
        <v>27</v>
      </c>
      <c r="B2" s="306" t="s">
        <v>28</v>
      </c>
      <c r="C2" s="309" t="s">
        <v>24</v>
      </c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8" ht="57.75" customHeight="1" x14ac:dyDescent="0.25">
      <c r="A3" s="307"/>
      <c r="B3" s="307"/>
      <c r="C3" s="176" t="s">
        <v>225</v>
      </c>
      <c r="D3" s="310" t="s">
        <v>226</v>
      </c>
      <c r="E3" s="310"/>
      <c r="F3" s="310"/>
      <c r="G3" s="310" t="s">
        <v>25</v>
      </c>
      <c r="H3" s="310"/>
      <c r="I3" s="310"/>
      <c r="J3" s="310" t="s">
        <v>26</v>
      </c>
      <c r="K3" s="310"/>
      <c r="L3" s="310"/>
      <c r="M3" s="310"/>
      <c r="N3" s="310"/>
    </row>
    <row r="4" spans="1:18" ht="73.5" customHeight="1" x14ac:dyDescent="0.25">
      <c r="A4" s="308"/>
      <c r="B4" s="308"/>
      <c r="C4" s="177" t="s">
        <v>29</v>
      </c>
      <c r="D4" s="177" t="s">
        <v>30</v>
      </c>
      <c r="E4" s="177" t="s">
        <v>31</v>
      </c>
      <c r="F4" s="177" t="s">
        <v>32</v>
      </c>
      <c r="G4" s="177" t="s">
        <v>33</v>
      </c>
      <c r="H4" s="177" t="s">
        <v>34</v>
      </c>
      <c r="I4" s="177" t="s">
        <v>35</v>
      </c>
      <c r="J4" s="177" t="s">
        <v>36</v>
      </c>
      <c r="K4" s="177" t="s">
        <v>37</v>
      </c>
      <c r="L4" s="177" t="s">
        <v>38</v>
      </c>
      <c r="M4" s="177" t="s">
        <v>39</v>
      </c>
      <c r="N4" s="177" t="s">
        <v>40</v>
      </c>
    </row>
    <row r="5" spans="1:18" x14ac:dyDescent="0.25">
      <c r="A5" s="16">
        <v>1</v>
      </c>
      <c r="B5" s="17" t="s">
        <v>41</v>
      </c>
      <c r="C5" s="61">
        <v>17674</v>
      </c>
      <c r="D5" s="61">
        <v>17674</v>
      </c>
      <c r="E5" s="61">
        <v>17674</v>
      </c>
      <c r="F5" s="61">
        <v>17674</v>
      </c>
      <c r="G5" s="61">
        <v>17674</v>
      </c>
      <c r="H5" s="61">
        <v>17674</v>
      </c>
      <c r="I5" s="61">
        <v>17674</v>
      </c>
      <c r="J5" s="61">
        <v>17674</v>
      </c>
      <c r="K5" s="61">
        <v>17674</v>
      </c>
      <c r="L5" s="61">
        <v>17674</v>
      </c>
      <c r="M5" s="61">
        <v>17674</v>
      </c>
      <c r="N5" s="61">
        <v>17674</v>
      </c>
      <c r="R5" s="18"/>
    </row>
    <row r="6" spans="1:18" x14ac:dyDescent="0.25">
      <c r="A6" s="16">
        <v>2</v>
      </c>
      <c r="B6" s="17" t="s">
        <v>42</v>
      </c>
      <c r="C6" s="61">
        <v>6358</v>
      </c>
      <c r="D6" s="61">
        <v>6358</v>
      </c>
      <c r="E6" s="61">
        <v>6358</v>
      </c>
      <c r="F6" s="61">
        <v>6358</v>
      </c>
      <c r="G6" s="61">
        <v>6358</v>
      </c>
      <c r="H6" s="61">
        <v>6358</v>
      </c>
      <c r="I6" s="61">
        <v>6358</v>
      </c>
      <c r="J6" s="61">
        <v>6358</v>
      </c>
      <c r="K6" s="61">
        <v>6358</v>
      </c>
      <c r="L6" s="61">
        <v>6358</v>
      </c>
      <c r="M6" s="61">
        <v>6358</v>
      </c>
      <c r="N6" s="61">
        <v>6358</v>
      </c>
    </row>
    <row r="7" spans="1:18" x14ac:dyDescent="0.25">
      <c r="A7" s="16">
        <v>3</v>
      </c>
      <c r="B7" s="17" t="s">
        <v>43</v>
      </c>
      <c r="C7" s="61">
        <v>12047</v>
      </c>
      <c r="D7" s="61">
        <v>12047</v>
      </c>
      <c r="E7" s="61">
        <v>12047</v>
      </c>
      <c r="F7" s="61">
        <v>12047</v>
      </c>
      <c r="G7" s="61">
        <v>12047</v>
      </c>
      <c r="H7" s="61">
        <v>12047</v>
      </c>
      <c r="I7" s="61">
        <v>12047</v>
      </c>
      <c r="J7" s="61">
        <v>12047</v>
      </c>
      <c r="K7" s="61">
        <v>12047</v>
      </c>
      <c r="L7" s="61">
        <v>12047</v>
      </c>
      <c r="M7" s="61">
        <v>12047</v>
      </c>
      <c r="N7" s="61">
        <v>12047</v>
      </c>
    </row>
    <row r="8" spans="1:18" x14ac:dyDescent="0.25">
      <c r="A8" s="16">
        <v>4</v>
      </c>
      <c r="B8" s="17" t="s">
        <v>44</v>
      </c>
      <c r="C8" s="61">
        <v>4332</v>
      </c>
      <c r="D8" s="61">
        <v>4332</v>
      </c>
      <c r="E8" s="61">
        <v>4332</v>
      </c>
      <c r="F8" s="61">
        <v>4332</v>
      </c>
      <c r="G8" s="61">
        <v>4332</v>
      </c>
      <c r="H8" s="61">
        <v>4332</v>
      </c>
      <c r="I8" s="61">
        <v>4332</v>
      </c>
      <c r="J8" s="61">
        <v>4332</v>
      </c>
      <c r="K8" s="61">
        <v>4332</v>
      </c>
      <c r="L8" s="61">
        <v>4332</v>
      </c>
      <c r="M8" s="61">
        <v>4332</v>
      </c>
      <c r="N8" s="61">
        <v>4332</v>
      </c>
    </row>
    <row r="9" spans="1:18" x14ac:dyDescent="0.25">
      <c r="A9" s="16">
        <v>5</v>
      </c>
      <c r="B9" s="17" t="s">
        <v>45</v>
      </c>
      <c r="C9" s="61">
        <v>2599</v>
      </c>
      <c r="D9" s="61">
        <v>2599</v>
      </c>
      <c r="E9" s="61">
        <v>2599</v>
      </c>
      <c r="F9" s="61">
        <v>2599</v>
      </c>
      <c r="G9" s="61">
        <v>2599</v>
      </c>
      <c r="H9" s="61">
        <v>2599</v>
      </c>
      <c r="I9" s="61">
        <v>2599</v>
      </c>
      <c r="J9" s="61">
        <v>2599</v>
      </c>
      <c r="K9" s="61">
        <v>2599</v>
      </c>
      <c r="L9" s="61">
        <v>2599</v>
      </c>
      <c r="M9" s="61">
        <v>2599</v>
      </c>
      <c r="N9" s="61">
        <v>2599</v>
      </c>
    </row>
    <row r="10" spans="1:18" x14ac:dyDescent="0.25">
      <c r="A10" s="16">
        <v>6</v>
      </c>
      <c r="B10" s="17" t="s">
        <v>48</v>
      </c>
      <c r="C10" s="61">
        <v>2599</v>
      </c>
      <c r="D10" s="61">
        <v>2599</v>
      </c>
      <c r="E10" s="61">
        <v>2599</v>
      </c>
      <c r="F10" s="61">
        <v>2599</v>
      </c>
      <c r="G10" s="61">
        <v>2599</v>
      </c>
      <c r="H10" s="61">
        <v>2599</v>
      </c>
      <c r="I10" s="61">
        <v>2599</v>
      </c>
      <c r="J10" s="61">
        <v>2599</v>
      </c>
      <c r="K10" s="61">
        <v>2599</v>
      </c>
      <c r="L10" s="61">
        <v>2599</v>
      </c>
      <c r="M10" s="61">
        <v>2599</v>
      </c>
      <c r="N10" s="61">
        <v>2599</v>
      </c>
    </row>
    <row r="11" spans="1:18" x14ac:dyDescent="0.25">
      <c r="A11" s="16">
        <v>7</v>
      </c>
      <c r="B11" s="17" t="s">
        <v>50</v>
      </c>
      <c r="C11" s="61">
        <v>760</v>
      </c>
      <c r="D11" s="61">
        <v>760</v>
      </c>
      <c r="E11" s="61">
        <v>760</v>
      </c>
      <c r="F11" s="61">
        <v>760</v>
      </c>
      <c r="G11" s="61">
        <v>760</v>
      </c>
      <c r="H11" s="61">
        <v>760</v>
      </c>
      <c r="I11" s="61">
        <v>760</v>
      </c>
      <c r="J11" s="61">
        <v>760</v>
      </c>
      <c r="K11" s="61">
        <v>760</v>
      </c>
      <c r="L11" s="61">
        <v>760</v>
      </c>
      <c r="M11" s="61">
        <v>760</v>
      </c>
      <c r="N11" s="61">
        <v>760</v>
      </c>
    </row>
    <row r="12" spans="1:18" x14ac:dyDescent="0.25">
      <c r="A12" s="16">
        <v>8</v>
      </c>
      <c r="B12" s="17" t="s">
        <v>51</v>
      </c>
      <c r="C12" s="61">
        <v>15518</v>
      </c>
      <c r="D12" s="61">
        <v>15518</v>
      </c>
      <c r="E12" s="61">
        <v>15518</v>
      </c>
      <c r="F12" s="61">
        <v>15518</v>
      </c>
      <c r="G12" s="61">
        <v>15518</v>
      </c>
      <c r="H12" s="61">
        <v>15518</v>
      </c>
      <c r="I12" s="61">
        <v>15518</v>
      </c>
      <c r="J12" s="61">
        <v>15518</v>
      </c>
      <c r="K12" s="61">
        <v>15518</v>
      </c>
      <c r="L12" s="61">
        <v>15518</v>
      </c>
      <c r="M12" s="61">
        <v>15518</v>
      </c>
      <c r="N12" s="61">
        <v>15518</v>
      </c>
    </row>
    <row r="13" spans="1:18" x14ac:dyDescent="0.25">
      <c r="A13" s="16">
        <v>9</v>
      </c>
      <c r="B13" s="17" t="s">
        <v>52</v>
      </c>
      <c r="C13" s="61">
        <v>5000</v>
      </c>
      <c r="D13" s="61">
        <v>5000</v>
      </c>
      <c r="E13" s="61">
        <v>5000</v>
      </c>
      <c r="F13" s="61">
        <v>5000</v>
      </c>
      <c r="G13" s="61">
        <v>5000</v>
      </c>
      <c r="H13" s="61">
        <v>5000</v>
      </c>
      <c r="I13" s="61">
        <v>5000</v>
      </c>
      <c r="J13" s="61">
        <v>5000</v>
      </c>
      <c r="K13" s="61">
        <v>5000</v>
      </c>
      <c r="L13" s="61">
        <v>5000</v>
      </c>
      <c r="M13" s="61">
        <v>5000</v>
      </c>
      <c r="N13" s="61">
        <v>5000</v>
      </c>
    </row>
    <row r="14" spans="1:18" x14ac:dyDescent="0.25">
      <c r="A14" s="16">
        <v>10</v>
      </c>
      <c r="B14" s="17" t="s">
        <v>53</v>
      </c>
      <c r="C14" s="61">
        <v>5272</v>
      </c>
      <c r="D14" s="61">
        <v>5272</v>
      </c>
      <c r="E14" s="61">
        <v>5272</v>
      </c>
      <c r="F14" s="61">
        <v>5272</v>
      </c>
      <c r="G14" s="61">
        <v>5272</v>
      </c>
      <c r="H14" s="61">
        <v>5272</v>
      </c>
      <c r="I14" s="61">
        <v>5272</v>
      </c>
      <c r="J14" s="61">
        <v>5272</v>
      </c>
      <c r="K14" s="61">
        <v>5272</v>
      </c>
      <c r="L14" s="61">
        <v>5272</v>
      </c>
      <c r="M14" s="61">
        <v>5272</v>
      </c>
      <c r="N14" s="61">
        <v>5272</v>
      </c>
    </row>
    <row r="15" spans="1:18" x14ac:dyDescent="0.25">
      <c r="A15" s="16">
        <v>11</v>
      </c>
      <c r="B15" s="19" t="s">
        <v>11</v>
      </c>
      <c r="C15" s="61">
        <v>6014</v>
      </c>
      <c r="D15" s="61">
        <v>6014</v>
      </c>
      <c r="E15" s="61">
        <v>6014</v>
      </c>
      <c r="F15" s="61">
        <v>6014</v>
      </c>
      <c r="G15" s="61">
        <v>6014</v>
      </c>
      <c r="H15" s="61">
        <v>6014</v>
      </c>
      <c r="I15" s="61">
        <v>6014</v>
      </c>
      <c r="J15" s="61">
        <v>6014</v>
      </c>
      <c r="K15" s="61">
        <v>6014</v>
      </c>
      <c r="L15" s="61">
        <v>6014</v>
      </c>
      <c r="M15" s="61">
        <v>6014</v>
      </c>
      <c r="N15" s="61">
        <v>6014</v>
      </c>
    </row>
    <row r="16" spans="1:18" x14ac:dyDescent="0.25">
      <c r="A16" s="16">
        <v>12</v>
      </c>
      <c r="B16" s="19" t="s">
        <v>12</v>
      </c>
      <c r="C16" s="61">
        <v>21490</v>
      </c>
      <c r="D16" s="61">
        <v>21490</v>
      </c>
      <c r="E16" s="61">
        <v>21490</v>
      </c>
      <c r="F16" s="61">
        <v>21490</v>
      </c>
      <c r="G16" s="61">
        <v>21490</v>
      </c>
      <c r="H16" s="61">
        <v>21490</v>
      </c>
      <c r="I16" s="61">
        <v>21490</v>
      </c>
      <c r="J16" s="61">
        <v>21490</v>
      </c>
      <c r="K16" s="61">
        <v>21490</v>
      </c>
      <c r="L16" s="61">
        <v>21490</v>
      </c>
      <c r="M16" s="61">
        <v>21490</v>
      </c>
      <c r="N16" s="61">
        <v>21490</v>
      </c>
    </row>
    <row r="17" spans="1:14" x14ac:dyDescent="0.25">
      <c r="A17" s="16">
        <v>13</v>
      </c>
      <c r="B17" s="19" t="s">
        <v>13</v>
      </c>
      <c r="C17" s="61">
        <v>25245</v>
      </c>
      <c r="D17" s="61">
        <v>25245</v>
      </c>
      <c r="E17" s="61">
        <v>25245</v>
      </c>
      <c r="F17" s="61">
        <v>25245</v>
      </c>
      <c r="G17" s="61">
        <v>25245</v>
      </c>
      <c r="H17" s="61">
        <v>25245</v>
      </c>
      <c r="I17" s="61">
        <v>25245</v>
      </c>
      <c r="J17" s="61">
        <v>25245</v>
      </c>
      <c r="K17" s="61">
        <v>25245</v>
      </c>
      <c r="L17" s="61">
        <v>25245</v>
      </c>
      <c r="M17" s="61">
        <v>25245</v>
      </c>
      <c r="N17" s="61">
        <v>25245</v>
      </c>
    </row>
    <row r="18" spans="1:14" x14ac:dyDescent="0.25">
      <c r="A18" s="16">
        <v>14</v>
      </c>
      <c r="B18" s="19" t="s">
        <v>14</v>
      </c>
      <c r="C18" s="61">
        <v>3500</v>
      </c>
      <c r="D18" s="61">
        <v>3500</v>
      </c>
      <c r="E18" s="61">
        <v>3500</v>
      </c>
      <c r="F18" s="61">
        <v>3500</v>
      </c>
      <c r="G18" s="61">
        <v>3500</v>
      </c>
      <c r="H18" s="61">
        <v>3500</v>
      </c>
      <c r="I18" s="61">
        <v>3500</v>
      </c>
      <c r="J18" s="61">
        <v>3500</v>
      </c>
      <c r="K18" s="61">
        <v>3500</v>
      </c>
      <c r="L18" s="61">
        <v>3500</v>
      </c>
      <c r="M18" s="61">
        <v>3500</v>
      </c>
      <c r="N18" s="61">
        <v>3500</v>
      </c>
    </row>
    <row r="19" spans="1:14" x14ac:dyDescent="0.25">
      <c r="A19" s="16">
        <v>15</v>
      </c>
      <c r="B19" s="17" t="s">
        <v>54</v>
      </c>
      <c r="C19" s="61">
        <v>16200</v>
      </c>
      <c r="D19" s="61">
        <v>16200</v>
      </c>
      <c r="E19" s="61">
        <v>16200</v>
      </c>
      <c r="F19" s="61">
        <v>16200</v>
      </c>
      <c r="G19" s="61">
        <v>16200</v>
      </c>
      <c r="H19" s="61">
        <v>16200</v>
      </c>
      <c r="I19" s="61">
        <v>16200</v>
      </c>
      <c r="J19" s="61">
        <v>16200</v>
      </c>
      <c r="K19" s="61">
        <v>16200</v>
      </c>
      <c r="L19" s="61">
        <v>16200</v>
      </c>
      <c r="M19" s="61">
        <v>16200</v>
      </c>
      <c r="N19" s="61">
        <v>16200</v>
      </c>
    </row>
    <row r="20" spans="1:14" x14ac:dyDescent="0.25">
      <c r="A20" s="16">
        <v>16</v>
      </c>
      <c r="B20" s="17" t="s">
        <v>55</v>
      </c>
      <c r="C20" s="61">
        <v>11000</v>
      </c>
      <c r="D20" s="61">
        <v>11000</v>
      </c>
      <c r="E20" s="61">
        <v>11000</v>
      </c>
      <c r="F20" s="61">
        <v>11000</v>
      </c>
      <c r="G20" s="61">
        <v>11000</v>
      </c>
      <c r="H20" s="61">
        <v>11000</v>
      </c>
      <c r="I20" s="61">
        <v>11000</v>
      </c>
      <c r="J20" s="61">
        <v>11000</v>
      </c>
      <c r="K20" s="61">
        <v>11000</v>
      </c>
      <c r="L20" s="61">
        <v>11000</v>
      </c>
      <c r="M20" s="61">
        <v>11000</v>
      </c>
      <c r="N20" s="61">
        <v>11000</v>
      </c>
    </row>
    <row r="21" spans="1:14" x14ac:dyDescent="0.25">
      <c r="A21" s="16">
        <v>17</v>
      </c>
      <c r="B21" s="17" t="s">
        <v>56</v>
      </c>
      <c r="C21" s="61">
        <v>16500</v>
      </c>
      <c r="D21" s="61">
        <v>16500</v>
      </c>
      <c r="E21" s="61">
        <v>16500</v>
      </c>
      <c r="F21" s="61">
        <v>16500</v>
      </c>
      <c r="G21" s="61">
        <v>16500</v>
      </c>
      <c r="H21" s="61">
        <v>16500</v>
      </c>
      <c r="I21" s="61">
        <v>16500</v>
      </c>
      <c r="J21" s="61">
        <v>16500</v>
      </c>
      <c r="K21" s="61">
        <v>16500</v>
      </c>
      <c r="L21" s="61">
        <v>16500</v>
      </c>
      <c r="M21" s="61">
        <v>16500</v>
      </c>
      <c r="N21" s="61">
        <v>16500</v>
      </c>
    </row>
    <row r="22" spans="1:14" x14ac:dyDescent="0.25">
      <c r="A22" s="16">
        <v>18</v>
      </c>
      <c r="B22" s="17" t="s">
        <v>57</v>
      </c>
      <c r="C22" s="61">
        <v>12500</v>
      </c>
      <c r="D22" s="61">
        <v>12500</v>
      </c>
      <c r="E22" s="61">
        <v>12500</v>
      </c>
      <c r="F22" s="61">
        <v>12500</v>
      </c>
      <c r="G22" s="61">
        <v>12500</v>
      </c>
      <c r="H22" s="61">
        <v>12500</v>
      </c>
      <c r="I22" s="61">
        <v>12500</v>
      </c>
      <c r="J22" s="61">
        <v>12500</v>
      </c>
      <c r="K22" s="61">
        <v>12500</v>
      </c>
      <c r="L22" s="61">
        <v>12500</v>
      </c>
      <c r="M22" s="61">
        <v>12500</v>
      </c>
      <c r="N22" s="61">
        <v>12500</v>
      </c>
    </row>
    <row r="23" spans="1:14" x14ac:dyDescent="0.25">
      <c r="A23" s="16">
        <v>19</v>
      </c>
      <c r="B23" s="17" t="s">
        <v>58</v>
      </c>
      <c r="C23" s="61">
        <v>9632</v>
      </c>
      <c r="D23" s="61">
        <v>9632</v>
      </c>
      <c r="E23" s="61">
        <v>9632</v>
      </c>
      <c r="F23" s="61">
        <v>9632</v>
      </c>
      <c r="G23" s="61">
        <v>9632</v>
      </c>
      <c r="H23" s="61">
        <v>9632</v>
      </c>
      <c r="I23" s="61">
        <v>9632</v>
      </c>
      <c r="J23" s="61">
        <v>9632</v>
      </c>
      <c r="K23" s="61">
        <v>9632</v>
      </c>
      <c r="L23" s="61">
        <v>9632</v>
      </c>
      <c r="M23" s="61">
        <v>9632</v>
      </c>
      <c r="N23" s="61">
        <v>9632</v>
      </c>
    </row>
    <row r="24" spans="1:14" x14ac:dyDescent="0.25">
      <c r="A24" s="16">
        <v>20</v>
      </c>
      <c r="B24" s="17" t="s">
        <v>59</v>
      </c>
      <c r="C24" s="61">
        <v>2000</v>
      </c>
      <c r="D24" s="61">
        <v>2000</v>
      </c>
      <c r="E24" s="61">
        <v>2000</v>
      </c>
      <c r="F24" s="61">
        <v>2000</v>
      </c>
      <c r="G24" s="61">
        <v>2000</v>
      </c>
      <c r="H24" s="61">
        <v>2000</v>
      </c>
      <c r="I24" s="61">
        <v>2000</v>
      </c>
      <c r="J24" s="61">
        <v>2000</v>
      </c>
      <c r="K24" s="61">
        <v>2000</v>
      </c>
      <c r="L24" s="61">
        <v>2000</v>
      </c>
      <c r="M24" s="61">
        <v>2000</v>
      </c>
      <c r="N24" s="61">
        <v>2000</v>
      </c>
    </row>
    <row r="25" spans="1:14" x14ac:dyDescent="0.25">
      <c r="A25" s="16">
        <v>21</v>
      </c>
      <c r="B25" s="17" t="s">
        <v>60</v>
      </c>
      <c r="C25" s="61">
        <v>2500</v>
      </c>
      <c r="D25" s="61">
        <v>2500</v>
      </c>
      <c r="E25" s="61">
        <v>2500</v>
      </c>
      <c r="F25" s="61">
        <v>2500</v>
      </c>
      <c r="G25" s="67">
        <v>2900</v>
      </c>
      <c r="H25" s="67">
        <v>2900</v>
      </c>
      <c r="I25" s="67">
        <v>2900</v>
      </c>
      <c r="J25" s="67">
        <v>2900</v>
      </c>
      <c r="K25" s="66">
        <v>2900</v>
      </c>
      <c r="L25" s="66">
        <v>2900</v>
      </c>
      <c r="M25" s="66">
        <v>2900</v>
      </c>
      <c r="N25" s="66">
        <v>2900</v>
      </c>
    </row>
    <row r="26" spans="1:14" x14ac:dyDescent="0.25">
      <c r="A26" s="16">
        <v>22</v>
      </c>
      <c r="B26" s="17" t="s">
        <v>61</v>
      </c>
      <c r="C26" s="61">
        <v>8470</v>
      </c>
      <c r="D26" s="61">
        <v>8470</v>
      </c>
      <c r="E26" s="61">
        <v>8470</v>
      </c>
      <c r="F26" s="61">
        <v>8470</v>
      </c>
      <c r="G26" s="61">
        <v>8470</v>
      </c>
      <c r="H26" s="61">
        <v>8470</v>
      </c>
      <c r="I26" s="61">
        <v>8470</v>
      </c>
      <c r="J26" s="61">
        <v>8470</v>
      </c>
      <c r="K26" s="61">
        <v>8470</v>
      </c>
      <c r="L26" s="61">
        <v>8470</v>
      </c>
      <c r="M26" s="61">
        <v>8470</v>
      </c>
      <c r="N26" s="61">
        <v>8470</v>
      </c>
    </row>
    <row r="27" spans="1:14" x14ac:dyDescent="0.25">
      <c r="A27" s="16">
        <v>23</v>
      </c>
      <c r="B27" s="17" t="s">
        <v>62</v>
      </c>
      <c r="C27" s="61">
        <v>3582</v>
      </c>
      <c r="D27" s="61">
        <v>3582</v>
      </c>
      <c r="E27" s="61">
        <v>3582</v>
      </c>
      <c r="F27" s="61">
        <v>3582</v>
      </c>
      <c r="G27" s="61">
        <v>3582</v>
      </c>
      <c r="H27" s="61">
        <v>3582</v>
      </c>
      <c r="I27" s="61">
        <v>3582</v>
      </c>
      <c r="J27" s="61">
        <v>3582</v>
      </c>
      <c r="K27" s="61">
        <v>3582</v>
      </c>
      <c r="L27" s="61">
        <v>3582</v>
      </c>
      <c r="M27" s="61">
        <v>3582</v>
      </c>
      <c r="N27" s="61">
        <v>3582</v>
      </c>
    </row>
    <row r="28" spans="1:14" x14ac:dyDescent="0.25">
      <c r="A28" s="16">
        <v>24</v>
      </c>
      <c r="B28" s="17" t="s">
        <v>63</v>
      </c>
      <c r="C28" s="61">
        <v>8160</v>
      </c>
      <c r="D28" s="61">
        <v>8160</v>
      </c>
      <c r="E28" s="61">
        <v>8160</v>
      </c>
      <c r="F28" s="61">
        <v>8160</v>
      </c>
      <c r="G28" s="61">
        <v>8160</v>
      </c>
      <c r="H28" s="61">
        <v>8160</v>
      </c>
      <c r="I28" s="61">
        <v>8160</v>
      </c>
      <c r="J28" s="61">
        <v>8160</v>
      </c>
      <c r="K28" s="61">
        <v>8160</v>
      </c>
      <c r="L28" s="61">
        <v>8160</v>
      </c>
      <c r="M28" s="61">
        <v>8160</v>
      </c>
      <c r="N28" s="61">
        <v>8160</v>
      </c>
    </row>
    <row r="29" spans="1:14" x14ac:dyDescent="0.25">
      <c r="A29" s="16">
        <v>25</v>
      </c>
      <c r="B29" s="17" t="s">
        <v>64</v>
      </c>
      <c r="C29" s="61">
        <v>35976</v>
      </c>
      <c r="D29" s="61">
        <v>35976</v>
      </c>
      <c r="E29" s="61">
        <v>35976</v>
      </c>
      <c r="F29" s="61">
        <v>35976</v>
      </c>
      <c r="G29" s="61">
        <v>35976</v>
      </c>
      <c r="H29" s="61">
        <v>35976</v>
      </c>
      <c r="I29" s="61">
        <v>35976</v>
      </c>
      <c r="J29" s="61">
        <v>35976</v>
      </c>
      <c r="K29" s="61">
        <v>35976</v>
      </c>
      <c r="L29" s="61">
        <v>35976</v>
      </c>
      <c r="M29" s="61">
        <v>35976</v>
      </c>
      <c r="N29" s="61">
        <v>35976</v>
      </c>
    </row>
    <row r="30" spans="1:14" x14ac:dyDescent="0.25">
      <c r="A30" s="16">
        <v>26</v>
      </c>
      <c r="B30" s="20" t="s">
        <v>65</v>
      </c>
      <c r="C30" s="62">
        <v>12235</v>
      </c>
      <c r="D30" s="62">
        <v>12235</v>
      </c>
      <c r="E30" s="62">
        <v>12235</v>
      </c>
      <c r="F30" s="62">
        <v>12235</v>
      </c>
      <c r="G30" s="61">
        <v>12235</v>
      </c>
      <c r="H30" s="61">
        <v>12235</v>
      </c>
      <c r="I30" s="61">
        <v>12235</v>
      </c>
      <c r="J30" s="61">
        <v>12235</v>
      </c>
      <c r="K30" s="61">
        <v>12235</v>
      </c>
      <c r="L30" s="61">
        <v>12235</v>
      </c>
      <c r="M30" s="61">
        <v>12235</v>
      </c>
      <c r="N30" s="61">
        <v>12235</v>
      </c>
    </row>
    <row r="31" spans="1:14" x14ac:dyDescent="0.25">
      <c r="A31" s="16">
        <v>27</v>
      </c>
      <c r="B31" s="17" t="s">
        <v>66</v>
      </c>
      <c r="C31" s="61">
        <v>5000</v>
      </c>
      <c r="D31" s="61">
        <v>5000</v>
      </c>
      <c r="E31" s="61">
        <v>5000</v>
      </c>
      <c r="F31" s="61">
        <v>5000</v>
      </c>
      <c r="G31" s="61">
        <v>5000</v>
      </c>
      <c r="H31" s="61">
        <v>5000</v>
      </c>
      <c r="I31" s="61">
        <v>5000</v>
      </c>
      <c r="J31" s="61">
        <v>5000</v>
      </c>
      <c r="K31" s="61">
        <v>5000</v>
      </c>
      <c r="L31" s="61">
        <v>5000</v>
      </c>
      <c r="M31" s="61">
        <v>5000</v>
      </c>
      <c r="N31" s="61">
        <v>5000</v>
      </c>
    </row>
    <row r="32" spans="1:14" x14ac:dyDescent="0.25">
      <c r="A32" s="16">
        <v>28</v>
      </c>
      <c r="B32" s="17" t="s">
        <v>67</v>
      </c>
      <c r="C32" s="61">
        <v>1271</v>
      </c>
      <c r="D32" s="61">
        <v>1271</v>
      </c>
      <c r="E32" s="61">
        <v>1271</v>
      </c>
      <c r="F32" s="61">
        <v>1271</v>
      </c>
      <c r="G32" s="61">
        <v>1271</v>
      </c>
      <c r="H32" s="61">
        <v>1271</v>
      </c>
      <c r="I32" s="61">
        <v>1271</v>
      </c>
      <c r="J32" s="61">
        <v>1271</v>
      </c>
      <c r="K32" s="61">
        <v>1271</v>
      </c>
      <c r="L32" s="61">
        <v>1271</v>
      </c>
      <c r="M32" s="61">
        <v>1271</v>
      </c>
      <c r="N32" s="61">
        <v>1271</v>
      </c>
    </row>
    <row r="33" spans="1:15" x14ac:dyDescent="0.25">
      <c r="A33" s="16">
        <v>29</v>
      </c>
      <c r="B33" s="17" t="s">
        <v>68</v>
      </c>
      <c r="C33" s="63">
        <f>8170+1280</f>
        <v>9450</v>
      </c>
      <c r="D33" s="63">
        <v>9450</v>
      </c>
      <c r="E33" s="63">
        <v>9450</v>
      </c>
      <c r="F33" s="63">
        <v>9450</v>
      </c>
      <c r="G33" s="63">
        <v>9450</v>
      </c>
      <c r="H33" s="63">
        <v>9450</v>
      </c>
      <c r="I33" s="63">
        <v>9450</v>
      </c>
      <c r="J33" s="63">
        <v>9450</v>
      </c>
      <c r="K33" s="63">
        <v>9450</v>
      </c>
      <c r="L33" s="63">
        <v>9450</v>
      </c>
      <c r="M33" s="65">
        <f>9450+2600</f>
        <v>12050</v>
      </c>
      <c r="N33" s="65">
        <f>9450+2600</f>
        <v>12050</v>
      </c>
    </row>
    <row r="34" spans="1:15" x14ac:dyDescent="0.25">
      <c r="A34" s="16">
        <v>30</v>
      </c>
      <c r="B34" s="17" t="s">
        <v>69</v>
      </c>
      <c r="C34" s="61">
        <v>1733</v>
      </c>
      <c r="D34" s="61">
        <v>1733</v>
      </c>
      <c r="E34" s="61">
        <v>1733</v>
      </c>
      <c r="F34" s="61">
        <v>1733</v>
      </c>
      <c r="G34" s="61">
        <v>1733</v>
      </c>
      <c r="H34" s="61">
        <v>1733</v>
      </c>
      <c r="I34" s="61">
        <v>1733</v>
      </c>
      <c r="J34" s="61">
        <v>1733</v>
      </c>
      <c r="K34" s="61">
        <v>1733</v>
      </c>
      <c r="L34" s="61">
        <v>1733</v>
      </c>
      <c r="M34" s="61">
        <v>1733</v>
      </c>
      <c r="N34" s="61">
        <v>1733</v>
      </c>
    </row>
    <row r="35" spans="1:15" x14ac:dyDescent="0.25">
      <c r="A35" s="16">
        <v>31</v>
      </c>
      <c r="B35" s="17" t="s">
        <v>9</v>
      </c>
      <c r="C35" s="61">
        <v>4980</v>
      </c>
      <c r="D35" s="61">
        <v>4980</v>
      </c>
      <c r="E35" s="61">
        <v>4980</v>
      </c>
      <c r="F35" s="61">
        <v>4980</v>
      </c>
      <c r="G35" s="61">
        <v>4980</v>
      </c>
      <c r="H35" s="61">
        <v>4980</v>
      </c>
      <c r="I35" s="61">
        <v>4980</v>
      </c>
      <c r="J35" s="61">
        <v>4980</v>
      </c>
      <c r="K35" s="61">
        <v>4980</v>
      </c>
      <c r="L35" s="61">
        <v>4980</v>
      </c>
      <c r="M35" s="61">
        <v>4980</v>
      </c>
      <c r="N35" s="61">
        <v>4980</v>
      </c>
    </row>
    <row r="36" spans="1:15" x14ac:dyDescent="0.25">
      <c r="A36" s="16">
        <v>32</v>
      </c>
      <c r="B36" s="17" t="s">
        <v>70</v>
      </c>
      <c r="C36" s="61">
        <v>14504</v>
      </c>
      <c r="D36" s="61">
        <v>14504</v>
      </c>
      <c r="E36" s="61">
        <v>14504</v>
      </c>
      <c r="F36" s="61">
        <v>14504</v>
      </c>
      <c r="G36" s="61">
        <v>14504</v>
      </c>
      <c r="H36" s="61">
        <v>14504</v>
      </c>
      <c r="I36" s="61">
        <v>14504</v>
      </c>
      <c r="J36" s="61">
        <v>14504</v>
      </c>
      <c r="K36" s="61">
        <v>14504</v>
      </c>
      <c r="L36" s="61">
        <v>14504</v>
      </c>
      <c r="M36" s="61">
        <v>14504</v>
      </c>
      <c r="N36" s="61">
        <v>14504</v>
      </c>
    </row>
    <row r="37" spans="1:15" ht="17.25" customHeight="1" x14ac:dyDescent="0.25">
      <c r="A37" s="21"/>
      <c r="B37" s="22" t="s">
        <v>71</v>
      </c>
      <c r="C37" s="64">
        <f t="shared" ref="C37:N37" si="0">SUM(C5:C36)</f>
        <v>304101</v>
      </c>
      <c r="D37" s="64">
        <f t="shared" si="0"/>
        <v>304101</v>
      </c>
      <c r="E37" s="64">
        <f t="shared" si="0"/>
        <v>304101</v>
      </c>
      <c r="F37" s="64">
        <f t="shared" si="0"/>
        <v>304101</v>
      </c>
      <c r="G37" s="64">
        <f t="shared" si="0"/>
        <v>304501</v>
      </c>
      <c r="H37" s="64">
        <f t="shared" si="0"/>
        <v>304501</v>
      </c>
      <c r="I37" s="64">
        <f t="shared" si="0"/>
        <v>304501</v>
      </c>
      <c r="J37" s="64">
        <f t="shared" si="0"/>
        <v>304501</v>
      </c>
      <c r="K37" s="64">
        <f t="shared" si="0"/>
        <v>304501</v>
      </c>
      <c r="L37" s="64">
        <f t="shared" si="0"/>
        <v>304501</v>
      </c>
      <c r="M37" s="64">
        <f t="shared" si="0"/>
        <v>307101</v>
      </c>
      <c r="N37" s="64">
        <f t="shared" si="0"/>
        <v>307101</v>
      </c>
      <c r="O37" s="173">
        <f>SUM(C37:N37)</f>
        <v>3657612</v>
      </c>
    </row>
    <row r="38" spans="1:15" x14ac:dyDescent="0.25">
      <c r="A38" s="16">
        <v>33</v>
      </c>
      <c r="B38" s="17" t="s">
        <v>46</v>
      </c>
      <c r="C38" s="61">
        <v>2599</v>
      </c>
      <c r="D38" s="61">
        <v>2599</v>
      </c>
      <c r="E38" s="61">
        <v>2599</v>
      </c>
      <c r="F38" s="61">
        <v>2599</v>
      </c>
      <c r="G38" s="61">
        <v>2599</v>
      </c>
      <c r="H38" s="61">
        <v>2599</v>
      </c>
      <c r="I38" s="61">
        <v>2599</v>
      </c>
      <c r="J38" s="61">
        <v>2599</v>
      </c>
      <c r="K38" s="61">
        <v>2599</v>
      </c>
      <c r="L38" s="61">
        <v>2599</v>
      </c>
      <c r="M38" s="61">
        <v>2599</v>
      </c>
      <c r="N38" s="61">
        <v>2599</v>
      </c>
      <c r="O38" s="29"/>
    </row>
    <row r="39" spans="1:15" x14ac:dyDescent="0.25">
      <c r="A39" s="16">
        <v>34</v>
      </c>
      <c r="B39" s="17" t="s">
        <v>47</v>
      </c>
      <c r="C39" s="61">
        <v>4332</v>
      </c>
      <c r="D39" s="61">
        <v>4332</v>
      </c>
      <c r="E39" s="61">
        <v>4332</v>
      </c>
      <c r="F39" s="61">
        <v>4332</v>
      </c>
      <c r="G39" s="61">
        <v>4332</v>
      </c>
      <c r="H39" s="61">
        <v>4332</v>
      </c>
      <c r="I39" s="61">
        <v>4332</v>
      </c>
      <c r="J39" s="61">
        <v>4332</v>
      </c>
      <c r="K39" s="61">
        <v>4332</v>
      </c>
      <c r="L39" s="61">
        <v>4332</v>
      </c>
      <c r="M39" s="61">
        <v>4332</v>
      </c>
      <c r="N39" s="61">
        <v>4332</v>
      </c>
      <c r="O39" s="29"/>
    </row>
    <row r="40" spans="1:15" x14ac:dyDescent="0.25">
      <c r="A40" s="16">
        <v>35</v>
      </c>
      <c r="B40" s="17" t="s">
        <v>49</v>
      </c>
      <c r="C40" s="61">
        <v>867</v>
      </c>
      <c r="D40" s="61">
        <v>867</v>
      </c>
      <c r="E40" s="61">
        <v>867</v>
      </c>
      <c r="F40" s="61">
        <v>867</v>
      </c>
      <c r="G40" s="61">
        <v>867</v>
      </c>
      <c r="H40" s="61">
        <v>867</v>
      </c>
      <c r="I40" s="61">
        <v>867</v>
      </c>
      <c r="J40" s="61">
        <v>867</v>
      </c>
      <c r="K40" s="61">
        <v>867</v>
      </c>
      <c r="L40" s="61">
        <v>867</v>
      </c>
      <c r="M40" s="61">
        <v>867</v>
      </c>
      <c r="N40" s="61">
        <v>867</v>
      </c>
      <c r="O40" s="29"/>
    </row>
    <row r="41" spans="1:15" ht="17.25" customHeight="1" x14ac:dyDescent="0.25">
      <c r="A41" s="21"/>
      <c r="B41" s="22" t="s">
        <v>71</v>
      </c>
      <c r="C41" s="64">
        <f t="shared" ref="C41:N41" si="1">SUM(C38:C40)</f>
        <v>7798</v>
      </c>
      <c r="D41" s="64">
        <f t="shared" si="1"/>
        <v>7798</v>
      </c>
      <c r="E41" s="64">
        <f t="shared" si="1"/>
        <v>7798</v>
      </c>
      <c r="F41" s="64">
        <f t="shared" si="1"/>
        <v>7798</v>
      </c>
      <c r="G41" s="64">
        <f t="shared" si="1"/>
        <v>7798</v>
      </c>
      <c r="H41" s="64">
        <f t="shared" si="1"/>
        <v>7798</v>
      </c>
      <c r="I41" s="64">
        <f t="shared" si="1"/>
        <v>7798</v>
      </c>
      <c r="J41" s="64">
        <f t="shared" si="1"/>
        <v>7798</v>
      </c>
      <c r="K41" s="64">
        <f t="shared" si="1"/>
        <v>7798</v>
      </c>
      <c r="L41" s="64">
        <f t="shared" si="1"/>
        <v>7798</v>
      </c>
      <c r="M41" s="64">
        <f t="shared" si="1"/>
        <v>7798</v>
      </c>
      <c r="N41" s="64">
        <f t="shared" si="1"/>
        <v>7798</v>
      </c>
      <c r="O41" s="173">
        <f>SUM(C41:N41)</f>
        <v>93576</v>
      </c>
    </row>
    <row r="42" spans="1:15" ht="17.25" customHeight="1" x14ac:dyDescent="0.25">
      <c r="A42" s="173"/>
      <c r="B42" s="173" t="s">
        <v>5</v>
      </c>
      <c r="C42" s="173">
        <f>C37+C41</f>
        <v>311899</v>
      </c>
      <c r="D42" s="173">
        <f t="shared" ref="D42:N42" si="2">D37+D41</f>
        <v>311899</v>
      </c>
      <c r="E42" s="173">
        <f t="shared" si="2"/>
        <v>311899</v>
      </c>
      <c r="F42" s="173">
        <f t="shared" si="2"/>
        <v>311899</v>
      </c>
      <c r="G42" s="173">
        <f t="shared" si="2"/>
        <v>312299</v>
      </c>
      <c r="H42" s="173">
        <f t="shared" si="2"/>
        <v>312299</v>
      </c>
      <c r="I42" s="173">
        <f t="shared" si="2"/>
        <v>312299</v>
      </c>
      <c r="J42" s="173">
        <f t="shared" si="2"/>
        <v>312299</v>
      </c>
      <c r="K42" s="173">
        <f t="shared" si="2"/>
        <v>312299</v>
      </c>
      <c r="L42" s="173">
        <f t="shared" si="2"/>
        <v>312299</v>
      </c>
      <c r="M42" s="173">
        <f t="shared" si="2"/>
        <v>314899</v>
      </c>
      <c r="N42" s="173">
        <f t="shared" si="2"/>
        <v>314899</v>
      </c>
      <c r="O42" s="173">
        <f>SUM(C42:N42)</f>
        <v>3751188</v>
      </c>
    </row>
    <row r="44" spans="1:15" x14ac:dyDescent="0.25">
      <c r="I44" s="15"/>
      <c r="J44" s="15"/>
      <c r="L44" s="15"/>
    </row>
    <row r="45" spans="1:15" x14ac:dyDescent="0.25">
      <c r="K45" s="15"/>
    </row>
    <row r="46" spans="1:15" x14ac:dyDescent="0.25">
      <c r="F46" s="23"/>
      <c r="J46" s="15"/>
      <c r="M46" s="15"/>
      <c r="N46" s="15"/>
    </row>
    <row r="47" spans="1:15" x14ac:dyDescent="0.25">
      <c r="F47" s="23"/>
      <c r="L47" s="15"/>
    </row>
  </sheetData>
  <mergeCells count="6">
    <mergeCell ref="B2:B4"/>
    <mergeCell ref="A2:A4"/>
    <mergeCell ref="C2:N2"/>
    <mergeCell ref="D3:F3"/>
    <mergeCell ref="G3:I3"/>
    <mergeCell ref="J3:N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G20"/>
  <sheetViews>
    <sheetView topLeftCell="A2" workbookViewId="0">
      <selection activeCell="I31" sqref="I31"/>
    </sheetView>
  </sheetViews>
  <sheetFormatPr defaultRowHeight="15" x14ac:dyDescent="0.25"/>
  <cols>
    <col min="2" max="2" width="5.140625" customWidth="1"/>
    <col min="3" max="3" width="105.28515625" customWidth="1"/>
    <col min="4" max="4" width="18.85546875" customWidth="1"/>
    <col min="5" max="5" width="13.28515625" customWidth="1"/>
    <col min="6" max="7" width="9.140625" customWidth="1"/>
  </cols>
  <sheetData>
    <row r="1" spans="2:5" x14ac:dyDescent="0.25">
      <c r="B1" s="311" t="s">
        <v>72</v>
      </c>
      <c r="C1" s="313"/>
      <c r="D1" s="312"/>
    </row>
    <row r="2" spans="2:5" x14ac:dyDescent="0.25">
      <c r="B2" s="111" t="s">
        <v>75</v>
      </c>
      <c r="C2" s="111" t="s">
        <v>8</v>
      </c>
      <c r="D2" s="111" t="s">
        <v>227</v>
      </c>
    </row>
    <row r="3" spans="2:5" x14ac:dyDescent="0.25">
      <c r="B3" s="58" t="s">
        <v>170</v>
      </c>
      <c r="C3" s="36" t="s">
        <v>165</v>
      </c>
      <c r="D3" s="59"/>
    </row>
    <row r="4" spans="2:5" x14ac:dyDescent="0.25">
      <c r="B4" s="60">
        <v>1</v>
      </c>
      <c r="C4" s="37" t="s">
        <v>171</v>
      </c>
      <c r="D4" s="178">
        <v>24000</v>
      </c>
      <c r="E4" s="38"/>
    </row>
    <row r="5" spans="2:5" x14ac:dyDescent="0.25">
      <c r="B5" s="60">
        <v>2</v>
      </c>
      <c r="C5" s="37" t="s">
        <v>172</v>
      </c>
      <c r="D5" s="178">
        <v>9000</v>
      </c>
      <c r="E5" s="38"/>
    </row>
    <row r="6" spans="2:5" x14ac:dyDescent="0.25">
      <c r="B6" s="60">
        <v>3</v>
      </c>
      <c r="C6" s="37" t="s">
        <v>173</v>
      </c>
      <c r="D6" s="178">
        <v>22000</v>
      </c>
      <c r="E6" s="38"/>
    </row>
    <row r="7" spans="2:5" x14ac:dyDescent="0.25">
      <c r="B7" s="60">
        <v>4</v>
      </c>
      <c r="C7" s="37" t="s">
        <v>174</v>
      </c>
      <c r="D7" s="178">
        <v>6000</v>
      </c>
      <c r="E7" s="38"/>
    </row>
    <row r="8" spans="2:5" x14ac:dyDescent="0.25">
      <c r="B8" s="60">
        <v>5</v>
      </c>
      <c r="C8" s="37" t="s">
        <v>15</v>
      </c>
      <c r="D8" s="178">
        <v>22500</v>
      </c>
      <c r="E8" s="38"/>
    </row>
    <row r="9" spans="2:5" x14ac:dyDescent="0.25">
      <c r="B9" s="60">
        <v>6</v>
      </c>
      <c r="C9" s="37" t="s">
        <v>16</v>
      </c>
      <c r="D9" s="178">
        <v>16000</v>
      </c>
      <c r="E9" s="38"/>
    </row>
    <row r="10" spans="2:5" x14ac:dyDescent="0.25">
      <c r="B10" s="60">
        <v>7</v>
      </c>
      <c r="C10" s="37" t="s">
        <v>17</v>
      </c>
      <c r="D10" s="178">
        <v>21500</v>
      </c>
      <c r="E10" s="38"/>
    </row>
    <row r="11" spans="2:5" x14ac:dyDescent="0.25">
      <c r="B11" s="60">
        <v>8</v>
      </c>
      <c r="C11" s="37" t="s">
        <v>175</v>
      </c>
      <c r="D11" s="178">
        <v>39000</v>
      </c>
      <c r="E11" s="38"/>
    </row>
    <row r="12" spans="2:5" x14ac:dyDescent="0.25">
      <c r="B12" s="311" t="s">
        <v>5</v>
      </c>
      <c r="C12" s="312"/>
      <c r="D12" s="174">
        <f>SUM(D4:D11)</f>
        <v>160000</v>
      </c>
      <c r="E12" s="38"/>
    </row>
    <row r="13" spans="2:5" x14ac:dyDescent="0.25">
      <c r="B13" s="58" t="s">
        <v>176</v>
      </c>
      <c r="C13" s="36" t="s">
        <v>166</v>
      </c>
      <c r="D13" s="179"/>
      <c r="E13" s="38"/>
    </row>
    <row r="14" spans="2:5" x14ac:dyDescent="0.25">
      <c r="B14" s="60">
        <v>1</v>
      </c>
      <c r="C14" s="37" t="s">
        <v>177</v>
      </c>
      <c r="D14" s="178">
        <v>23000</v>
      </c>
      <c r="E14" s="38"/>
    </row>
    <row r="15" spans="2:5" x14ac:dyDescent="0.25">
      <c r="B15" s="60">
        <v>2</v>
      </c>
      <c r="C15" s="37" t="s">
        <v>167</v>
      </c>
      <c r="D15" s="180">
        <v>12000</v>
      </c>
      <c r="E15" s="38"/>
    </row>
    <row r="16" spans="2:5" x14ac:dyDescent="0.25">
      <c r="B16" s="60">
        <v>3</v>
      </c>
      <c r="C16" s="37" t="s">
        <v>168</v>
      </c>
      <c r="D16" s="180">
        <v>6000</v>
      </c>
      <c r="E16" s="38"/>
    </row>
    <row r="17" spans="2:7" x14ac:dyDescent="0.25">
      <c r="B17" s="60">
        <v>4</v>
      </c>
      <c r="C17" s="57" t="s">
        <v>169</v>
      </c>
      <c r="D17" s="181">
        <v>28000</v>
      </c>
      <c r="E17" s="38"/>
    </row>
    <row r="18" spans="2:7" x14ac:dyDescent="0.25">
      <c r="B18" s="311" t="s">
        <v>5</v>
      </c>
      <c r="C18" s="312"/>
      <c r="D18" s="174">
        <f>SUM(D14:D17)</f>
        <v>69000</v>
      </c>
    </row>
    <row r="19" spans="2:7" x14ac:dyDescent="0.25">
      <c r="B19" s="58" t="s">
        <v>178</v>
      </c>
      <c r="C19" s="37" t="s">
        <v>179</v>
      </c>
      <c r="D19" s="178">
        <v>500</v>
      </c>
    </row>
    <row r="20" spans="2:7" x14ac:dyDescent="0.25">
      <c r="B20" s="311" t="s">
        <v>5</v>
      </c>
      <c r="C20" s="312"/>
      <c r="D20" s="174">
        <f>D12+D18+D19</f>
        <v>229500</v>
      </c>
      <c r="G20" s="12"/>
    </row>
  </sheetData>
  <mergeCells count="4">
    <mergeCell ref="B12:C12"/>
    <mergeCell ref="B18:C18"/>
    <mergeCell ref="B20:C20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ბიუჯეტ. სოფ- 2019 20.09.19</vt:lpstr>
      <vt:lpstr>ბიუჯეტ. სოფ- 2019</vt:lpstr>
      <vt:lpstr>ssa - 8 პოზიცია</vt:lpstr>
      <vt:lpstr>გაწ.-მოს.ხარჯ ssa</vt:lpstr>
      <vt:lpstr>გადაუდ.ცენტრი</vt:lpstr>
      <vt:lpstr>1. სოფლ.ექ</vt:lpstr>
      <vt:lpstr>2.შ.ქართლი</vt:lpstr>
      <vt:lpstr>3.სპეც</vt:lpstr>
      <vt:lpstr>4. ხელშეწყ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2019-09-20T13:47:49Z</dcterms:modified>
</cp:coreProperties>
</file>