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435" windowWidth="28800" windowHeight="16440" tabRatio="583"/>
  </bookViews>
  <sheets>
    <sheet name="Modelcosting" sheetId="1" r:id="rId1"/>
    <sheet name="Лист1" sheetId="9" r:id="rId2"/>
  </sheets>
  <definedNames>
    <definedName name="ExternalData_1" localSheetId="1" hidden="1">Лист1!$A$1:$D$3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1" l="1"/>
  <c r="N4" i="1"/>
  <c r="O3" i="1"/>
  <c r="N3" i="1"/>
  <c r="N2" i="1"/>
  <c r="H18" i="1"/>
  <c r="I18" i="1" s="1"/>
  <c r="I21" i="1"/>
  <c r="H21" i="1"/>
  <c r="J8" i="1"/>
  <c r="H8" i="1"/>
  <c r="E20" i="1" l="1"/>
  <c r="K5" i="1"/>
  <c r="K4" i="1"/>
  <c r="K3" i="1"/>
  <c r="K2" i="1"/>
  <c r="E3" i="1"/>
  <c r="E5" i="1" s="1"/>
  <c r="E33" i="1"/>
  <c r="E22" i="1"/>
  <c r="E23" i="1" s="1"/>
  <c r="E19" i="1"/>
  <c r="E9" i="1"/>
  <c r="E15" i="1" s="1"/>
  <c r="E16" i="1" l="1"/>
  <c r="E12" i="1"/>
  <c r="E13" i="1" s="1"/>
  <c r="E14" i="1" s="1"/>
  <c r="E10" i="1"/>
  <c r="E11" i="1"/>
  <c r="D101" i="1" l="1"/>
  <c r="D46" i="1" l="1"/>
  <c r="D45" i="1"/>
  <c r="D100" i="1" l="1"/>
  <c r="E101" i="1"/>
  <c r="F101" i="1"/>
  <c r="D105" i="1"/>
  <c r="D62" i="1" s="1"/>
  <c r="F75" i="1"/>
  <c r="F76" i="1"/>
  <c r="F78" i="1"/>
  <c r="F79" i="1"/>
  <c r="F80" i="1"/>
  <c r="E75" i="1"/>
  <c r="E76" i="1"/>
  <c r="E78" i="1"/>
  <c r="E80" i="1"/>
  <c r="E79" i="1"/>
  <c r="F46" i="1"/>
  <c r="E46" i="1"/>
  <c r="F45" i="1"/>
  <c r="E45" i="1"/>
  <c r="F44" i="1"/>
  <c r="E44" i="1"/>
  <c r="E100" i="1" l="1"/>
  <c r="F100" i="1"/>
  <c r="F105" i="1" s="1"/>
  <c r="F62" i="1" s="1"/>
  <c r="E105" i="1"/>
  <c r="E62" i="1" s="1"/>
  <c r="D43" i="1" l="1"/>
  <c r="D82" i="1" s="1"/>
  <c r="D55" i="1"/>
  <c r="D61" i="1"/>
  <c r="D68" i="1"/>
  <c r="D72" i="1"/>
  <c r="E43" i="1"/>
  <c r="E82" i="1" s="1"/>
  <c r="E81" i="1" s="1"/>
  <c r="E55" i="1"/>
  <c r="E61" i="1"/>
  <c r="E68" i="1"/>
  <c r="E72" i="1"/>
  <c r="F43" i="1"/>
  <c r="F82" i="1" s="1"/>
  <c r="F55" i="1"/>
  <c r="F61" i="1"/>
  <c r="F68" i="1"/>
  <c r="F72" i="1"/>
  <c r="B1" i="1"/>
  <c r="F20" i="1" s="1"/>
  <c r="G20" i="1" s="1"/>
  <c r="F34" i="1" l="1"/>
  <c r="F33" i="1"/>
  <c r="F23" i="1"/>
  <c r="F4" i="1"/>
  <c r="F17" i="1"/>
  <c r="G17" i="1" s="1"/>
  <c r="F6" i="1"/>
  <c r="F3" i="1"/>
  <c r="F5" i="1"/>
  <c r="F13" i="1"/>
  <c r="G13" i="1" s="1"/>
  <c r="F22" i="1"/>
  <c r="F16" i="1"/>
  <c r="G16" i="1" s="1"/>
  <c r="F14" i="1"/>
  <c r="G14" i="1" s="1"/>
  <c r="F19" i="1"/>
  <c r="F15" i="1"/>
  <c r="G15" i="1" s="1"/>
  <c r="D12" i="1"/>
  <c r="D9" i="1"/>
  <c r="D11" i="1"/>
  <c r="D10" i="1"/>
  <c r="D81" i="1"/>
  <c r="E87" i="1"/>
  <c r="E86" i="1" s="1"/>
  <c r="E90" i="1" s="1"/>
  <c r="F18" i="1" l="1"/>
  <c r="G18" i="1" s="1"/>
  <c r="G19" i="1"/>
  <c r="F21" i="1"/>
  <c r="L5" i="1" s="1"/>
  <c r="F2" i="1"/>
  <c r="F10" i="1"/>
  <c r="G10" i="1" s="1"/>
  <c r="F11" i="1"/>
  <c r="F9" i="1"/>
  <c r="F12" i="1"/>
  <c r="G12" i="1" s="1"/>
  <c r="D8" i="1"/>
  <c r="D87" i="1"/>
  <c r="D86" i="1" s="1"/>
  <c r="D90" i="1" s="1"/>
  <c r="L2" i="1" l="1"/>
  <c r="I2" i="1"/>
  <c r="F8" i="1"/>
  <c r="I8" i="1" s="1"/>
  <c r="G8" i="1"/>
  <c r="M3" i="1" s="1"/>
  <c r="L4" i="1"/>
  <c r="D93" i="1"/>
  <c r="L3" i="1"/>
  <c r="F83" i="1" l="1"/>
  <c r="F81" i="1" l="1"/>
  <c r="F87" i="1" s="1"/>
  <c r="F86" i="1" s="1"/>
  <c r="F90" i="1" l="1"/>
  <c r="F93" i="1" l="1"/>
  <c r="E93" i="1" l="1"/>
  <c r="F31" i="1"/>
</calcChain>
</file>

<file path=xl/comments1.xml><?xml version="1.0" encoding="utf-8"?>
<comments xmlns="http://schemas.openxmlformats.org/spreadsheetml/2006/main">
  <authors>
    <author>Author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გათვალისწინებული დონორის მიერ დაგეგმილი 800 ლეპტოპი, დაშვებაა გაკეთებული, რომ ყველა სოფლის ექიმს ექნება კომპიუტერი/ლეპტოპი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პრინტერი ერთი უნდა იყოს ყველა ამბულატორიაში-გთხოვთ დააკორექტირეთ შესაბამისად. 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დაშვებაა გაკეთებული, რომ კიოსკებით მოვიცავთ მოშორებულ სოფლებში საერთო ბენეფიციარების 10%ს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დაშვებაა გაკეთებული რომ ექიმების 25% ემსახურება ბენეფიციარების 35%-ს თუმცა დასაზუსტებელია.</t>
        </r>
      </text>
    </comment>
  </commentList>
</comments>
</file>

<file path=xl/connections.xml><?xml version="1.0" encoding="utf-8"?>
<connections xmlns="http://schemas.openxmlformats.org/spreadsheetml/2006/main">
  <connection id="1" keepAlive="1" name="Запрос — Table 0" description="Соединение с запросом &quot;Table 0&quot; в книге." type="5" refreshedVersion="6" background="1" saveData="1">
    <dbPr connection="Provider=Microsoft.Mashup.OleDb.1;Data Source=$Workbook$;Location=Table 0;Extended Properties=&quot;&quot;" command="SELECT * FROM [Table 0]"/>
  </connection>
</connections>
</file>

<file path=xl/sharedStrings.xml><?xml version="1.0" encoding="utf-8"?>
<sst xmlns="http://schemas.openxmlformats.org/spreadsheetml/2006/main" count="87" uniqueCount="85">
  <si>
    <t>სულ ერთდროული ხარჯები</t>
  </si>
  <si>
    <t>მიმდინარე (განმეორებითი) ხარჯები:</t>
  </si>
  <si>
    <t>მთელი ხელფასი და წახალისება</t>
  </si>
  <si>
    <t>იჯარა</t>
  </si>
  <si>
    <t>მარკეტინგული ხარჯები</t>
  </si>
  <si>
    <t>სატრანსპორტო ხარჯები</t>
  </si>
  <si>
    <t>საექსპლუატაციო ხარჯები</t>
  </si>
  <si>
    <t>გადასახადები (სახელმწიფო და ადგილობრივი)</t>
  </si>
  <si>
    <t>გაუთვალისწინებელი (მოულოდნელი) ხარჯები</t>
  </si>
  <si>
    <t>სულ მიმდინარე ხარჯები</t>
  </si>
  <si>
    <t>სულ ხარჯები წარმოების მომზადებაზე და გაშვებაზე</t>
  </si>
  <si>
    <t>საშემოსავლო გადასახადი</t>
  </si>
  <si>
    <t>გაუთვალისწინებელი ხარჯები 5%</t>
  </si>
  <si>
    <t>მოწყობილობა, ინვენტარი, მოძრავი ქონება</t>
  </si>
  <si>
    <t>I</t>
  </si>
  <si>
    <t>II</t>
  </si>
  <si>
    <t>III</t>
  </si>
  <si>
    <t>კორპორატიული ნომრების მომსახურება</t>
  </si>
  <si>
    <t>ინტერნეტის მომსახურება</t>
  </si>
  <si>
    <t>სამეურნეო ხარჯები</t>
  </si>
  <si>
    <t>ქონების გადასახადი</t>
  </si>
  <si>
    <t>მიმდინარე რემონტი</t>
  </si>
  <si>
    <t>საკანცელარიო ხარჯები</t>
  </si>
  <si>
    <t>Column1</t>
  </si>
  <si>
    <t>Column2</t>
  </si>
  <si>
    <t>Column3</t>
  </si>
  <si>
    <t>Column5</t>
  </si>
  <si>
    <t>EUR</t>
  </si>
  <si>
    <t>1 ევრო</t>
  </si>
  <si>
    <t>USD</t>
  </si>
  <si>
    <t>1 აშშ დოლარი</t>
  </si>
  <si>
    <t>კომუნალური ხარჯები (ელ ენერგია, წყალი, დასუფთავება)</t>
  </si>
  <si>
    <t xml:space="preserve">ექოსკოპი ციფრული პორტატული (მრავალფუნქციური) მწარმოებელი: Sonostar მოდელი: U-5c convex ქვეყანა: ჩინეთი პლანშეტი </t>
  </si>
  <si>
    <t xml:space="preserve">ელექტროკარდიოგრაფი მწარმოებელი: Comen მოდელი: CM300, 3 არხიანი ქვეყანა: ჩინეთი                             </t>
  </si>
  <si>
    <t xml:space="preserve">პაციენტის მონიტორი მწარმოებელი: Comen მოდელი: Star 8000A, 5 პარამეტრიანი  ქვეყანა: ჩინეთი </t>
  </si>
  <si>
    <t>AMD Global Telemedicine-ის სპირომეტრი სტეტოსკოპი ოტოსკოპი, დერმასკოპი, ზოგადი ვიზუალიზაციისთავაკი ოფთალმოსკოპი AMD Global Telemedicine-ის ტელემედიცინის პროგრამა(ფასში შედის 4,5 საათი ონლაინ ტრეინინგი)</t>
  </si>
  <si>
    <t>ლაბორატორიის სახარჯი მასალების საწყისი მარაგები</t>
  </si>
  <si>
    <t>მომსახურე თანამშრომლების მომზადება</t>
  </si>
  <si>
    <t>მენეჯმენტის ხარჯი</t>
  </si>
  <si>
    <t>ექიმის ხელფასი</t>
  </si>
  <si>
    <t>ექთნის ხელფასი </t>
  </si>
  <si>
    <t>IT მომსახურება</t>
  </si>
  <si>
    <t>ამბულატორიის იჯარა</t>
  </si>
  <si>
    <t>ბრენდინგი და მარკეტინგული სტრატეგია</t>
  </si>
  <si>
    <t>საწვავი ადგილზე მონიტორინგისთვის</t>
  </si>
  <si>
    <t>სახარჯი მასალები</t>
  </si>
  <si>
    <t>პრინტერი</t>
  </si>
  <si>
    <t>კომპიუტერი</t>
  </si>
  <si>
    <t>მონტაჟის ხარჯი</t>
  </si>
  <si>
    <t>ტრანსპორტირების ხარჯი</t>
  </si>
  <si>
    <t>შემოსავლები</t>
  </si>
  <si>
    <t>კაპიტაცია</t>
  </si>
  <si>
    <t>სადაზღვეო კაპიტაცია</t>
  </si>
  <si>
    <t>თანაგადახდა პაციენტის</t>
  </si>
  <si>
    <t>სამედიცინო ტურიზმი</t>
  </si>
  <si>
    <t>სულ შემოსავალი</t>
  </si>
  <si>
    <t xml:space="preserve">პროგრამული უზრუნველოფა ონლაინ კონსულტირებისთვის </t>
  </si>
  <si>
    <t>კომპიუტერი სოფლის ექიმის</t>
  </si>
  <si>
    <t>რაოდენობა</t>
  </si>
  <si>
    <t>ვარიანტი 1-ბაზისური</t>
  </si>
  <si>
    <t>ვარიანტი 2-ტელედიაგნოსტიკა</t>
  </si>
  <si>
    <t>ერთეულის ფასი დოლარში</t>
  </si>
  <si>
    <t>ჯამი ლარში</t>
  </si>
  <si>
    <t>დოლარი=ლარი</t>
  </si>
  <si>
    <t>ოჯახის ექიმების რაოდენობა</t>
  </si>
  <si>
    <t>კომპიუტერი სპეციალისტის(არ არის გათვალისწინებული ხარჯებში-უზრუნველყონ თავად, როგორც უნივერსალური ხელმისაწვდომობის პროგრამაში მონაწილეობის პირობა)</t>
  </si>
  <si>
    <t>პროგრამული უზრუნვეყოფა (პაციენტის პირადი ინფორმაციის შენახვა, მონაცემების შენახვა, ანალიზი და ა.შ)</t>
  </si>
  <si>
    <t xml:space="preserve">პაციენტის კიოსკი </t>
  </si>
  <si>
    <t>ვარიანტი 3: ექთანი-პაციენტი კიოსკის გზით</t>
  </si>
  <si>
    <t>სხვა ტექნოლოგიური გადაწყვეტა</t>
  </si>
  <si>
    <t>ლაბორატორიული ანალიზატორები</t>
  </si>
  <si>
    <t>გაუთვალისწინებელი (მოულოდნელი) ხარჯებისთვის</t>
  </si>
  <si>
    <t>სხვადასხვა სახის ერთჯერადი გადასახადელები</t>
  </si>
  <si>
    <t>ვიწრო სპეცილისტების ანაზღაურება</t>
  </si>
  <si>
    <t>სოფლის ექიმის პროგრამიდან სახელმწიფო გადახდები</t>
  </si>
  <si>
    <t>პროგრამის განხორციელებიდან მიღებული ეფექტი</t>
  </si>
  <si>
    <t>ერთდროული საინვესტიციო ხარჯები:</t>
  </si>
  <si>
    <t xml:space="preserve">საინვესტიციო ხარჯების შეჯამება: </t>
  </si>
  <si>
    <t>ინსტალაცია და პროგრამული უზრუნველყოფა</t>
  </si>
  <si>
    <t>ვარიანტი 2 გამარტივებული</t>
  </si>
  <si>
    <t>შემცირებული პაკეტი</t>
  </si>
  <si>
    <t>ბენეფიციარების პროგნოზული რაოდენობა</t>
  </si>
  <si>
    <t>საინვესტიციო ხარჯი 1 ბენეფიციარზე</t>
  </si>
  <si>
    <t>პროგნოზული საინვესტიციო ხარჯი 1 ბენეფიციარზე</t>
  </si>
  <si>
    <t>შემცირებული პაკეტიპროგნოზული საინვესტიციო ხარჯი 1 ბენეფიციარზე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</si>
</sst>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0;[Red]0.00"/>
    <numFmt numFmtId="165" formatCode="0;[Red]0"/>
    <numFmt numFmtId="168" formatCode="0.00000%"/>
    <numFmt numFmtId="169" formatCode="#,##0.00\ [$₾-437]"/>
    <numFmt numFmtId="171" formatCode="#,##0\ [$₾-437]"/>
  </numFmts>
  <fonts count="2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cadNusx"/>
    </font>
    <font>
      <sz val="10"/>
      <color theme="1"/>
      <name val="AcadNusx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rgb="FF222222"/>
      <name val="Sylfae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Sylfaen"/>
      <family val="1"/>
    </font>
    <font>
      <sz val="10"/>
      <color theme="1"/>
      <name val="არიალ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0">
    <xf numFmtId="0" fontId="0" fillId="0" borderId="0" xfId="0"/>
    <xf numFmtId="165" fontId="5" fillId="0" borderId="0" xfId="0" applyNumberFormat="1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wrapText="1"/>
    </xf>
    <xf numFmtId="164" fontId="7" fillId="2" borderId="4" xfId="0" applyNumberFormat="1" applyFont="1" applyFill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64" fontId="7" fillId="0" borderId="7" xfId="0" applyNumberFormat="1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164" fontId="6" fillId="2" borderId="4" xfId="0" applyNumberFormat="1" applyFont="1" applyFill="1" applyBorder="1" applyAlignment="1">
      <alignment wrapText="1"/>
    </xf>
    <xf numFmtId="164" fontId="7" fillId="0" borderId="0" xfId="0" applyNumberFormat="1" applyFont="1" applyAlignment="1">
      <alignment wrapText="1"/>
    </xf>
    <xf numFmtId="0" fontId="5" fillId="0" borderId="1" xfId="0" applyFont="1" applyBorder="1"/>
    <xf numFmtId="164" fontId="9" fillId="0" borderId="4" xfId="0" applyNumberFormat="1" applyFont="1" applyBorder="1" applyAlignment="1">
      <alignment wrapText="1"/>
    </xf>
    <xf numFmtId="165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wrapText="1"/>
    </xf>
    <xf numFmtId="164" fontId="7" fillId="3" borderId="1" xfId="0" applyNumberFormat="1" applyFont="1" applyFill="1" applyBorder="1" applyAlignment="1">
      <alignment wrapText="1"/>
    </xf>
    <xf numFmtId="164" fontId="11" fillId="0" borderId="0" xfId="0" applyNumberFormat="1" applyFont="1" applyAlignment="1">
      <alignment wrapText="1"/>
    </xf>
    <xf numFmtId="0" fontId="3" fillId="0" borderId="1" xfId="0" applyFont="1" applyBorder="1"/>
    <xf numFmtId="164" fontId="7" fillId="3" borderId="4" xfId="0" applyNumberFormat="1" applyFont="1" applyFill="1" applyBorder="1" applyAlignment="1">
      <alignment wrapText="1"/>
    </xf>
    <xf numFmtId="0" fontId="2" fillId="0" borderId="1" xfId="0" applyFont="1" applyBorder="1"/>
    <xf numFmtId="0" fontId="1" fillId="0" borderId="1" xfId="0" applyFont="1" applyBorder="1"/>
    <xf numFmtId="164" fontId="1" fillId="0" borderId="4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164" fontId="12" fillId="0" borderId="4" xfId="0" applyNumberFormat="1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164" fontId="14" fillId="0" borderId="1" xfId="0" applyNumberFormat="1" applyFont="1" applyBorder="1" applyAlignment="1">
      <alignment wrapText="1"/>
    </xf>
    <xf numFmtId="0" fontId="5" fillId="3" borderId="1" xfId="0" applyFont="1" applyFill="1" applyBorder="1"/>
    <xf numFmtId="0" fontId="1" fillId="3" borderId="1" xfId="0" applyFont="1" applyFill="1" applyBorder="1"/>
    <xf numFmtId="164" fontId="6" fillId="0" borderId="1" xfId="0" applyNumberFormat="1" applyFont="1" applyBorder="1" applyAlignment="1">
      <alignment horizontal="center" wrapText="1"/>
    </xf>
    <xf numFmtId="4" fontId="5" fillId="0" borderId="0" xfId="0" applyNumberFormat="1" applyFont="1" applyAlignment="1">
      <alignment horizontal="center" vertical="center" wrapText="1"/>
    </xf>
    <xf numFmtId="4" fontId="7" fillId="0" borderId="1" xfId="0" applyNumberFormat="1" applyFont="1" applyBorder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wrapText="1"/>
    </xf>
    <xf numFmtId="4" fontId="8" fillId="0" borderId="0" xfId="0" applyNumberFormat="1" applyFont="1" applyAlignment="1">
      <alignment wrapText="1"/>
    </xf>
    <xf numFmtId="4" fontId="6" fillId="0" borderId="5" xfId="0" applyNumberFormat="1" applyFont="1" applyBorder="1" applyAlignment="1">
      <alignment wrapText="1"/>
    </xf>
    <xf numFmtId="164" fontId="6" fillId="0" borderId="9" xfId="0" applyNumberFormat="1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 wrapText="1"/>
    </xf>
    <xf numFmtId="44" fontId="9" fillId="0" borderId="10" xfId="2" applyFont="1" applyBorder="1" applyAlignment="1">
      <alignment horizontal="center" wrapText="1"/>
    </xf>
    <xf numFmtId="44" fontId="9" fillId="2" borderId="1" xfId="2" applyFont="1" applyFill="1" applyBorder="1" applyAlignment="1">
      <alignment wrapText="1"/>
    </xf>
    <xf numFmtId="44" fontId="9" fillId="0" borderId="1" xfId="2" applyFont="1" applyBorder="1" applyAlignment="1">
      <alignment wrapText="1"/>
    </xf>
    <xf numFmtId="44" fontId="9" fillId="0" borderId="8" xfId="2" applyFont="1" applyBorder="1" applyAlignment="1">
      <alignment wrapText="1"/>
    </xf>
    <xf numFmtId="44" fontId="15" fillId="2" borderId="1" xfId="2" applyFont="1" applyFill="1" applyBorder="1" applyAlignment="1">
      <alignment wrapText="1"/>
    </xf>
    <xf numFmtId="164" fontId="1" fillId="0" borderId="0" xfId="0" applyNumberFormat="1" applyFont="1" applyAlignment="1">
      <alignment wrapText="1"/>
    </xf>
    <xf numFmtId="171" fontId="9" fillId="4" borderId="10" xfId="0" applyNumberFormat="1" applyFont="1" applyFill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71" fontId="9" fillId="0" borderId="10" xfId="0" applyNumberFormat="1" applyFont="1" applyBorder="1" applyAlignment="1">
      <alignment horizontal="center" wrapText="1"/>
    </xf>
    <xf numFmtId="171" fontId="9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9" fillId="2" borderId="1" xfId="0" applyNumberFormat="1" applyFont="1" applyFill="1" applyBorder="1" applyAlignment="1">
      <alignment wrapText="1"/>
    </xf>
    <xf numFmtId="164" fontId="9" fillId="0" borderId="8" xfId="0" applyNumberFormat="1" applyFont="1" applyBorder="1" applyAlignment="1">
      <alignment wrapText="1"/>
    </xf>
    <xf numFmtId="164" fontId="15" fillId="2" borderId="1" xfId="0" applyNumberFormat="1" applyFont="1" applyFill="1" applyBorder="1" applyAlignment="1">
      <alignment wrapText="1"/>
    </xf>
    <xf numFmtId="164" fontId="9" fillId="0" borderId="0" xfId="0" applyNumberFormat="1" applyFont="1" applyAlignment="1">
      <alignment wrapText="1"/>
    </xf>
    <xf numFmtId="164" fontId="9" fillId="3" borderId="1" xfId="0" applyNumberFormat="1" applyFont="1" applyFill="1" applyBorder="1" applyAlignment="1">
      <alignment wrapText="1"/>
    </xf>
    <xf numFmtId="164" fontId="18" fillId="0" borderId="1" xfId="0" applyNumberFormat="1" applyFont="1" applyBorder="1" applyAlignment="1">
      <alignment wrapText="1"/>
    </xf>
    <xf numFmtId="4" fontId="15" fillId="0" borderId="6" xfId="0" applyNumberFormat="1" applyFont="1" applyBorder="1" applyAlignment="1">
      <alignment wrapText="1"/>
    </xf>
    <xf numFmtId="165" fontId="9" fillId="0" borderId="1" xfId="0" applyNumberFormat="1" applyFont="1" applyBorder="1" applyAlignment="1">
      <alignment horizontal="center" wrapText="1"/>
    </xf>
    <xf numFmtId="164" fontId="19" fillId="0" borderId="1" xfId="0" applyNumberFormat="1" applyFont="1" applyBorder="1" applyAlignment="1">
      <alignment wrapText="1"/>
    </xf>
    <xf numFmtId="9" fontId="19" fillId="0" borderId="1" xfId="1" applyFont="1" applyBorder="1" applyAlignment="1">
      <alignment wrapText="1"/>
    </xf>
    <xf numFmtId="4" fontId="9" fillId="0" borderId="1" xfId="0" applyNumberFormat="1" applyFont="1" applyBorder="1" applyAlignment="1">
      <alignment horizontal="center" wrapText="1"/>
    </xf>
    <xf numFmtId="4" fontId="20" fillId="0" borderId="1" xfId="0" applyNumberFormat="1" applyFont="1" applyBorder="1" applyAlignment="1">
      <alignment wrapText="1"/>
    </xf>
    <xf numFmtId="10" fontId="9" fillId="0" borderId="1" xfId="1" applyNumberFormat="1" applyFont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center" wrapText="1"/>
    </xf>
    <xf numFmtId="9" fontId="9" fillId="0" borderId="1" xfId="1" applyFont="1" applyBorder="1" applyAlignment="1">
      <alignment wrapText="1"/>
    </xf>
    <xf numFmtId="164" fontId="9" fillId="0" borderId="1" xfId="0" applyNumberFormat="1" applyFont="1" applyBorder="1" applyAlignment="1">
      <alignment horizontal="center" wrapText="1"/>
    </xf>
    <xf numFmtId="171" fontId="9" fillId="4" borderId="1" xfId="0" applyNumberFormat="1" applyFont="1" applyFill="1" applyBorder="1" applyAlignment="1">
      <alignment wrapText="1"/>
    </xf>
    <xf numFmtId="164" fontId="21" fillId="0" borderId="4" xfId="0" applyNumberFormat="1" applyFont="1" applyBorder="1" applyAlignment="1">
      <alignment horizontal="center" wrapText="1"/>
    </xf>
    <xf numFmtId="165" fontId="9" fillId="0" borderId="1" xfId="0" applyNumberFormat="1" applyFont="1" applyBorder="1" applyAlignment="1">
      <alignment wrapText="1"/>
    </xf>
    <xf numFmtId="165" fontId="9" fillId="2" borderId="1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8" fontId="9" fillId="0" borderId="0" xfId="0" applyNumberFormat="1" applyFont="1" applyAlignment="1">
      <alignment wrapText="1"/>
    </xf>
    <xf numFmtId="164" fontId="21" fillId="4" borderId="4" xfId="0" applyNumberFormat="1" applyFont="1" applyFill="1" applyBorder="1" applyAlignment="1">
      <alignment horizontal="center" wrapText="1"/>
    </xf>
    <xf numFmtId="44" fontId="9" fillId="4" borderId="1" xfId="2" applyFont="1" applyFill="1" applyBorder="1" applyAlignment="1">
      <alignment wrapText="1"/>
    </xf>
    <xf numFmtId="164" fontId="9" fillId="4" borderId="1" xfId="0" applyNumberFormat="1" applyFont="1" applyFill="1" applyBorder="1" applyAlignment="1">
      <alignment wrapText="1"/>
    </xf>
    <xf numFmtId="164" fontId="7" fillId="4" borderId="4" xfId="0" applyNumberFormat="1" applyFont="1" applyFill="1" applyBorder="1" applyAlignment="1">
      <alignment wrapText="1"/>
    </xf>
    <xf numFmtId="164" fontId="5" fillId="5" borderId="0" xfId="0" applyNumberFormat="1" applyFont="1" applyFill="1" applyAlignment="1">
      <alignment wrapText="1"/>
    </xf>
    <xf numFmtId="169" fontId="9" fillId="4" borderId="1" xfId="0" applyNumberFormat="1" applyFont="1" applyFill="1" applyBorder="1" applyAlignment="1">
      <alignment wrapText="1"/>
    </xf>
    <xf numFmtId="169" fontId="2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164" fontId="5" fillId="0" borderId="11" xfId="0" applyNumberFormat="1" applyFont="1" applyBorder="1" applyAlignment="1">
      <alignment wrapText="1"/>
    </xf>
    <xf numFmtId="171" fontId="9" fillId="0" borderId="12" xfId="0" applyNumberFormat="1" applyFont="1" applyBorder="1" applyAlignment="1">
      <alignment horizontal="center" wrapText="1"/>
    </xf>
    <xf numFmtId="164" fontId="5" fillId="5" borderId="1" xfId="0" applyNumberFormat="1" applyFont="1" applyFill="1" applyBorder="1" applyAlignment="1">
      <alignment wrapText="1"/>
    </xf>
    <xf numFmtId="169" fontId="9" fillId="0" borderId="1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 wrapText="1"/>
    </xf>
    <xf numFmtId="164" fontId="5" fillId="5" borderId="8" xfId="0" applyNumberFormat="1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169" fontId="9" fillId="6" borderId="1" xfId="0" applyNumberFormat="1" applyFont="1" applyFill="1" applyBorder="1" applyAlignment="1">
      <alignment horizontal="center" wrapText="1"/>
    </xf>
  </cellXfs>
  <cellStyles count="3">
    <cellStyle name="Currency" xfId="2" builtinId="4"/>
    <cellStyle name="Normal" xfId="0" builtinId="0"/>
    <cellStyle name="Percent" xfId="1" builtinId="5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5">
    <queryTableFields count="4">
      <queryTableField id="1" name="Column1" tableColumnId="5"/>
      <queryTableField id="2" name="Column2" tableColumnId="2"/>
      <queryTableField id="3" name="Column3" tableColumnId="3"/>
      <queryTableField id="4" name="Column5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0" displayName="Table_0" ref="A1:D3" tableType="queryTable" totalsRowShown="0">
  <autoFilter ref="A1:D3"/>
  <tableColumns count="4">
    <tableColumn id="5" uniqueName="5" name="Column1" queryTableFieldId="1" dataDxfId="3"/>
    <tableColumn id="2" uniqueName="2" name="Column2" queryTableFieldId="2" dataDxfId="2"/>
    <tableColumn id="3" uniqueName="3" name="Column3" queryTableFieldId="3" dataDxfId="1"/>
    <tableColumn id="4" uniqueName="4" name="Column5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O115"/>
  <sheetViews>
    <sheetView tabSelected="1" zoomScaleNormal="100" zoomScalePageLayoutView="13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E3" sqref="E3"/>
    </sheetView>
  </sheetViews>
  <sheetFormatPr defaultColWidth="9.140625" defaultRowHeight="13.5" outlineLevelRow="1"/>
  <cols>
    <col min="1" max="1" width="11.7109375" style="3" customWidth="1"/>
    <col min="2" max="2" width="8.42578125" style="1" bestFit="1" customWidth="1"/>
    <col min="3" max="3" width="46.85546875" style="11" customWidth="1"/>
    <col min="4" max="4" width="12.140625" style="53" customWidth="1"/>
    <col min="5" max="5" width="12.7109375" style="53" bestFit="1" customWidth="1"/>
    <col min="6" max="6" width="12.140625" style="53" bestFit="1" customWidth="1"/>
    <col min="7" max="8" width="17.140625" style="3" customWidth="1"/>
    <col min="9" max="10" width="18.140625" style="3" customWidth="1"/>
    <col min="11" max="11" width="38" style="3" customWidth="1"/>
    <col min="12" max="12" width="22.140625" style="3" customWidth="1"/>
    <col min="13" max="13" width="20.140625" style="3" customWidth="1"/>
    <col min="14" max="14" width="15.5703125" style="3" customWidth="1"/>
    <col min="15" max="15" width="22.28515625" style="3" customWidth="1"/>
    <col min="16" max="16384" width="9.140625" style="3"/>
  </cols>
  <sheetData>
    <row r="1" spans="1:15" ht="57.75" customHeight="1">
      <c r="A1" s="44" t="s">
        <v>63</v>
      </c>
      <c r="B1" s="17">
        <f>Лист1!C2</f>
        <v>3.0407000000000002</v>
      </c>
      <c r="C1" s="2" t="s">
        <v>76</v>
      </c>
      <c r="D1" s="46" t="s">
        <v>61</v>
      </c>
      <c r="E1" s="46" t="s">
        <v>58</v>
      </c>
      <c r="F1" s="46" t="s">
        <v>62</v>
      </c>
      <c r="G1" s="44" t="s">
        <v>79</v>
      </c>
      <c r="H1" s="44" t="s">
        <v>81</v>
      </c>
      <c r="I1" s="82" t="s">
        <v>82</v>
      </c>
      <c r="J1" s="82"/>
      <c r="K1" s="29" t="s">
        <v>77</v>
      </c>
      <c r="L1" s="6"/>
      <c r="M1" s="80" t="s">
        <v>80</v>
      </c>
      <c r="N1" s="80" t="s">
        <v>83</v>
      </c>
      <c r="O1" s="80" t="s">
        <v>84</v>
      </c>
    </row>
    <row r="2" spans="1:15" ht="22.5" customHeight="1">
      <c r="A2" s="44" t="s">
        <v>64</v>
      </c>
      <c r="B2" s="17">
        <v>1300</v>
      </c>
      <c r="C2" s="37" t="s">
        <v>59</v>
      </c>
      <c r="D2" s="39"/>
      <c r="E2" s="66"/>
      <c r="F2" s="45">
        <f>SUM(F3:F7)</f>
        <v>2044870.75</v>
      </c>
      <c r="H2" s="86">
        <v>1539100</v>
      </c>
      <c r="I2" s="89">
        <f>F2/H2</f>
        <v>1.3286146124358391</v>
      </c>
      <c r="J2" s="84"/>
      <c r="K2" s="81" t="str">
        <f>C2</f>
        <v>ვარიანტი 1-ბაზისური</v>
      </c>
      <c r="L2" s="79">
        <f>F2</f>
        <v>2044870.75</v>
      </c>
      <c r="M2" s="6"/>
      <c r="N2" s="79">
        <f>I2</f>
        <v>1.3286146124358391</v>
      </c>
      <c r="O2" s="6"/>
    </row>
    <row r="3" spans="1:15" ht="22.5" customHeight="1">
      <c r="B3" s="17"/>
      <c r="C3" s="38" t="s">
        <v>57</v>
      </c>
      <c r="D3" s="39">
        <v>1200</v>
      </c>
      <c r="E3" s="57">
        <f>B2-800</f>
        <v>500</v>
      </c>
      <c r="F3" s="47">
        <f>D3*E3*$B$1</f>
        <v>1824420</v>
      </c>
      <c r="G3" s="77"/>
      <c r="H3" s="83"/>
      <c r="I3" s="6"/>
      <c r="J3" s="81"/>
      <c r="K3" s="81" t="str">
        <f>C7</f>
        <v>ვარიანტი 2-ტელედიაგნოსტიკა</v>
      </c>
      <c r="L3" s="79">
        <f>F8</f>
        <v>32472237.063652098</v>
      </c>
      <c r="M3" s="79">
        <f>G8</f>
        <v>29283433.618815999</v>
      </c>
      <c r="N3" s="79">
        <f>I8</f>
        <v>210.98198339063151</v>
      </c>
      <c r="O3" s="79">
        <f>J8</f>
        <v>190.26335922822429</v>
      </c>
    </row>
    <row r="4" spans="1:15" ht="67.5" customHeight="1">
      <c r="B4" s="17"/>
      <c r="C4" s="38" t="s">
        <v>65</v>
      </c>
      <c r="D4" s="39"/>
      <c r="E4" s="66"/>
      <c r="F4" s="47">
        <f t="shared" ref="F4:F6" si="0">D4*E4*$B$1</f>
        <v>0</v>
      </c>
      <c r="G4" s="77"/>
      <c r="H4" s="87"/>
      <c r="I4" s="9"/>
      <c r="J4" s="88"/>
      <c r="K4" s="81" t="str">
        <f>C18</f>
        <v>ვარიანტი 3: ექთანი-პაციენტი კიოსკის გზით</v>
      </c>
      <c r="L4" s="79">
        <f>F18</f>
        <v>10277566</v>
      </c>
      <c r="M4" s="6"/>
      <c r="N4" s="79">
        <f>I18</f>
        <v>66.776466766291989</v>
      </c>
      <c r="O4" s="6"/>
    </row>
    <row r="5" spans="1:15" ht="22.5" customHeight="1">
      <c r="B5" s="17"/>
      <c r="C5" s="38" t="s">
        <v>46</v>
      </c>
      <c r="D5" s="39">
        <v>250</v>
      </c>
      <c r="E5" s="57">
        <f>E3/2</f>
        <v>250</v>
      </c>
      <c r="F5" s="47">
        <f t="shared" si="0"/>
        <v>190043.75</v>
      </c>
      <c r="G5" s="83"/>
      <c r="H5" s="83"/>
      <c r="I5" s="6"/>
      <c r="J5" s="6"/>
      <c r="K5" s="81" t="str">
        <f>C21</f>
        <v>სხვა ტექნოლოგიური გადაწყვეტა</v>
      </c>
      <c r="L5" s="79">
        <f>F21</f>
        <v>10870502.5</v>
      </c>
      <c r="M5" s="6"/>
      <c r="N5" s="79">
        <f>I21</f>
        <v>20.17970149530802</v>
      </c>
      <c r="O5" s="6"/>
    </row>
    <row r="6" spans="1:15" ht="36" customHeight="1">
      <c r="B6" s="17"/>
      <c r="C6" s="38" t="s">
        <v>56</v>
      </c>
      <c r="D6" s="39">
        <v>10000</v>
      </c>
      <c r="E6" s="66">
        <v>1</v>
      </c>
      <c r="F6" s="47">
        <f t="shared" si="0"/>
        <v>30407</v>
      </c>
      <c r="G6" s="83"/>
      <c r="H6" s="83"/>
      <c r="I6" s="6"/>
      <c r="J6" s="6"/>
    </row>
    <row r="7" spans="1:15" ht="16.5" customHeight="1">
      <c r="B7" s="17"/>
      <c r="C7" s="37" t="s">
        <v>60</v>
      </c>
      <c r="D7" s="39"/>
      <c r="E7" s="66"/>
      <c r="F7" s="47"/>
      <c r="G7" s="83"/>
      <c r="H7" s="83"/>
      <c r="I7" s="6"/>
      <c r="J7" s="6"/>
    </row>
    <row r="8" spans="1:15">
      <c r="C8" s="76" t="s">
        <v>13</v>
      </c>
      <c r="D8" s="74">
        <f t="shared" ref="D8" si="1">SUM(D9:D30)</f>
        <v>155070.7531</v>
      </c>
      <c r="E8" s="75"/>
      <c r="F8" s="67">
        <f>F9+F10+F11+F12+F13+F14+F15+F16+F17</f>
        <v>32472237.063652098</v>
      </c>
      <c r="G8" s="78">
        <f>G9+G10+G11+G12+G13+G14+G15+G16+G17</f>
        <v>29283433.618815999</v>
      </c>
      <c r="H8" s="86">
        <f>H2*10%</f>
        <v>153910</v>
      </c>
      <c r="I8" s="89">
        <f>F8/H8</f>
        <v>210.98198339063151</v>
      </c>
      <c r="J8" s="89">
        <f>G8/H8</f>
        <v>190.26335922822429</v>
      </c>
    </row>
    <row r="9" spans="1:15" ht="45" outlineLevel="1">
      <c r="B9" s="1">
        <v>1</v>
      </c>
      <c r="C9" s="25" t="s">
        <v>32</v>
      </c>
      <c r="D9" s="41">
        <f>2000*B1</f>
        <v>6081.4000000000005</v>
      </c>
      <c r="E9" s="49">
        <f>B2*10%</f>
        <v>130</v>
      </c>
      <c r="F9" s="48">
        <f>D9*E9*$B$1</f>
        <v>2403922.6874000006</v>
      </c>
      <c r="G9" s="48"/>
      <c r="H9" s="48"/>
      <c r="I9" s="6"/>
      <c r="J9" s="6"/>
    </row>
    <row r="10" spans="1:15" ht="30" outlineLevel="1">
      <c r="B10" s="1">
        <v>2</v>
      </c>
      <c r="C10" s="25" t="s">
        <v>33</v>
      </c>
      <c r="D10" s="41">
        <f>870*B1</f>
        <v>2645.4090000000001</v>
      </c>
      <c r="E10" s="49">
        <f>E9</f>
        <v>130</v>
      </c>
      <c r="F10" s="48">
        <f t="shared" ref="F10:G17" si="2">D10*E10*$B$1</f>
        <v>1045706.3690190002</v>
      </c>
      <c r="G10" s="48">
        <f t="shared" ref="G10:G20" si="3">F10</f>
        <v>1045706.3690190002</v>
      </c>
      <c r="H10" s="48"/>
      <c r="I10" s="6"/>
      <c r="J10" s="6"/>
    </row>
    <row r="11" spans="1:15" ht="45" outlineLevel="1">
      <c r="B11" s="1">
        <v>4</v>
      </c>
      <c r="C11" s="25" t="s">
        <v>34</v>
      </c>
      <c r="D11" s="41">
        <f>653*B1</f>
        <v>1985.5771000000002</v>
      </c>
      <c r="E11" s="49">
        <f>E9</f>
        <v>130</v>
      </c>
      <c r="F11" s="48">
        <f t="shared" si="2"/>
        <v>784880.75743610004</v>
      </c>
      <c r="G11" s="48"/>
      <c r="H11" s="48"/>
      <c r="I11" s="6"/>
      <c r="J11" s="6"/>
    </row>
    <row r="12" spans="1:15" ht="90" outlineLevel="1">
      <c r="B12" s="1">
        <v>5</v>
      </c>
      <c r="C12" s="25" t="s">
        <v>35</v>
      </c>
      <c r="D12" s="41">
        <f>22810*B1</f>
        <v>69358.366999999998</v>
      </c>
      <c r="E12" s="49">
        <f>E9</f>
        <v>130</v>
      </c>
      <c r="F12" s="48">
        <f t="shared" si="2"/>
        <v>27416738.249796998</v>
      </c>
      <c r="G12" s="48">
        <f t="shared" si="3"/>
        <v>27416738.249796998</v>
      </c>
      <c r="H12" s="48"/>
      <c r="I12" s="6"/>
      <c r="J12" s="6"/>
    </row>
    <row r="13" spans="1:15" ht="15" outlineLevel="1">
      <c r="B13" s="1">
        <v>7</v>
      </c>
      <c r="C13" s="23" t="s">
        <v>46</v>
      </c>
      <c r="D13" s="41">
        <v>250</v>
      </c>
      <c r="E13" s="49">
        <f>E12</f>
        <v>130</v>
      </c>
      <c r="F13" s="48">
        <f t="shared" si="2"/>
        <v>98822.75</v>
      </c>
      <c r="G13" s="48">
        <f t="shared" si="3"/>
        <v>98822.75</v>
      </c>
      <c r="H13" s="48"/>
      <c r="I13" s="6"/>
      <c r="J13" s="6"/>
    </row>
    <row r="14" spans="1:15" ht="15" outlineLevel="1">
      <c r="B14" s="1">
        <v>8</v>
      </c>
      <c r="C14" s="24" t="s">
        <v>47</v>
      </c>
      <c r="D14" s="41">
        <v>1500</v>
      </c>
      <c r="E14" s="49">
        <f>E13</f>
        <v>130</v>
      </c>
      <c r="F14" s="48">
        <f t="shared" si="2"/>
        <v>592936.5</v>
      </c>
      <c r="G14" s="48">
        <f t="shared" si="3"/>
        <v>592936.5</v>
      </c>
      <c r="H14" s="48"/>
      <c r="I14" s="6"/>
      <c r="J14" s="6"/>
    </row>
    <row r="15" spans="1:15" ht="15" outlineLevel="1">
      <c r="B15" s="1">
        <v>9</v>
      </c>
      <c r="C15" s="24" t="s">
        <v>48</v>
      </c>
      <c r="D15" s="41">
        <v>200</v>
      </c>
      <c r="E15" s="49">
        <f>E9</f>
        <v>130</v>
      </c>
      <c r="F15" s="48">
        <f t="shared" si="2"/>
        <v>79058.200000000012</v>
      </c>
      <c r="G15" s="48">
        <f t="shared" si="3"/>
        <v>79058.200000000012</v>
      </c>
      <c r="H15" s="48"/>
      <c r="I15" s="6"/>
      <c r="J15" s="6"/>
    </row>
    <row r="16" spans="1:15" ht="15" outlineLevel="1">
      <c r="B16" s="1">
        <v>10</v>
      </c>
      <c r="C16" s="24" t="s">
        <v>49</v>
      </c>
      <c r="D16" s="41">
        <v>50</v>
      </c>
      <c r="E16" s="49">
        <f>E9</f>
        <v>130</v>
      </c>
      <c r="F16" s="48">
        <f t="shared" si="2"/>
        <v>19764.550000000003</v>
      </c>
      <c r="G16" s="48">
        <f t="shared" si="3"/>
        <v>19764.550000000003</v>
      </c>
      <c r="H16" s="48"/>
      <c r="I16" s="6"/>
      <c r="J16" s="6"/>
    </row>
    <row r="17" spans="2:10" ht="45" outlineLevel="1">
      <c r="B17" s="1">
        <v>11</v>
      </c>
      <c r="C17" s="24" t="s">
        <v>66</v>
      </c>
      <c r="D17" s="41">
        <v>10000</v>
      </c>
      <c r="E17" s="49">
        <v>1</v>
      </c>
      <c r="F17" s="48">
        <f t="shared" si="2"/>
        <v>30407</v>
      </c>
      <c r="G17" s="48">
        <f t="shared" si="3"/>
        <v>30407</v>
      </c>
      <c r="H17" s="48"/>
      <c r="I17" s="6"/>
      <c r="J17" s="6"/>
    </row>
    <row r="18" spans="2:10" ht="15" outlineLevel="1">
      <c r="B18" s="1">
        <v>12</v>
      </c>
      <c r="C18" s="68" t="s">
        <v>68</v>
      </c>
      <c r="D18" s="41"/>
      <c r="E18" s="49"/>
      <c r="F18" s="48">
        <f>F19+F20</f>
        <v>10277566</v>
      </c>
      <c r="G18" s="48">
        <f t="shared" si="3"/>
        <v>10277566</v>
      </c>
      <c r="H18" s="86">
        <f>H2*10%</f>
        <v>153910</v>
      </c>
      <c r="I18" s="89">
        <f>G18/H18</f>
        <v>66.776466766291989</v>
      </c>
      <c r="J18" s="6"/>
    </row>
    <row r="19" spans="2:10" ht="15" outlineLevel="1">
      <c r="B19" s="1">
        <v>13</v>
      </c>
      <c r="C19" s="24" t="s">
        <v>67</v>
      </c>
      <c r="D19" s="41">
        <v>50000</v>
      </c>
      <c r="E19" s="49">
        <f>B2*5%</f>
        <v>65</v>
      </c>
      <c r="F19" s="48">
        <f>D19*E19*$B$1</f>
        <v>9882275</v>
      </c>
      <c r="G19" s="48">
        <f t="shared" si="3"/>
        <v>9882275</v>
      </c>
      <c r="H19" s="48"/>
      <c r="I19" s="6"/>
      <c r="J19" s="6"/>
    </row>
    <row r="20" spans="2:10" ht="15" outlineLevel="1">
      <c r="C20" s="24" t="s">
        <v>78</v>
      </c>
      <c r="D20" s="41">
        <v>2000</v>
      </c>
      <c r="E20" s="49">
        <f>E19</f>
        <v>65</v>
      </c>
      <c r="F20" s="48">
        <f>D20*E20*$B$1</f>
        <v>395291</v>
      </c>
      <c r="G20" s="48">
        <f t="shared" si="3"/>
        <v>395291</v>
      </c>
      <c r="H20" s="48"/>
      <c r="I20" s="6"/>
      <c r="J20" s="6"/>
    </row>
    <row r="21" spans="2:10" ht="15" outlineLevel="1">
      <c r="B21" s="1">
        <v>14</v>
      </c>
      <c r="C21" s="73" t="s">
        <v>69</v>
      </c>
      <c r="D21" s="74"/>
      <c r="E21" s="75"/>
      <c r="F21" s="67">
        <f>F22+F23</f>
        <v>10870502.5</v>
      </c>
      <c r="G21" s="6"/>
      <c r="H21" s="86">
        <f>H2*35%</f>
        <v>538685</v>
      </c>
      <c r="I21" s="89">
        <f>F21/H21</f>
        <v>20.17970149530802</v>
      </c>
      <c r="J21" s="6"/>
    </row>
    <row r="22" spans="2:10" ht="15" outlineLevel="1">
      <c r="B22" s="1">
        <v>15</v>
      </c>
      <c r="C22" s="24" t="s">
        <v>70</v>
      </c>
      <c r="D22" s="41">
        <v>10000</v>
      </c>
      <c r="E22" s="49">
        <f>B2*25%</f>
        <v>325</v>
      </c>
      <c r="F22" s="48">
        <f>D22*E22*$B$1</f>
        <v>9882275</v>
      </c>
      <c r="G22" s="6"/>
      <c r="H22" s="6"/>
      <c r="I22" s="6"/>
      <c r="J22" s="6"/>
    </row>
    <row r="23" spans="2:10" ht="25.5" outlineLevel="1">
      <c r="B23" s="1">
        <v>16</v>
      </c>
      <c r="C23" s="13" t="s">
        <v>36</v>
      </c>
      <c r="D23" s="41">
        <v>1000</v>
      </c>
      <c r="E23" s="69">
        <f>E22</f>
        <v>325</v>
      </c>
      <c r="F23" s="48">
        <f>D23*E23*$B$1</f>
        <v>988227.50000000012</v>
      </c>
      <c r="G23" s="6"/>
      <c r="H23" s="6"/>
      <c r="I23" s="6"/>
      <c r="J23" s="6"/>
    </row>
    <row r="24" spans="2:10" ht="15" outlineLevel="1">
      <c r="B24" s="1">
        <v>17</v>
      </c>
      <c r="C24" s="24"/>
      <c r="D24" s="41"/>
      <c r="E24" s="49"/>
      <c r="F24" s="49"/>
      <c r="G24" s="6"/>
      <c r="H24" s="6"/>
      <c r="I24" s="6"/>
      <c r="J24" s="6"/>
    </row>
    <row r="25" spans="2:10" ht="15" outlineLevel="1">
      <c r="B25" s="1">
        <v>15</v>
      </c>
      <c r="C25" s="24"/>
      <c r="D25" s="41"/>
      <c r="E25" s="49"/>
      <c r="F25" s="49"/>
      <c r="G25" s="6"/>
      <c r="H25" s="6"/>
      <c r="I25" s="6"/>
      <c r="J25" s="6"/>
    </row>
    <row r="26" spans="2:10" ht="15" outlineLevel="1">
      <c r="B26" s="1">
        <v>16</v>
      </c>
      <c r="C26" s="24"/>
      <c r="D26" s="41"/>
      <c r="E26" s="49"/>
      <c r="F26" s="49"/>
      <c r="G26" s="6"/>
      <c r="H26" s="6"/>
      <c r="I26" s="6"/>
      <c r="J26" s="6"/>
    </row>
    <row r="27" spans="2:10" ht="15" outlineLevel="1">
      <c r="B27" s="1">
        <v>17</v>
      </c>
      <c r="C27" s="24"/>
      <c r="D27" s="41"/>
      <c r="E27" s="49"/>
      <c r="F27" s="49"/>
      <c r="G27" s="6"/>
      <c r="H27" s="6"/>
      <c r="I27" s="6"/>
      <c r="J27" s="6"/>
    </row>
    <row r="28" spans="2:10" ht="15" outlineLevel="1">
      <c r="B28" s="1">
        <v>18</v>
      </c>
      <c r="C28" s="24"/>
      <c r="D28" s="41"/>
      <c r="E28" s="49"/>
      <c r="F28" s="49"/>
      <c r="G28" s="6"/>
      <c r="H28" s="6"/>
      <c r="I28" s="6"/>
      <c r="J28" s="6"/>
    </row>
    <row r="29" spans="2:10" ht="15" outlineLevel="1">
      <c r="B29" s="1">
        <v>19</v>
      </c>
      <c r="C29" s="24"/>
      <c r="D29" s="41"/>
      <c r="E29" s="49"/>
      <c r="F29" s="49"/>
      <c r="G29" s="6"/>
      <c r="H29" s="6"/>
      <c r="I29" s="6"/>
      <c r="J29" s="6"/>
    </row>
    <row r="30" spans="2:10" ht="15" outlineLevel="1">
      <c r="B30" s="1">
        <v>20</v>
      </c>
      <c r="C30" s="24"/>
      <c r="D30" s="41"/>
      <c r="E30" s="49"/>
      <c r="F30" s="49"/>
      <c r="G30" s="6"/>
      <c r="H30" s="6"/>
      <c r="I30" s="6"/>
      <c r="J30" s="6"/>
    </row>
    <row r="31" spans="2:10" ht="30" customHeight="1">
      <c r="C31" s="4" t="s">
        <v>72</v>
      </c>
      <c r="D31" s="40"/>
      <c r="E31" s="49"/>
      <c r="F31" s="48">
        <f ca="1">SUM(F23:F34)</f>
        <v>358586.71030000004</v>
      </c>
      <c r="G31" s="6"/>
      <c r="H31" s="6"/>
      <c r="I31" s="6"/>
      <c r="J31" s="6"/>
    </row>
    <row r="32" spans="2:10" ht="12.75" outlineLevel="1">
      <c r="B32" s="1">
        <v>1</v>
      </c>
      <c r="C32" s="3"/>
      <c r="F32" s="48"/>
      <c r="G32" s="6"/>
      <c r="H32" s="6"/>
      <c r="I32" s="6"/>
      <c r="J32" s="6"/>
    </row>
    <row r="33" spans="2:10" outlineLevel="1">
      <c r="B33" s="1">
        <v>16</v>
      </c>
      <c r="C33" s="5" t="s">
        <v>37</v>
      </c>
      <c r="D33" s="41">
        <v>25</v>
      </c>
      <c r="E33" s="69">
        <f>B2</f>
        <v>1300</v>
      </c>
      <c r="F33" s="48">
        <f>D33*E33*$B$1</f>
        <v>98822.75</v>
      </c>
      <c r="G33" s="6"/>
      <c r="H33" s="6"/>
      <c r="I33" s="6"/>
      <c r="J33" s="6"/>
    </row>
    <row r="34" spans="2:10" outlineLevel="1">
      <c r="B34" s="1">
        <v>16</v>
      </c>
      <c r="C34" s="5" t="s">
        <v>43</v>
      </c>
      <c r="D34" s="41">
        <v>84429</v>
      </c>
      <c r="E34" s="49">
        <v>1</v>
      </c>
      <c r="F34" s="48">
        <f>D34*E34*$B$1</f>
        <v>256723.26030000002</v>
      </c>
      <c r="G34" s="6"/>
      <c r="H34" s="6"/>
      <c r="I34" s="6"/>
      <c r="J34" s="6"/>
    </row>
    <row r="35" spans="2:10" ht="27">
      <c r="C35" s="4" t="s">
        <v>71</v>
      </c>
      <c r="D35" s="40"/>
      <c r="E35" s="49"/>
      <c r="F35" s="70"/>
      <c r="G35" s="6"/>
      <c r="H35" s="6"/>
      <c r="I35" s="6"/>
      <c r="J35" s="6"/>
    </row>
    <row r="36" spans="2:10" outlineLevel="1">
      <c r="B36" s="1">
        <v>1</v>
      </c>
      <c r="C36" s="8" t="s">
        <v>12</v>
      </c>
      <c r="D36" s="42"/>
      <c r="E36" s="49"/>
      <c r="F36" s="51"/>
      <c r="G36" s="6"/>
      <c r="H36" s="6"/>
      <c r="I36" s="6"/>
      <c r="J36" s="6"/>
    </row>
    <row r="37" spans="2:10" outlineLevel="1">
      <c r="B37" s="1">
        <v>2</v>
      </c>
      <c r="C37" s="8"/>
      <c r="D37" s="42"/>
      <c r="E37" s="49"/>
      <c r="F37" s="51"/>
      <c r="G37" s="6"/>
      <c r="H37" s="6"/>
      <c r="I37" s="6"/>
      <c r="J37" s="6"/>
    </row>
    <row r="38" spans="2:10" outlineLevel="1">
      <c r="B38" s="1">
        <v>16</v>
      </c>
      <c r="C38" s="8"/>
      <c r="D38" s="42"/>
      <c r="E38" s="49"/>
      <c r="F38" s="51"/>
      <c r="G38" s="6"/>
      <c r="H38" s="6"/>
      <c r="I38" s="6"/>
      <c r="J38" s="6"/>
    </row>
    <row r="39" spans="2:10">
      <c r="C39" s="10" t="s">
        <v>0</v>
      </c>
      <c r="D39" s="43"/>
      <c r="E39" s="49"/>
      <c r="F39" s="52"/>
      <c r="G39" s="6"/>
      <c r="H39" s="6"/>
      <c r="I39" s="6"/>
      <c r="J39" s="6"/>
    </row>
    <row r="40" spans="2:10">
      <c r="F40" s="71"/>
      <c r="H40" s="85"/>
      <c r="I40" s="85"/>
      <c r="J40" s="85"/>
    </row>
    <row r="41" spans="2:10" ht="14.25" thickBot="1"/>
    <row r="42" spans="2:10">
      <c r="C42" s="2" t="s">
        <v>1</v>
      </c>
      <c r="D42" s="46" t="s">
        <v>14</v>
      </c>
      <c r="E42" s="46" t="s">
        <v>15</v>
      </c>
      <c r="F42" s="46" t="s">
        <v>16</v>
      </c>
    </row>
    <row r="43" spans="2:10">
      <c r="C43" s="4" t="s">
        <v>2</v>
      </c>
      <c r="D43" s="50">
        <f t="shared" ref="D43:F43" si="4">SUM(D44:D54)</f>
        <v>1105</v>
      </c>
      <c r="E43" s="50">
        <f t="shared" si="4"/>
        <v>7800</v>
      </c>
      <c r="F43" s="50">
        <f t="shared" si="4"/>
        <v>7800</v>
      </c>
    </row>
    <row r="44" spans="2:10" ht="12.75" outlineLevel="1">
      <c r="B44" s="1">
        <v>1</v>
      </c>
      <c r="C44" s="28" t="s">
        <v>38</v>
      </c>
      <c r="D44" s="49"/>
      <c r="E44" s="49">
        <f>$D$44*9+$D$44</f>
        <v>0</v>
      </c>
      <c r="F44" s="49">
        <f t="shared" ref="F44" si="5">$D$44*9+$D$44</f>
        <v>0</v>
      </c>
    </row>
    <row r="45" spans="2:10" ht="12.75" outlineLevel="1">
      <c r="B45" s="1">
        <v>2</v>
      </c>
      <c r="C45" s="12" t="s">
        <v>39</v>
      </c>
      <c r="D45" s="49">
        <f>812.5-812.5*20%</f>
        <v>650</v>
      </c>
      <c r="E45" s="49">
        <f>$D$45*5</f>
        <v>3250</v>
      </c>
      <c r="F45" s="49">
        <f t="shared" ref="F45" si="6">$D$45*5</f>
        <v>3250</v>
      </c>
    </row>
    <row r="46" spans="2:10" ht="12.75" outlineLevel="1">
      <c r="B46" s="1">
        <v>3</v>
      </c>
      <c r="C46" s="27" t="s">
        <v>40</v>
      </c>
      <c r="D46" s="49">
        <f>568.75-568.75*20%</f>
        <v>455</v>
      </c>
      <c r="E46" s="49">
        <f>$D$46*10</f>
        <v>4550</v>
      </c>
      <c r="F46" s="49">
        <f t="shared" ref="F46" si="7">$D$46*10</f>
        <v>4550</v>
      </c>
    </row>
    <row r="47" spans="2:10" ht="12.75" outlineLevel="1">
      <c r="B47" s="1">
        <v>4</v>
      </c>
      <c r="C47" s="21" t="s">
        <v>73</v>
      </c>
      <c r="D47" s="49"/>
      <c r="E47" s="49"/>
      <c r="F47" s="49"/>
    </row>
    <row r="48" spans="2:10" ht="12.75" outlineLevel="1">
      <c r="B48" s="1">
        <v>5</v>
      </c>
      <c r="C48" s="20"/>
      <c r="D48" s="49"/>
      <c r="E48" s="49"/>
      <c r="F48" s="49"/>
    </row>
    <row r="49" spans="2:6" ht="12.75" outlineLevel="1">
      <c r="B49" s="1">
        <v>6</v>
      </c>
      <c r="C49" s="20"/>
      <c r="D49" s="49"/>
      <c r="E49" s="49"/>
      <c r="F49" s="49"/>
    </row>
    <row r="50" spans="2:6" ht="12.75" outlineLevel="1">
      <c r="B50" s="1">
        <v>7</v>
      </c>
      <c r="C50" s="18"/>
      <c r="D50" s="49"/>
      <c r="E50" s="49"/>
      <c r="F50" s="49"/>
    </row>
    <row r="51" spans="2:6" ht="12.75" outlineLevel="1">
      <c r="B51" s="1">
        <v>8</v>
      </c>
      <c r="C51" s="18"/>
      <c r="D51" s="49"/>
      <c r="E51" s="49"/>
      <c r="F51" s="49"/>
    </row>
    <row r="52" spans="2:6" ht="12.75" outlineLevel="1">
      <c r="B52" s="1">
        <v>9</v>
      </c>
      <c r="C52" s="18"/>
      <c r="D52" s="49"/>
      <c r="E52" s="49"/>
      <c r="F52" s="49"/>
    </row>
    <row r="53" spans="2:6" ht="12.75" outlineLevel="1">
      <c r="B53" s="1">
        <v>10</v>
      </c>
      <c r="C53" s="21"/>
      <c r="D53" s="49"/>
      <c r="E53" s="49"/>
      <c r="F53" s="49"/>
    </row>
    <row r="54" spans="2:6" outlineLevel="1">
      <c r="B54" s="1">
        <v>32</v>
      </c>
      <c r="C54" s="5"/>
      <c r="D54" s="49"/>
      <c r="E54" s="49"/>
      <c r="F54" s="49"/>
    </row>
    <row r="55" spans="2:6">
      <c r="C55" s="4" t="s">
        <v>3</v>
      </c>
      <c r="D55" s="50">
        <f t="shared" ref="D55:F55" si="8">SUM(D56:D60)</f>
        <v>0</v>
      </c>
      <c r="E55" s="50">
        <f t="shared" si="8"/>
        <v>0</v>
      </c>
      <c r="F55" s="50">
        <f t="shared" si="8"/>
        <v>0</v>
      </c>
    </row>
    <row r="56" spans="2:6" outlineLevel="1">
      <c r="B56" s="1">
        <v>1</v>
      </c>
      <c r="C56" s="19" t="s">
        <v>42</v>
      </c>
      <c r="D56" s="54"/>
      <c r="E56" s="54"/>
      <c r="F56" s="54"/>
    </row>
    <row r="57" spans="2:6" outlineLevel="1">
      <c r="B57" s="1">
        <v>2</v>
      </c>
      <c r="C57" s="5"/>
      <c r="D57" s="49"/>
      <c r="E57" s="49"/>
      <c r="F57" s="49"/>
    </row>
    <row r="58" spans="2:6" outlineLevel="1">
      <c r="B58" s="1">
        <v>3</v>
      </c>
      <c r="C58" s="19"/>
      <c r="D58" s="54"/>
      <c r="E58" s="54"/>
      <c r="F58" s="54"/>
    </row>
    <row r="59" spans="2:6" outlineLevel="1">
      <c r="B59" s="1">
        <v>4</v>
      </c>
      <c r="C59" s="5"/>
      <c r="D59" s="49"/>
      <c r="E59" s="49"/>
      <c r="F59" s="49"/>
    </row>
    <row r="60" spans="2:6" outlineLevel="1">
      <c r="B60" s="1">
        <v>16</v>
      </c>
      <c r="C60" s="5"/>
      <c r="D60" s="49"/>
      <c r="E60" s="49"/>
      <c r="F60" s="49"/>
    </row>
    <row r="61" spans="2:6">
      <c r="C61" s="4" t="s">
        <v>4</v>
      </c>
      <c r="D61" s="50">
        <f t="shared" ref="D61:F61" si="9">SUM(D62:D67)</f>
        <v>802.39583333333326</v>
      </c>
      <c r="E61" s="50">
        <f t="shared" si="9"/>
        <v>4154.1666666666661</v>
      </c>
      <c r="F61" s="50">
        <f t="shared" si="9"/>
        <v>4154.1666666666661</v>
      </c>
    </row>
    <row r="62" spans="2:6" outlineLevel="1">
      <c r="B62" s="1">
        <v>1</v>
      </c>
      <c r="C62" s="5"/>
      <c r="D62" s="55">
        <f>D105*5%</f>
        <v>802.39583333333326</v>
      </c>
      <c r="E62" s="55">
        <f t="shared" ref="E62:F62" si="10">E105*5%</f>
        <v>4154.1666666666661</v>
      </c>
      <c r="F62" s="55">
        <f t="shared" si="10"/>
        <v>4154.1666666666661</v>
      </c>
    </row>
    <row r="63" spans="2:6" outlineLevel="1">
      <c r="B63" s="1">
        <v>2</v>
      </c>
      <c r="C63" s="5"/>
      <c r="D63" s="49"/>
      <c r="E63" s="49"/>
      <c r="F63" s="49"/>
    </row>
    <row r="64" spans="2:6" outlineLevel="1">
      <c r="B64" s="1">
        <v>3</v>
      </c>
      <c r="C64" s="5"/>
      <c r="D64" s="49"/>
      <c r="E64" s="49"/>
      <c r="F64" s="49"/>
    </row>
    <row r="65" spans="2:6" outlineLevel="1">
      <c r="B65" s="1">
        <v>4</v>
      </c>
      <c r="C65" s="5"/>
      <c r="D65" s="49"/>
      <c r="E65" s="49"/>
      <c r="F65" s="49"/>
    </row>
    <row r="66" spans="2:6" outlineLevel="1">
      <c r="B66" s="1">
        <v>5</v>
      </c>
      <c r="C66" s="5"/>
      <c r="D66" s="49"/>
      <c r="E66" s="49"/>
      <c r="F66" s="49"/>
    </row>
    <row r="67" spans="2:6" outlineLevel="1">
      <c r="B67" s="1">
        <v>6</v>
      </c>
      <c r="C67" s="5"/>
      <c r="D67" s="49"/>
      <c r="E67" s="49"/>
      <c r="F67" s="49"/>
    </row>
    <row r="68" spans="2:6">
      <c r="C68" s="4" t="s">
        <v>5</v>
      </c>
      <c r="D68" s="50">
        <f t="shared" ref="D68:F68" si="11">SUM(D69:D71)</f>
        <v>500</v>
      </c>
      <c r="E68" s="50">
        <f t="shared" si="11"/>
        <v>500</v>
      </c>
      <c r="F68" s="50">
        <f t="shared" si="11"/>
        <v>500</v>
      </c>
    </row>
    <row r="69" spans="2:6" outlineLevel="1">
      <c r="B69" s="1">
        <v>1</v>
      </c>
      <c r="C69" s="5" t="s">
        <v>44</v>
      </c>
      <c r="D69" s="49">
        <v>500</v>
      </c>
      <c r="E69" s="49">
        <v>500</v>
      </c>
      <c r="F69" s="49">
        <v>500</v>
      </c>
    </row>
    <row r="70" spans="2:6" outlineLevel="1">
      <c r="B70" s="1">
        <v>2</v>
      </c>
      <c r="C70" s="5"/>
      <c r="D70" s="49"/>
      <c r="E70" s="49"/>
      <c r="F70" s="49"/>
    </row>
    <row r="71" spans="2:6" outlineLevel="1">
      <c r="B71" s="1">
        <v>3</v>
      </c>
      <c r="C71" s="5"/>
      <c r="D71" s="49"/>
      <c r="E71" s="49"/>
      <c r="F71" s="49"/>
    </row>
    <row r="72" spans="2:6">
      <c r="C72" s="4" t="s">
        <v>6</v>
      </c>
      <c r="D72" s="50">
        <f t="shared" ref="D72:F72" si="12">SUM(D73:D80)</f>
        <v>500</v>
      </c>
      <c r="E72" s="50">
        <f t="shared" si="12"/>
        <v>15000</v>
      </c>
      <c r="F72" s="50">
        <f t="shared" si="12"/>
        <v>15000</v>
      </c>
    </row>
    <row r="73" spans="2:6" ht="12.75" outlineLevel="1">
      <c r="B73" s="1">
        <v>1</v>
      </c>
      <c r="C73" s="22" t="s">
        <v>21</v>
      </c>
      <c r="D73" s="49"/>
      <c r="E73" s="49"/>
      <c r="F73" s="49"/>
    </row>
    <row r="74" spans="2:6" outlineLevel="1">
      <c r="B74" s="1">
        <v>2</v>
      </c>
      <c r="C74" s="5" t="s">
        <v>17</v>
      </c>
      <c r="D74" s="49"/>
      <c r="E74" s="49"/>
      <c r="F74" s="49"/>
    </row>
    <row r="75" spans="2:6" outlineLevel="1">
      <c r="B75" s="1">
        <v>3</v>
      </c>
      <c r="C75" s="19" t="s">
        <v>18</v>
      </c>
      <c r="D75" s="49">
        <v>200</v>
      </c>
      <c r="E75" s="49">
        <f>$D$75*10</f>
        <v>2000</v>
      </c>
      <c r="F75" s="49">
        <f t="shared" ref="F75" si="13">$D$75*10</f>
        <v>2000</v>
      </c>
    </row>
    <row r="76" spans="2:6" outlineLevel="1">
      <c r="B76" s="1">
        <v>4</v>
      </c>
      <c r="C76" s="19" t="s">
        <v>22</v>
      </c>
      <c r="D76" s="49">
        <v>50</v>
      </c>
      <c r="E76" s="49">
        <f>$D$76*10</f>
        <v>500</v>
      </c>
      <c r="F76" s="49">
        <f t="shared" ref="F76" si="14">$D$76*10</f>
        <v>500</v>
      </c>
    </row>
    <row r="77" spans="2:6" outlineLevel="1">
      <c r="B77" s="1">
        <v>5</v>
      </c>
      <c r="C77" s="5" t="s">
        <v>19</v>
      </c>
      <c r="D77" s="49"/>
      <c r="E77" s="49"/>
      <c r="F77" s="49"/>
    </row>
    <row r="78" spans="2:6" ht="12.75" outlineLevel="1">
      <c r="B78" s="1">
        <v>6</v>
      </c>
      <c r="C78" s="26" t="s">
        <v>41</v>
      </c>
      <c r="D78" s="49">
        <v>100</v>
      </c>
      <c r="E78" s="49">
        <f>$D$78*10</f>
        <v>1000</v>
      </c>
      <c r="F78" s="49">
        <f t="shared" ref="F78" si="15">$D$78*10</f>
        <v>1000</v>
      </c>
    </row>
    <row r="79" spans="2:6" outlineLevel="1">
      <c r="B79" s="1">
        <v>7</v>
      </c>
      <c r="C79" s="16" t="s">
        <v>45</v>
      </c>
      <c r="D79" s="49"/>
      <c r="E79" s="49">
        <f>1000*10</f>
        <v>10000</v>
      </c>
      <c r="F79" s="49">
        <f t="shared" ref="F79" si="16">1000*10</f>
        <v>10000</v>
      </c>
    </row>
    <row r="80" spans="2:6" ht="27" outlineLevel="1">
      <c r="B80" s="1">
        <v>8</v>
      </c>
      <c r="C80" s="16" t="s">
        <v>31</v>
      </c>
      <c r="D80" s="49">
        <v>150</v>
      </c>
      <c r="E80" s="49">
        <f>$D$80*10</f>
        <v>1500</v>
      </c>
      <c r="F80" s="49">
        <f t="shared" ref="F80" si="17">$D$80*10</f>
        <v>1500</v>
      </c>
    </row>
    <row r="81" spans="2:6">
      <c r="C81" s="4" t="s">
        <v>7</v>
      </c>
      <c r="D81" s="50">
        <f t="shared" ref="D81:F81" si="18">SUM(D82:D85)</f>
        <v>276.25</v>
      </c>
      <c r="E81" s="50">
        <f t="shared" si="18"/>
        <v>1950</v>
      </c>
      <c r="F81" s="50">
        <f t="shared" si="18"/>
        <v>83518.269541880247</v>
      </c>
    </row>
    <row r="82" spans="2:6" outlineLevel="1">
      <c r="B82" s="1">
        <v>1</v>
      </c>
      <c r="C82" s="5" t="s">
        <v>11</v>
      </c>
      <c r="D82" s="49">
        <f t="shared" ref="D82:F82" si="19">(D43+D57)*25%</f>
        <v>276.25</v>
      </c>
      <c r="E82" s="49">
        <f t="shared" si="19"/>
        <v>1950</v>
      </c>
      <c r="F82" s="49">
        <f t="shared" si="19"/>
        <v>1950</v>
      </c>
    </row>
    <row r="83" spans="2:6" outlineLevel="1">
      <c r="B83" s="1">
        <v>2</v>
      </c>
      <c r="C83" s="5" t="s">
        <v>20</v>
      </c>
      <c r="D83" s="49"/>
      <c r="E83" s="49"/>
      <c r="F83" s="49">
        <f>SUM(D8:F8)*1%/4</f>
        <v>81568.269541880247</v>
      </c>
    </row>
    <row r="84" spans="2:6" outlineLevel="1">
      <c r="B84" s="1">
        <v>3</v>
      </c>
      <c r="C84" s="5"/>
      <c r="D84" s="49"/>
      <c r="E84" s="49"/>
      <c r="F84" s="49"/>
    </row>
    <row r="85" spans="2:6" outlineLevel="1">
      <c r="B85" s="1">
        <v>16</v>
      </c>
      <c r="C85" s="5"/>
      <c r="D85" s="49"/>
      <c r="E85" s="49"/>
      <c r="F85" s="49"/>
    </row>
    <row r="86" spans="2:6">
      <c r="C86" s="4" t="s">
        <v>8</v>
      </c>
      <c r="D86" s="50">
        <f t="shared" ref="D86:F86" si="20">SUM(D87:D89)</f>
        <v>159.18229166666666</v>
      </c>
      <c r="E86" s="50">
        <f t="shared" si="20"/>
        <v>1470.2083333333333</v>
      </c>
      <c r="F86" s="50">
        <f t="shared" si="20"/>
        <v>5548.6218104273466</v>
      </c>
    </row>
    <row r="87" spans="2:6" outlineLevel="1">
      <c r="B87" s="1">
        <v>1</v>
      </c>
      <c r="C87" s="8" t="s">
        <v>12</v>
      </c>
      <c r="D87" s="51">
        <f t="shared" ref="D87:F87" si="21">SUM(D43,D55,D61,D68,D72,D81)*5%</f>
        <v>159.18229166666666</v>
      </c>
      <c r="E87" s="51">
        <f t="shared" si="21"/>
        <v>1470.2083333333333</v>
      </c>
      <c r="F87" s="51">
        <f t="shared" si="21"/>
        <v>5548.6218104273466</v>
      </c>
    </row>
    <row r="88" spans="2:6" outlineLevel="1">
      <c r="B88" s="1">
        <v>2</v>
      </c>
      <c r="C88" s="8"/>
      <c r="D88" s="51"/>
      <c r="E88" s="51"/>
      <c r="F88" s="51"/>
    </row>
    <row r="89" spans="2:6" outlineLevel="1">
      <c r="B89" s="1">
        <v>16</v>
      </c>
      <c r="C89" s="8"/>
      <c r="D89" s="51"/>
      <c r="E89" s="51"/>
      <c r="F89" s="51"/>
    </row>
    <row r="90" spans="2:6">
      <c r="C90" s="10" t="s">
        <v>9</v>
      </c>
      <c r="D90" s="52">
        <f t="shared" ref="D90:F90" si="22">SUM(D43,D55,D61,D68,D72,D81,D86)</f>
        <v>3342.8281249999995</v>
      </c>
      <c r="E90" s="52">
        <f t="shared" si="22"/>
        <v>30874.374999999996</v>
      </c>
      <c r="F90" s="52">
        <f t="shared" si="22"/>
        <v>116521.05801897426</v>
      </c>
    </row>
    <row r="92" spans="2:6" ht="14.25" thickBot="1"/>
    <row r="93" spans="2:6" s="32" customFormat="1" ht="27.75" thickBot="1">
      <c r="B93" s="30"/>
      <c r="C93" s="36" t="s">
        <v>10</v>
      </c>
      <c r="D93" s="56">
        <f t="shared" ref="D93" si="23">D90+D39</f>
        <v>3342.8281249999995</v>
      </c>
      <c r="E93" s="56">
        <f>E90+F39</f>
        <v>30874.374999999996</v>
      </c>
      <c r="F93" s="56" t="e">
        <f>F90+#REF!</f>
        <v>#REF!</v>
      </c>
    </row>
    <row r="95" spans="2:6">
      <c r="C95" s="29" t="s">
        <v>50</v>
      </c>
      <c r="D95" s="57"/>
      <c r="E95" s="57"/>
      <c r="F95" s="57"/>
    </row>
    <row r="96" spans="2:6">
      <c r="C96" s="7" t="s">
        <v>51</v>
      </c>
      <c r="D96" s="57"/>
      <c r="E96" s="57"/>
      <c r="F96" s="57"/>
    </row>
    <row r="97" spans="2:6" s="15" customFormat="1" ht="15">
      <c r="B97" s="14"/>
      <c r="C97" s="7" t="s">
        <v>52</v>
      </c>
      <c r="D97" s="58"/>
      <c r="E97" s="58"/>
      <c r="F97" s="58"/>
    </row>
    <row r="98" spans="2:6" s="15" customFormat="1" ht="15">
      <c r="B98" s="14"/>
      <c r="C98" s="7" t="s">
        <v>53</v>
      </c>
      <c r="D98" s="58"/>
      <c r="E98" s="58"/>
      <c r="F98" s="58"/>
    </row>
    <row r="99" spans="2:6" s="15" customFormat="1" ht="15">
      <c r="B99" s="14"/>
      <c r="C99" s="7" t="s">
        <v>54</v>
      </c>
      <c r="D99" s="59"/>
      <c r="E99" s="59"/>
      <c r="F99" s="59"/>
    </row>
    <row r="100" spans="2:6" s="15" customFormat="1" ht="27">
      <c r="B100" s="14"/>
      <c r="C100" s="7" t="s">
        <v>74</v>
      </c>
      <c r="D100" s="49">
        <f>(D45+D46)*1.25</f>
        <v>1381.25</v>
      </c>
      <c r="E100" s="49">
        <f t="shared" ref="E100:F100" si="24">(E45+E46)*1.25</f>
        <v>9750</v>
      </c>
      <c r="F100" s="49">
        <f t="shared" si="24"/>
        <v>9750</v>
      </c>
    </row>
    <row r="101" spans="2:6" s="32" customFormat="1" ht="27">
      <c r="B101" s="30"/>
      <c r="C101" s="31" t="s">
        <v>75</v>
      </c>
      <c r="D101" s="60">
        <f>((704000000/1200)/12)*30%</f>
        <v>14666.666666666664</v>
      </c>
      <c r="E101" s="60">
        <f>$D$101*5</f>
        <v>73333.333333333314</v>
      </c>
      <c r="F101" s="60">
        <f t="shared" ref="F101" si="25">$D$101*5</f>
        <v>73333.333333333314</v>
      </c>
    </row>
    <row r="102" spans="2:6">
      <c r="C102" s="7"/>
      <c r="D102" s="57"/>
      <c r="E102" s="57"/>
      <c r="F102" s="57"/>
    </row>
    <row r="103" spans="2:6">
      <c r="C103" s="7"/>
      <c r="D103" s="66"/>
      <c r="E103" s="57"/>
      <c r="F103" s="57"/>
    </row>
    <row r="104" spans="2:6">
      <c r="C104" s="7"/>
      <c r="D104" s="49"/>
      <c r="E104" s="49"/>
      <c r="F104" s="49"/>
    </row>
    <row r="105" spans="2:6" s="35" customFormat="1" ht="15.75">
      <c r="B105" s="33"/>
      <c r="C105" s="34" t="s">
        <v>55</v>
      </c>
      <c r="D105" s="61">
        <f>SUM(D96:D104)</f>
        <v>16047.916666666664</v>
      </c>
      <c r="E105" s="61">
        <f t="shared" ref="E105:F105" si="26">SUM(E96:E104)</f>
        <v>83083.333333333314</v>
      </c>
      <c r="F105" s="61">
        <f t="shared" si="26"/>
        <v>83083.333333333314</v>
      </c>
    </row>
    <row r="106" spans="2:6">
      <c r="C106" s="7"/>
      <c r="D106" s="49"/>
      <c r="E106" s="49"/>
      <c r="F106" s="49"/>
    </row>
    <row r="107" spans="2:6">
      <c r="C107" s="7"/>
      <c r="D107" s="49"/>
      <c r="E107" s="49"/>
      <c r="F107" s="49"/>
    </row>
    <row r="108" spans="2:6">
      <c r="C108" s="7"/>
      <c r="D108" s="62"/>
      <c r="E108" s="62"/>
      <c r="F108" s="62"/>
    </row>
    <row r="109" spans="2:6">
      <c r="C109" s="7"/>
      <c r="D109" s="63"/>
      <c r="E109" s="63"/>
      <c r="F109" s="63"/>
    </row>
    <row r="110" spans="2:6">
      <c r="C110" s="7"/>
      <c r="D110" s="62"/>
      <c r="E110" s="62"/>
      <c r="F110" s="62"/>
    </row>
    <row r="111" spans="2:6">
      <c r="C111" s="7"/>
      <c r="D111" s="64"/>
      <c r="E111" s="64"/>
      <c r="F111" s="64"/>
    </row>
    <row r="112" spans="2:6">
      <c r="C112" s="7"/>
      <c r="D112" s="65"/>
      <c r="E112" s="65"/>
      <c r="F112" s="65"/>
    </row>
    <row r="113" spans="3:6" ht="30" customHeight="1">
      <c r="C113" s="7"/>
      <c r="D113" s="49"/>
      <c r="E113" s="49"/>
      <c r="F113" s="49"/>
    </row>
    <row r="115" spans="3:6">
      <c r="D115" s="72"/>
    </row>
  </sheetData>
  <pageMargins left="3.937007874015748E-2" right="3.937007874015748E-2" top="0.74803149606299213" bottom="0.15748031496062992" header="0" footer="0"/>
  <pageSetup paperSize="9" scale="86" fitToHeight="0" orientation="landscape" r:id="rId1"/>
  <ignoredErrors>
    <ignoredError sqref="E4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D5" sqref="D5"/>
    </sheetView>
  </sheetViews>
  <sheetFormatPr defaultColWidth="8.85546875" defaultRowHeight="15"/>
  <cols>
    <col min="1" max="1" width="11.140625" bestFit="1" customWidth="1"/>
    <col min="2" max="2" width="15.140625" bestFit="1" customWidth="1"/>
    <col min="3" max="4" width="11.140625" bestFit="1" customWidth="1"/>
  </cols>
  <sheetData>
    <row r="1" spans="1:4">
      <c r="A1" t="s">
        <v>23</v>
      </c>
      <c r="B1" t="s">
        <v>24</v>
      </c>
      <c r="C1" t="s">
        <v>25</v>
      </c>
      <c r="D1" t="s">
        <v>26</v>
      </c>
    </row>
    <row r="2" spans="1:4">
      <c r="A2" t="s">
        <v>27</v>
      </c>
      <c r="B2" t="s">
        <v>28</v>
      </c>
      <c r="C2">
        <v>3.0407000000000002</v>
      </c>
      <c r="D2">
        <v>0</v>
      </c>
    </row>
    <row r="3" spans="1:4">
      <c r="A3" t="s">
        <v>29</v>
      </c>
      <c r="B3" t="s">
        <v>30</v>
      </c>
      <c r="C3">
        <v>2.6861000000000002</v>
      </c>
      <c r="D3"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a 7 d c 5 7 - e d 5 9 - 4 0 2 1 - a 7 4 5 - a 7 0 a d d 6 e 5 d 3 a "   x m l n s = " h t t p : / / s c h e m a s . m i c r o s o f t . c o m / D a t a M a s h u p " > A A A A A H k E A A B Q S w M E F A A C A A g A x J t y T v Q T Q Z i m A A A A + A A A A B I A H A B D b 2 5 m a W c v U G F j a 2 F n Z S 5 4 b W w g o h g A K K A U A A A A A A A A A A A A A A A A A A A A A A A A A A A A h Y 8 x D o I w G E a v Q r r T l o p o y E 8 Z X C U x I R r X B i o 0 Q j G 0 W O 7 m 4 J G 8 g i S K u j l + L 2 9 4 3 + N 2 h 3 R s G + 8 q e 6 M 6 n a A A U + R J X X S l 0 l W C B n v y 1 y j l s B P F W V T S m 2 R t 4 t G U C a q t v c S E O O e w W + C u r w i j N C D H b J s X t W w F + s j q v + w r b a z Q h U Q c D q 8 Y z n C 0 w s u Q h p h F A Z A Z Q 6 b 0 V 2 F T M a Z A f i B s h s Y O v e R S + / s c y D y B v F / w J 1 B L A w Q U A A I A C A D E m 3 J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J t y T q o 0 S f h x A Q A A z g I A A B M A H A B G b 3 J t d W x h c y 9 T Z W N 0 a W 9 u M S 5 t I K I Y A C i g F A A A A A A A A A A A A A A A A A A A A A A A A A A A A K V S y 2 o C M R T d C / 7 D J W 5 G G M Z H K 5 S K d K H d F x 9 0 I S 5 G T U d h J i M z 8 V F E a K W 0 C / s B b k t / o I V K p z 7 q L 9 z 8 U a O j H S v Y L h o I S c 7 J P e f c E J f W e N N m U P D X R D o c C o f c h u 7 Q O k R I U a + a F O I E M m B S H g 6 B H D g W t 2 K I n + I B F + j h V H K X t K p d 6 A Z V V p u s z T h l 3 F V I g / O W e x q L d b t d j V U N z b A 7 m k F j T V a n P a 3 V a J 1 Z m d R J k k S j q q + c 0 7 k e l 3 L 7 D v 3 4 o L z i K p t 7 E Y J j f M c 5 T i S / m g s x w g + Q J R 4 u V 1 n X s b W i o z P 3 y n a s r G 2 2 L V a 8 b l F X W X u o / T 7 x w Q R R g U s C O O 3 x g Q p b P H k A P 9 r i r G 1 V q b P D H B + o S O 1 V D K J B F 8 / 4 h i 8 4 + + 5 h A n 7 j E n o V 9 2 I U 9 J K n l t 2 h v q K r / P 4 A a h B p 1 + x J D M W N 1 J 6 i J 2 0 A l / L k 7 W n M Q d x J c C Y e N 5 f n Q Y Q C N e U f y d v d t f + f 0 V W g e q 0 B S n n z 0 B U p R M 5 L e Q K 2 A z / A U i E n / 0 A 4 1 G T / z Z r + A l B L A Q I t A B Q A A g A I A M S b c k 7 0 E 0 G Y p g A A A P g A A A A S A A A A A A A A A A A A A A A A A A A A A A B D b 2 5 m a W c v U G F j a 2 F n Z S 5 4 b W x Q S w E C L Q A U A A I A C A D E m 3 J O D 8 r p q 6 Q A A A D p A A A A E w A A A A A A A A A A A A A A A A D y A A A A W 0 N v b n R l b n R f V H l w Z X N d L n h t b F B L A Q I t A B Q A A g A I A M S b c k 6 q N E n 4 c Q E A A M 4 C A A A T A A A A A A A A A A A A A A A A A O M B A A B G b 3 J t d W x h c y 9 T Z W N 0 a W 9 u M S 5 t U E s F B g A A A A A D A A M A w g A A A K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N A A A A A A A A 1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D w v S X R l b V B h d G g + P C 9 J d G V t T G 9 j Y X R p b 2 4 + P F N 0 Y W J s Z U V u d H J p Z X M + P E V u d H J 5 I F R 5 c G U 9 I k l z U H J p d m F 0 Z S I g V m F s d W U 9 I m w w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R h Y m x l X z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z L T E 4 V D E 1 O j M w O j A 4 L j Q y O D A w O D J a I i A v P j x F b n R y e S B U e X B l P S J G a W x s Q 2 9 s d W 1 u V H l w Z X M i I F Z h b H V l P S J z Q m d Z R k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S Z x d W 9 0 O 1 0 i I C 8 + P E V u d H J 5 I F R 5 c G U 9 I k Z p b G x T d G F 0 d X M i I F Z h b H V l P S J z Q 2 9 t c G x l d G U i I C 8 + P E V u d H J 5 I F R 5 c G U 9 I l F 1 Z X J 5 S U Q i I F Z h b H V l P S J z Y j J h Z D U z N T c t M m U 3 Y y 0 0 M G N k L T g w O D g t O T k y Y m E 2 N z c 1 N 2 V i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A v 0 J j Q t 9 C 8 0 L X Q v d C 1 0 L 3 Q v d G L 0 L k g 0 Y L Q u N C / L n t D b 2 x 1 b W 4 x L D B 9 J n F 1 b 3 Q 7 L C Z x d W 9 0 O 1 N l Y 3 R p b 2 4 x L 1 R h Y m x l I D A v 0 J j Q t 9 C 8 0 L X Q v d C 1 0 L 3 Q v d G L 0 L k g 0 Y L Q u N C / L n t D b 2 x 1 b W 4 y L D F 9 J n F 1 b 3 Q 7 L C Z x d W 9 0 O 1 N l Y 3 R p b 2 4 x L 1 R h Y m x l I D A v 0 J j Q t 9 C 8 0 L X Q v d C 1 0 L 3 Q v d G L 0 L k g 0 Y L Q u N C / L n t D b 2 x 1 b W 4 z L D J 9 J n F 1 b 3 Q 7 L C Z x d W 9 0 O 1 N l Y 3 R p b 2 4 x L 1 R h Y m x l I D A v 0 J j Q t 9 C 8 0 L X Q v d C 1 0 L 3 Q v d G L 0 L k g 0 Y L Q u N C / L n t D b 2 x 1 b W 4 1 L D R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I D A v 0 J j Q t 9 C 8 0 L X Q v d C 1 0 L 3 Q v d G L 0 L k g 0 Y L Q u N C / L n t D b 2 x 1 b W 4 x L D B 9 J n F 1 b 3 Q 7 L C Z x d W 9 0 O 1 N l Y 3 R p b 2 4 x L 1 R h Y m x l I D A v 0 J j Q t 9 C 8 0 L X Q v d C 1 0 L 3 Q v d G L 0 L k g 0 Y L Q u N C / L n t D b 2 x 1 b W 4 y L D F 9 J n F 1 b 3 Q 7 L C Z x d W 9 0 O 1 N l Y 3 R p b 2 4 x L 1 R h Y m x l I D A v 0 J j Q t 9 C 8 0 L X Q v d C 1 0 L 3 Q v d G L 0 L k g 0 Y L Q u N C / L n t D b 2 x 1 b W 4 z L D J 9 J n F 1 b 3 Q 7 L C Z x d W 9 0 O 1 N l Y 3 R p b 2 4 x L 1 R h Y m x l I D A v 0 J j Q t 9 C 8 0 L X Q v d C 1 0 L 3 Q v d G L 0 L k g 0 Y L Q u N C /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A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0 R h d G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F j w P g c 5 V t B q E d Q m C X g Z T o A A A A A A g A A A A A A E G Y A A A A B A A A g A A A A 6 u q 6 f t M 7 9 4 L Q q P h 2 T 4 q l N l F S A Z 1 R P f + n r w h a Y G 0 l S L c A A A A A D o A A A A A C A A A g A A A A r f L / T o D H k u y N D 4 c h V 7 p f u G C 3 C 4 T m m R 2 Y H A W b u d / 9 5 N V Q A A A A Y f 5 R s l U 5 p j w X y q I C q 3 E j 8 8 W I o R G R i Q H j t z M J I v 0 e y h p C J K j B Y 6 1 u 6 s S c z K d N T L P 6 a 5 g z / x 3 k k Q N o 0 / a 2 A u b y C Y q j d + N a 7 2 U 7 K J t l + n E K j 2 1 A A A A A K l c K / u g d P 0 9 a N y 0 9 5 3 S f g S k C r y Z O G S b P i 3 1 L R X 6 6 Z z e B e S q a Q 2 h Y s Q u b 1 Z t f w 3 o h 2 5 p l w + c a S F W M E O V k o E y D K g = = < / D a t a M a s h u p > 
</file>

<file path=customXml/itemProps1.xml><?xml version="1.0" encoding="utf-8"?>
<ds:datastoreItem xmlns:ds="http://schemas.openxmlformats.org/officeDocument/2006/customXml" ds:itemID="{833E99BA-7F08-4D03-AC89-2960BA091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Modelcosting</vt:lpstr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ტელემედიცინა საქართველოში</dc:title>
  <dc:subject/>
  <dc:creator/>
  <cp:keywords/>
  <dc:description>ფაილში მოცემულია საპროგნოზო მონაცემები</dc:description>
  <cp:lastModifiedBy/>
  <dcterms:created xsi:type="dcterms:W3CDTF">2006-09-16T00:00:00Z</dcterms:created>
  <dcterms:modified xsi:type="dcterms:W3CDTF">2019-08-11T13:36:50Z</dcterms:modified>
  <cp:category/>
</cp:coreProperties>
</file>