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3256" windowHeight="12432"/>
  </bookViews>
  <sheets>
    <sheet name="Summary Sheet" sheetId="7" r:id="rId1"/>
    <sheet name="Servicecosts" sheetId="8" r:id="rId2"/>
    <sheet name="PPEs" sheetId="6" r:id="rId3"/>
    <sheet name="Lugar - testing" sheetId="1" r:id="rId4"/>
    <sheet name="PPE - reg.labs" sheetId="2" r:id="rId5"/>
    <sheet name="Testing - reg.labs" sheetId="3" r:id="rId6"/>
    <sheet name="Abkhazia - labs" sheetId="4" r:id="rId7"/>
    <sheet name="Abkhazia - PPE" sheetId="5" r:id="rId8"/>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7"/>
  <c r="G5"/>
  <c r="G6"/>
  <c r="G7"/>
  <c r="G8"/>
  <c r="G9"/>
  <c r="G10"/>
  <c r="G11"/>
  <c r="G3"/>
  <c r="G4"/>
  <c r="G2"/>
  <c r="E18"/>
  <c r="H18"/>
  <c r="G18" s="1"/>
  <c r="H19"/>
  <c r="H20"/>
  <c r="H21"/>
  <c r="H22"/>
  <c r="H24"/>
  <c r="H3"/>
  <c r="H7"/>
  <c r="H11"/>
  <c r="H15"/>
  <c r="H25"/>
  <c r="G25" s="1"/>
  <c r="H26"/>
  <c r="H27"/>
  <c r="H28"/>
  <c r="G28" s="1"/>
  <c r="G12"/>
  <c r="G13"/>
  <c r="G16"/>
  <c r="G21"/>
  <c r="G24"/>
  <c r="C23"/>
  <c r="G14"/>
  <c r="G19"/>
  <c r="G22"/>
  <c r="C16" i="8"/>
  <c r="C15"/>
  <c r="C14"/>
  <c r="E28" i="7"/>
  <c r="G12" i="8"/>
  <c r="F15"/>
  <c r="G15" s="1"/>
  <c r="F16"/>
  <c r="G16" s="1"/>
  <c r="F14"/>
  <c r="G14" s="1"/>
  <c r="C18"/>
  <c r="F18" s="1"/>
  <c r="G18" s="1"/>
  <c r="C17"/>
  <c r="F17" s="1"/>
  <c r="G17" s="1"/>
  <c r="E21" i="7"/>
  <c r="E22"/>
  <c r="E24"/>
  <c r="E25"/>
  <c r="C4"/>
  <c r="E4" s="1"/>
  <c r="B4"/>
  <c r="J34" i="6"/>
  <c r="J33"/>
  <c r="G20" i="8" l="1"/>
  <c r="C27" i="7" s="1"/>
  <c r="G27" s="1"/>
  <c r="C15"/>
  <c r="G15" s="1"/>
  <c r="H10" i="8"/>
  <c r="C26" i="7" l="1"/>
  <c r="G26" s="1"/>
  <c r="E27"/>
  <c r="D25" i="6"/>
  <c r="D24"/>
  <c r="D23"/>
  <c r="D22"/>
  <c r="D21"/>
  <c r="D20" l="1"/>
  <c r="D19"/>
  <c r="D17"/>
  <c r="F32" i="1" l="1"/>
  <c r="F7" i="2"/>
  <c r="F8"/>
  <c r="F9"/>
  <c r="F29" s="1"/>
  <c r="C5" i="7" s="1"/>
  <c r="F10" i="2"/>
  <c r="F11"/>
  <c r="F12"/>
  <c r="F13"/>
  <c r="F14"/>
  <c r="F15"/>
  <c r="F16"/>
  <c r="F17"/>
  <c r="F18"/>
  <c r="F19"/>
  <c r="F20"/>
  <c r="F21"/>
  <c r="F22"/>
  <c r="F23"/>
  <c r="F24"/>
  <c r="F25"/>
  <c r="F26"/>
  <c r="F27"/>
  <c r="F5" i="3"/>
  <c r="F6"/>
  <c r="F7"/>
  <c r="F8"/>
  <c r="F9"/>
  <c r="F10"/>
  <c r="F11"/>
  <c r="F12"/>
  <c r="F13"/>
  <c r="F14"/>
  <c r="F15"/>
  <c r="F16"/>
  <c r="F17"/>
  <c r="F18"/>
  <c r="F19"/>
  <c r="F20"/>
  <c r="F22"/>
  <c r="F6" i="4"/>
  <c r="F7"/>
  <c r="F8"/>
  <c r="F23" s="1"/>
  <c r="F9"/>
  <c r="F10"/>
  <c r="F11"/>
  <c r="F12"/>
  <c r="F13"/>
  <c r="F14"/>
  <c r="F15"/>
  <c r="F16"/>
  <c r="F17"/>
  <c r="F18"/>
  <c r="F19"/>
  <c r="F20"/>
  <c r="F21"/>
  <c r="D18" i="6"/>
  <c r="D26"/>
  <c r="J31" s="1"/>
  <c r="D27"/>
  <c r="D29"/>
  <c r="D30"/>
  <c r="D31"/>
  <c r="D32"/>
  <c r="D34"/>
  <c r="F18"/>
  <c r="F26"/>
  <c r="F27"/>
  <c r="F29"/>
  <c r="F30"/>
  <c r="F31"/>
  <c r="F32"/>
  <c r="F33"/>
  <c r="F34"/>
  <c r="D5"/>
  <c r="D6"/>
  <c r="D7"/>
  <c r="D8"/>
  <c r="D9"/>
  <c r="D10"/>
  <c r="D11"/>
  <c r="D12"/>
  <c r="D13"/>
  <c r="D14"/>
  <c r="D15"/>
  <c r="D16"/>
  <c r="D28"/>
  <c r="F5"/>
  <c r="F6"/>
  <c r="F7"/>
  <c r="F8"/>
  <c r="F9"/>
  <c r="F10"/>
  <c r="F11"/>
  <c r="F12"/>
  <c r="F13"/>
  <c r="F14"/>
  <c r="F15"/>
  <c r="F16"/>
  <c r="F28"/>
  <c r="C11" i="7"/>
  <c r="C17"/>
  <c r="C20"/>
  <c r="H2"/>
  <c r="C7"/>
  <c r="H27" i="5"/>
  <c r="F27"/>
  <c r="H26"/>
  <c r="F26"/>
  <c r="H25"/>
  <c r="F25"/>
  <c r="H24"/>
  <c r="F24"/>
  <c r="H23"/>
  <c r="F23"/>
  <c r="H22"/>
  <c r="F22"/>
  <c r="H21"/>
  <c r="F21"/>
  <c r="H20"/>
  <c r="F20"/>
  <c r="H19"/>
  <c r="F19"/>
  <c r="H18"/>
  <c r="F18"/>
  <c r="H17"/>
  <c r="F17"/>
  <c r="H16"/>
  <c r="F16"/>
  <c r="H15"/>
  <c r="F15"/>
  <c r="H14"/>
  <c r="F14"/>
  <c r="H13"/>
  <c r="F13"/>
  <c r="H12"/>
  <c r="F12"/>
  <c r="H11"/>
  <c r="F11"/>
  <c r="H10"/>
  <c r="F10"/>
  <c r="H9"/>
  <c r="F9"/>
  <c r="H8"/>
  <c r="F8"/>
  <c r="F29" s="1"/>
  <c r="H7"/>
  <c r="H5" s="1"/>
  <c r="F7"/>
  <c r="I5"/>
  <c r="H27" i="2"/>
  <c r="H26"/>
  <c r="H25"/>
  <c r="H24"/>
  <c r="H23"/>
  <c r="H22"/>
  <c r="H21"/>
  <c r="H20"/>
  <c r="H19"/>
  <c r="H18"/>
  <c r="H17"/>
  <c r="H16"/>
  <c r="H15"/>
  <c r="H14"/>
  <c r="H13"/>
  <c r="H12"/>
  <c r="H11"/>
  <c r="H10"/>
  <c r="H9"/>
  <c r="H8"/>
  <c r="H5" s="1"/>
  <c r="H7"/>
  <c r="I5"/>
  <c r="C6" i="7" l="1"/>
  <c r="E5"/>
  <c r="J32" i="6"/>
  <c r="K32"/>
  <c r="E7" i="7"/>
  <c r="E11"/>
  <c r="E15"/>
  <c r="K31" i="6"/>
  <c r="F36"/>
  <c r="D36"/>
  <c r="F38" s="1"/>
  <c r="C3" i="7"/>
  <c r="E3" l="1"/>
  <c r="C2"/>
  <c r="G30" l="1"/>
  <c r="E2"/>
  <c r="E30" s="1"/>
</calcChain>
</file>

<file path=xl/sharedStrings.xml><?xml version="1.0" encoding="utf-8"?>
<sst xmlns="http://schemas.openxmlformats.org/spreadsheetml/2006/main" count="349" uniqueCount="250">
  <si>
    <t>MagMax Core (100 rxn)</t>
  </si>
  <si>
    <t>MagMax Core (500 rxn)</t>
  </si>
  <si>
    <t>KingFisher Deepwell 96 Plate, V-bottom, polypropylene</t>
  </si>
  <si>
    <t>KingFisher 96 KF microplate (200μL)</t>
  </si>
  <si>
    <t>KingFisher 96 tip comb for DW magnets, 10 x 10 pcs/box</t>
  </si>
  <si>
    <t>Modular Wuhan CoV E-gene</t>
  </si>
  <si>
    <t>Modular Wuhan CoV RdRP-gene</t>
  </si>
  <si>
    <t xml:space="preserve">LightCycler® Multiplex RNA Virus Master </t>
  </si>
  <si>
    <t>200 nmol, nCoV Probe (HKU-ORF1b-nsp141P): 
5’-FAM-TAGTTGTGATGCWATCATGACTAG-TAMRA-3’</t>
  </si>
  <si>
    <t>200 nmol, nCoV Forward primer (HKU-ORF1b-nsp14F): 
5’-TGGGGYTTTACRGGTAACCT-3’</t>
  </si>
  <si>
    <t>200 nmol, nCoV Reverse primer (HKU- ORF1b-nsp14R)): 
5’-AACRCGCTTAACAAAGCACTC-3’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</si>
  <si>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</si>
  <si>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</si>
  <si>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</si>
  <si>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</si>
  <si>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QIAamp Viral RNA Mini Kit</t>
  </si>
  <si>
    <t xml:space="preserve">QIAGEN </t>
  </si>
  <si>
    <t>QIAamp Mini Collection Tubes</t>
  </si>
  <si>
    <t>AVL buffer for QIAamp Viral RNA Mini Kit</t>
  </si>
  <si>
    <t>AVE buffer QIAamp Viral RNA Mini Kit</t>
  </si>
  <si>
    <t>Roche</t>
  </si>
  <si>
    <t xml:space="preserve">A32700 </t>
  </si>
  <si>
    <t xml:space="preserve">A32702 </t>
  </si>
  <si>
    <t>Thermo</t>
  </si>
  <si>
    <t>THERMOFISHER</t>
  </si>
  <si>
    <t>Eurofins</t>
  </si>
  <si>
    <t>AB</t>
  </si>
  <si>
    <t>QIAGEN</t>
  </si>
  <si>
    <t>Thermo Scientific™ Matrix™ Pipette Tips (960 per case)</t>
  </si>
  <si>
    <t>Sample collection tubes with VTM and 2 plastic swab aplicators</t>
  </si>
  <si>
    <t>VIRAL RNA / DNA KIT</t>
  </si>
  <si>
    <t>E3592-02</t>
  </si>
  <si>
    <t>Roboklon</t>
  </si>
  <si>
    <t>any</t>
  </si>
  <si>
    <t>Molecular grade Ethanol, 500 ml bottle</t>
  </si>
  <si>
    <t>Total price in USD</t>
  </si>
  <si>
    <t>WHO Code</t>
  </si>
  <si>
    <t>Lab technician PPE kit elements</t>
  </si>
  <si>
    <t>Comments</t>
  </si>
  <si>
    <t>Qtity</t>
  </si>
  <si>
    <t>Unit Cost USD</t>
  </si>
  <si>
    <t>Total cost (USD)</t>
  </si>
  <si>
    <t>Estim. Unit Weight (kg)</t>
  </si>
  <si>
    <t>Estim. Total Weight (kg)</t>
  </si>
  <si>
    <t>Estim. Unit Volume (m3)</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</si>
  <si>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</si>
  <si>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</si>
  <si>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</si>
  <si>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</si>
  <si>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</si>
  <si>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</si>
  <si>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</si>
  <si>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</si>
  <si>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</si>
  <si>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</si>
  <si>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</si>
  <si>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</si>
  <si>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</si>
  <si>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</si>
  <si>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</si>
  <si>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</si>
  <si>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</si>
  <si>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</si>
  <si>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</si>
  <si>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</si>
  <si>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</si>
  <si>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</si>
  <si>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</si>
  <si>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</si>
  <si>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</si>
  <si>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</si>
  <si>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</si>
  <si>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</si>
  <si>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</si>
  <si>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</si>
  <si>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</si>
  <si>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</si>
  <si>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</si>
  <si>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</si>
  <si>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</si>
  <si>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</si>
  <si>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</si>
  <si>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</si>
  <si>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</si>
  <si>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</si>
  <si>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</si>
  <si>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</si>
  <si>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PPE for GEO regional laboratories - 200,000 samples</t>
  </si>
  <si>
    <t>Price units USD</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</si>
  <si>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</si>
  <si>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</si>
  <si>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</si>
  <si>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</si>
  <si>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</si>
  <si>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</si>
  <si>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</si>
  <si>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</si>
  <si>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</si>
  <si>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</si>
  <si>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t>20000 tubes (50 tubes x 400 rack)</t>
  </si>
  <si>
    <t>PIPETTE TIP FILTER (Pipetman diamond) , 10 - 100 ul, ster., box-960</t>
  </si>
  <si>
    <t>200000 tubes (500 tubes x 400 box)</t>
  </si>
  <si>
    <t>swab with breakpoint and VTM (3mls) for collection of nasopharyngeal specimens (Sigma MW950SENT  74.7 GBP)</t>
  </si>
  <si>
    <t>200000 swabs</t>
  </si>
  <si>
    <t>decontaminant - RNAse AwayTM Fisher Scientific; cat. #21-236-21</t>
  </si>
  <si>
    <t xml:space="preserve"> 100 tubes x 250 ml</t>
  </si>
  <si>
    <t>COVID19 PCR reagents and consumables for 200, 000 tests - GEO regional laboratories</t>
  </si>
  <si>
    <t>Total cost USD</t>
  </si>
  <si>
    <t xml:space="preserve">COVID19 PCR reagents and consumables - needs for NCDC Lugar Center for 20,000 tests </t>
  </si>
  <si>
    <t>Total:</t>
  </si>
  <si>
    <t>Quantities needed</t>
  </si>
  <si>
    <t>10000 tabs (50 tabs x 200 pack)</t>
  </si>
  <si>
    <t>400000 tips (1000 tips x 400 box)</t>
  </si>
  <si>
    <t>800000 tips (1000 tips x 800 box)</t>
  </si>
  <si>
    <t xml:space="preserve"> 400000 tubes  (500 tubes x 800 box)</t>
  </si>
  <si>
    <t>COVID19 PCR reagents and consumables for 20,000 tests - Abkhazia laboratories</t>
  </si>
  <si>
    <t>For 20000 extraction</t>
  </si>
  <si>
    <t>20000 swabs</t>
  </si>
  <si>
    <t xml:space="preserve"> 10 tubes x 250 ml</t>
  </si>
  <si>
    <t>5000ml (100mlx5)</t>
  </si>
  <si>
    <t>20000 tubes (250 tubes x 80 packs)</t>
  </si>
  <si>
    <t>20000 tubes (50 tubes x 40 rack)</t>
  </si>
  <si>
    <t>10000 tabs (50 tabs x 20 pack)</t>
  </si>
  <si>
    <t>40000 tips (1000 tips x 40 box)</t>
  </si>
  <si>
    <t>80000 tips (1000 tips x 80 box)</t>
  </si>
  <si>
    <t>20000 tubes (500 tubes x 40 box)</t>
  </si>
  <si>
    <t xml:space="preserve"> 40000 tubes  (500 tubes x 80 box)</t>
  </si>
  <si>
    <t>For 20000 reaction (20 kits x 100 test)</t>
  </si>
  <si>
    <t>PPE for Abkhazia regional laboratories - 20,000 samples</t>
  </si>
  <si>
    <r>
      <t xml:space="preserve">TUBE CENTRIFUGE, PP, 15 ml, sterile, screw cap, rack-50, case-500 </t>
    </r>
    <r>
      <rPr>
        <sz val="11"/>
        <color rgb="FFFF0000"/>
        <rFont val="Arial"/>
        <family val="2"/>
      </rPr>
      <t>Thermo</t>
    </r>
  </si>
  <si>
    <r>
      <t>DISINFECTANT VIRUCIDAL (Virkon) , 50 g, 5 l solution / tab, pack-50</t>
    </r>
    <r>
      <rPr>
        <sz val="11"/>
        <color rgb="FFFF0000"/>
        <rFont val="Arial"/>
        <family val="2"/>
      </rPr>
      <t>Park Scientific</t>
    </r>
  </si>
  <si>
    <r>
      <t>PIPETTE TIP FILTER (Pipetman diamond) , 0.1 - 10 ul, ster., box-960</t>
    </r>
    <r>
      <rPr>
        <sz val="11"/>
        <color rgb="FFFF0000"/>
        <rFont val="Arial"/>
        <family val="2"/>
      </rPr>
      <t>Gilson</t>
    </r>
  </si>
  <si>
    <r>
      <t>PIPETTE TIP FILTER (Pipetman diamond) , 20 - 200 ul, ster., box-960</t>
    </r>
    <r>
      <rPr>
        <sz val="11"/>
        <color rgb="FFFF0000"/>
        <rFont val="Arial"/>
        <family val="2"/>
      </rPr>
      <t>Gilson</t>
    </r>
  </si>
  <si>
    <r>
      <t>PIPETTE TIP FILTER (Top-Line) , 100 - 1000 ul, ster., box-960 </t>
    </r>
    <r>
      <rPr>
        <sz val="11"/>
        <color rgb="FFFF0000"/>
        <rFont val="Arial"/>
        <family val="2"/>
      </rPr>
      <t>Gilson</t>
    </r>
  </si>
  <si>
    <r>
      <t>TUBE CRYOGENIC, PP, 2ml, ster., self stand., ext. thread + cap, natural, box-500 </t>
    </r>
    <r>
      <rPr>
        <sz val="11"/>
        <color rgb="FFFF0000"/>
        <rFont val="Arial"/>
        <family val="2"/>
      </rPr>
      <t>Greiner</t>
    </r>
  </si>
  <si>
    <r>
      <t>CENTRIFUGE Tube, PP, 1.5 ml, non ster., PCR clean, flat cap, pack-500 </t>
    </r>
    <r>
      <rPr>
        <sz val="11"/>
        <color rgb="FFFF0000"/>
        <rFont val="Arial"/>
        <family val="2"/>
      </rPr>
      <t>VWR</t>
    </r>
  </si>
  <si>
    <t>COVID-19 DISEASE COMMODITIES NEEDS - GEORGIA AND ABKHAZIA (estimations based on the worst case outbreak scenario)</t>
  </si>
  <si>
    <t>Est. unit price (USD)</t>
  </si>
  <si>
    <t>No of units requested  - GEO</t>
  </si>
  <si>
    <t>Total cost per item - GEO</t>
  </si>
  <si>
    <t>No of units requested - ABK</t>
  </si>
  <si>
    <t>Total cost per item - ABK</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</si>
  <si>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</si>
  <si>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</si>
  <si>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</si>
  <si>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</si>
  <si>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</si>
  <si>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</si>
  <si>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</si>
  <si>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</si>
  <si>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</si>
  <si>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</si>
  <si>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</si>
  <si>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</si>
  <si>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</si>
  <si>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</si>
  <si>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</si>
  <si>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</si>
  <si>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</si>
  <si>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</si>
  <si>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</si>
  <si>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</si>
  <si>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</si>
  <si>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</si>
  <si>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TOTAL COST:</t>
  </si>
  <si>
    <t>GRAND TOTAL:</t>
  </si>
  <si>
    <t xml:space="preserve">Equipment </t>
  </si>
  <si>
    <t>GEOGRIA</t>
  </si>
  <si>
    <t>TOTAL</t>
  </si>
  <si>
    <r>
      <t xml:space="preserve">TUBE CENTRIFUGE, PP, 15 ml, sterile, screw cap, rack-50, case-500 </t>
    </r>
    <r>
      <rPr>
        <sz val="9"/>
        <color rgb="FFFF0000"/>
        <rFont val="Arial"/>
        <family val="2"/>
      </rPr>
      <t>Thermo</t>
    </r>
  </si>
  <si>
    <r>
      <t>DISINFECTANT VIRUCIDAL (Virkon) , 50 g, 5 l solution / tab, pack-50</t>
    </r>
    <r>
      <rPr>
        <sz val="9"/>
        <color rgb="FFFF0000"/>
        <rFont val="Arial"/>
        <family val="2"/>
      </rPr>
      <t>Park Scientific</t>
    </r>
  </si>
  <si>
    <r>
      <t>PIPETTE TIP FILTER (Pipetman diamond) , 0.1 - 10 ul, ster., box-960</t>
    </r>
    <r>
      <rPr>
        <sz val="9"/>
        <color rgb="FFFF0000"/>
        <rFont val="Arial"/>
        <family val="2"/>
      </rPr>
      <t>Gilson</t>
    </r>
  </si>
  <si>
    <r>
      <t>PIPETTE TIP FILTER (Pipetman diamond) , 20 - 200 ul, ster., box-960</t>
    </r>
    <r>
      <rPr>
        <sz val="9"/>
        <color rgb="FFFF0000"/>
        <rFont val="Arial"/>
        <family val="2"/>
      </rPr>
      <t>Gilson</t>
    </r>
  </si>
  <si>
    <r>
      <t>PIPETTE TIP FILTER (Top-Line) , 100 - 1000 ul, ster., box-960 </t>
    </r>
    <r>
      <rPr>
        <sz val="9"/>
        <color rgb="FFFF0000"/>
        <rFont val="Arial"/>
        <family val="2"/>
      </rPr>
      <t>Gilson</t>
    </r>
  </si>
  <si>
    <r>
      <t>TUBE CRYOGENIC, PP, 2ml, ster., self stand., ext. thread + cap, natural, box-500 </t>
    </r>
    <r>
      <rPr>
        <sz val="9"/>
        <color rgb="FFFF0000"/>
        <rFont val="Arial"/>
        <family val="2"/>
      </rPr>
      <t>Greiner</t>
    </r>
  </si>
  <si>
    <r>
      <t>CENTRIFUGE Tube, PP, 1.5 ml, non ster., PCR clean, flat cap, pack-500 </t>
    </r>
    <r>
      <rPr>
        <sz val="9"/>
        <color rgb="FFFF0000"/>
        <rFont val="Arial"/>
        <family val="2"/>
      </rPr>
      <t>VWR</t>
    </r>
  </si>
  <si>
    <t>Budget Item</t>
  </si>
  <si>
    <t xml:space="preserve">Personal Protective Equipment </t>
  </si>
  <si>
    <t>Laboratory testing needs</t>
  </si>
  <si>
    <t xml:space="preserve">Hospital Infrustructure Strenghtening </t>
  </si>
  <si>
    <t>Procurement of a new building, its refurbishment, Hospital equipment and supplies for up to 200 beds</t>
  </si>
  <si>
    <t>Refurbishment, Hospital equipment and supplies for 350 beds</t>
  </si>
  <si>
    <t>Hospital equipment and supplies for 350 beds</t>
  </si>
  <si>
    <t>This is a newly built building. Investment is needed for Hospital equipment and supplies for 200 beds</t>
  </si>
  <si>
    <t>Hospital rehabilitation, equipment and supplies for 300 beds</t>
  </si>
  <si>
    <t>Procurment of new Building</t>
  </si>
  <si>
    <t xml:space="preserve">Refurbishment </t>
  </si>
  <si>
    <t>Equipment</t>
  </si>
  <si>
    <t>Republican Hospital in Adjara</t>
  </si>
  <si>
    <t>Consumable and other items</t>
  </si>
  <si>
    <t xml:space="preserve">Comments </t>
  </si>
  <si>
    <t xml:space="preserve">This includes ventilators and ECMO machines listed on PPE sheet. </t>
  </si>
  <si>
    <t>See Lugar-testing, PPE-reg. labs, Testing-reg.labs for details; For laboratory supplies the epidemiological forecasting tool for influenza was used in order to estimate the needs for the next 1-2 months. The tool does not allow forecasting beyond this time period, since the need of testing depends greatly on various factors that will vary with time. It is fully acknowledged that none of the methodologies are perfect and accurate considering the extremely short span of the novel coronavirus outbreak in the country.</t>
  </si>
  <si>
    <t>ICU equipment (ventilators and ECMO)</t>
  </si>
  <si>
    <t xml:space="preserve">See PPE sheet for details: IPC and ICU equipment needs the worst case scenario was used in order to estimate the number of masks, gowns, gloves and the similar that are needed by Georgia in order to respond to the outbreak until it ends (presumption of 50% of the population being infected, with 19% of these requiring hospitalization and 6% intensive care). </t>
  </si>
  <si>
    <t>Infectious Disease Hospital in Tbilisi</t>
  </si>
  <si>
    <t>Central Republican Hospital in Tbilisi</t>
  </si>
  <si>
    <t>Rukhi Hospital in Samegrelo</t>
  </si>
  <si>
    <t>Lisi Oncology Hospital in Tbilisi</t>
  </si>
  <si>
    <t>TOTAL Estimated amount</t>
  </si>
  <si>
    <t>Immediate investment needs in 2020</t>
  </si>
  <si>
    <t xml:space="preserve">% of estimated total need when applicable </t>
  </si>
  <si>
    <t>Mid term investment needs for strenghtening health systems capacity and providing needed supplies and securing emergency stocks in 2021</t>
  </si>
  <si>
    <t>ABK</t>
  </si>
  <si>
    <t xml:space="preserve">portable transport ventilator for adults pediatric and neonatal patients, aroved for use helicopters and airplanes </t>
  </si>
  <si>
    <t xml:space="preserve">Defibrilator with patient monitoring system for adults and pediatric peds </t>
  </si>
  <si>
    <t xml:space="preserve">ECG 12 lead </t>
  </si>
  <si>
    <t>ambulance car b type</t>
  </si>
  <si>
    <t>ambulance car c type (intensive care mobile unit)</t>
  </si>
  <si>
    <t>portable oxygen generation system (pogs)</t>
  </si>
  <si>
    <t>patient monitor for vital signs</t>
  </si>
  <si>
    <t>portable oxygen concentrator</t>
  </si>
  <si>
    <t>COVID კლინიკების კომპენსაცია</t>
  </si>
  <si>
    <t>COVID შემთხვევების მართვა</t>
  </si>
  <si>
    <t>რუხის კლინიკის სრული აღჭურვა</t>
  </si>
  <si>
    <t>ბათუმის რესპუბლიკური საავადმყოფოს აღჭურვა</t>
  </si>
  <si>
    <t>ინფექციური საავადმყოფოს შენობის შესყიდვა</t>
  </si>
  <si>
    <t>ამბულატორიების აღჭურვა(პიველადი ჯანდაცვა)</t>
  </si>
  <si>
    <t>3 თვეზე გათვლით.</t>
  </si>
  <si>
    <t>6000 შემთხვევაზე</t>
  </si>
  <si>
    <t>ინფექციური საავადმყოფოს აღჭურვა/რემონტი</t>
  </si>
  <si>
    <t>Emergency/Ambulance service equipment</t>
  </si>
  <si>
    <t>See PPE sheet in red font</t>
  </si>
  <si>
    <t xml:space="preserve">SERVICE COSTS </t>
  </si>
  <si>
    <t xml:space="preserve">Equipment for village ambulatories </t>
  </si>
  <si>
    <t xml:space="preserve">Basic equipment </t>
  </si>
  <si>
    <t xml:space="preserve">Telemedicine equipment </t>
  </si>
  <si>
    <t>Compansation for hospitals after transforming them into COVID19</t>
  </si>
  <si>
    <t>Clinical Management of COVID cases</t>
  </si>
  <si>
    <t xml:space="preserve">This is estimated case based service costs for 5000 cases to be treated in hospital wards and emergency units </t>
  </si>
  <si>
    <t xml:space="preserve">Central Rebuplican Hospital </t>
  </si>
  <si>
    <t>COVID and FEVER CLINICS</t>
  </si>
  <si>
    <t>Stage 1 - 1050 Beds</t>
  </si>
  <si>
    <t>Stage 2 - 2000 Beds</t>
  </si>
  <si>
    <t>Stage 3- 4040 Beds</t>
  </si>
  <si>
    <t>Per month in GEL</t>
  </si>
  <si>
    <t>Months</t>
  </si>
  <si>
    <t>in March and April</t>
  </si>
  <si>
    <t>2 weeks in May</t>
  </si>
  <si>
    <t xml:space="preserve">May-September </t>
  </si>
  <si>
    <t>Maintanance and Recovary phase</t>
  </si>
  <si>
    <t>October November</t>
  </si>
  <si>
    <t>December</t>
  </si>
  <si>
    <t>TOTAL in GEL</t>
  </si>
  <si>
    <t>TOTAL in USD</t>
  </si>
  <si>
    <t>SERVICE Costs (Compensation for Clinics)</t>
  </si>
  <si>
    <t>Based on GoG decision selected hospitals (29) will be fully converted into COVID19 and 16 hospitals into fever clinics- compensation should be provided to cover direct and indirect costs related to hospital infrastructure maintenance and salaries for staff within the COVID 19 program- See service costs sheet for details</t>
  </si>
  <si>
    <t>ESTIMATED NEEDS in 2020</t>
  </si>
  <si>
    <t>Estimated needs in 2021</t>
  </si>
  <si>
    <t>1 USD=3,1 GEL</t>
  </si>
</sst>
</file>

<file path=xl/styles.xml><?xml version="1.0" encoding="utf-8"?>
<styleSheet xmlns="http://schemas.openxmlformats.org/spreadsheetml/2006/main">
  <numFmts count="10">
    <numFmt numFmtId="43" formatCode="_-* #,##0.00\ _₾_-;\-* #,##0.00\ _₾_-;_-* &quot;-&quot;??\ _₾_-;_-@_-"/>
    <numFmt numFmtId="164" formatCode="&quot;$&quot;#,##0_);[Red]\(&quot;$&quot;#,##0\)"/>
    <numFmt numFmtId="165" formatCode="_(&quot;$&quot;* #,##0.00_);_(&quot;$&quot;* \(#,##0.00\);_(&quot;$&quot;* &quot;-&quot;??_);_(@_)"/>
    <numFmt numFmtId="166" formatCode="_(* #,##0.00_);_(* \(#,##0.00\);_(* &quot;-&quot;??_);_(@_)"/>
    <numFmt numFmtId="167" formatCode="#,##0.000"/>
    <numFmt numFmtId="168" formatCode="#,##0.00000"/>
    <numFmt numFmtId="169" formatCode="0.00000"/>
    <numFmt numFmtId="170" formatCode="_(&quot;$&quot;* #,##0_);_(&quot;$&quot;* \(#,##0\);_(&quot;$&quot;* &quot;-&quot;??_);_(@_)"/>
    <numFmt numFmtId="171" formatCode="_(* #,##0_);_(* \(#,##0\);_(* &quot;-&quot;??_);_(@_)"/>
    <numFmt numFmtId="172" formatCode="[$$-409]#,##0.00"/>
  </numFmts>
  <fonts count="46">
    <font>
      <sz val="11"/>
      <color theme="1"/>
      <name val="Calibri"/>
      <family val="2"/>
      <scheme val="minor"/>
    </font>
    <font>
      <sz val="11"/>
      <color theme="1"/>
      <name val="Calibri"/>
      <family val="2"/>
      <scheme val="minor"/>
    </font>
    <font>
      <sz val="11"/>
      <color theme="1"/>
      <name val="Calibri"/>
      <family val="2"/>
      <charset val="1"/>
      <scheme val="minor"/>
    </font>
    <font>
      <sz val="10"/>
      <name val="Arial"/>
      <family val="2"/>
      <charset val="204"/>
    </font>
    <font>
      <sz val="11"/>
      <color rgb="FF006100"/>
      <name val="Calibri"/>
      <family val="2"/>
      <charset val="204"/>
      <scheme val="minor"/>
    </font>
    <font>
      <sz val="11"/>
      <color theme="1"/>
      <name val="Sylfaen"/>
      <family val="1"/>
    </font>
    <font>
      <sz val="11"/>
      <color rgb="FF006100"/>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b/>
      <sz val="16"/>
      <color rgb="FF000000"/>
      <name val="Calibri"/>
      <family val="2"/>
      <scheme val="minor"/>
    </font>
    <font>
      <sz val="11"/>
      <color rgb="FF000000"/>
      <name val="Calibri"/>
      <family val="2"/>
      <scheme val="minor"/>
    </font>
    <font>
      <b/>
      <sz val="12"/>
      <color theme="1"/>
      <name val="Arial"/>
      <family val="2"/>
    </font>
    <font>
      <sz val="10"/>
      <color theme="1"/>
      <name val="Arial"/>
      <family val="2"/>
    </font>
    <font>
      <b/>
      <sz val="10"/>
      <color theme="1"/>
      <name val="Arial"/>
      <family val="2"/>
    </font>
    <font>
      <sz val="10"/>
      <name val="Arial"/>
      <family val="2"/>
    </font>
    <font>
      <sz val="10"/>
      <color indexed="8"/>
      <name val="Arial"/>
      <family val="2"/>
    </font>
    <font>
      <sz val="10"/>
      <color rgb="FF000000"/>
      <name val="Arial"/>
      <family val="2"/>
    </font>
    <font>
      <sz val="11"/>
      <color theme="1"/>
      <name val="Arial"/>
      <family val="2"/>
    </font>
    <font>
      <b/>
      <sz val="11"/>
      <color theme="1"/>
      <name val="Arial"/>
      <family val="2"/>
    </font>
    <font>
      <b/>
      <sz val="9"/>
      <color theme="1"/>
      <name val="Arial"/>
      <family val="2"/>
    </font>
    <font>
      <sz val="9"/>
      <color theme="1"/>
      <name val="Arial"/>
      <family val="2"/>
    </font>
    <font>
      <sz val="9"/>
      <name val="Arial"/>
      <family val="2"/>
    </font>
    <font>
      <sz val="9"/>
      <color indexed="8"/>
      <name val="Arial"/>
      <family val="2"/>
    </font>
    <font>
      <sz val="9"/>
      <color rgb="FF000000"/>
      <name val="Arial"/>
      <family val="2"/>
    </font>
    <font>
      <b/>
      <sz val="10"/>
      <color rgb="FFFF0000"/>
      <name val="Arial"/>
      <family val="2"/>
    </font>
    <font>
      <i/>
      <sz val="10"/>
      <color theme="1"/>
      <name val="Arial"/>
      <family val="2"/>
    </font>
    <font>
      <b/>
      <sz val="10"/>
      <color theme="0"/>
      <name val="Arial"/>
      <family val="2"/>
    </font>
    <font>
      <sz val="11"/>
      <color rgb="FFFF0000"/>
      <name val="Arial"/>
      <family val="2"/>
    </font>
    <font>
      <b/>
      <sz val="10"/>
      <name val="Arial"/>
      <family val="2"/>
    </font>
    <font>
      <b/>
      <sz val="11"/>
      <name val="Arial"/>
      <family val="2"/>
    </font>
    <font>
      <sz val="11"/>
      <name val="Arial"/>
      <family val="2"/>
    </font>
    <font>
      <b/>
      <sz val="9"/>
      <color rgb="FF000000"/>
      <name val="Arial"/>
      <family val="2"/>
    </font>
    <font>
      <sz val="9"/>
      <color rgb="FFFF0000"/>
      <name val="Arial"/>
      <family val="2"/>
    </font>
    <font>
      <b/>
      <sz val="9"/>
      <name val="Arial"/>
      <family val="2"/>
    </font>
    <font>
      <sz val="16"/>
      <color theme="1"/>
      <name val="Arial"/>
      <family val="2"/>
    </font>
    <font>
      <b/>
      <sz val="14"/>
      <color theme="1"/>
      <name val="Calibri"/>
      <family val="2"/>
      <scheme val="minor"/>
    </font>
    <font>
      <sz val="10"/>
      <color rgb="FFFF0000"/>
      <name val="Arial"/>
      <family val="2"/>
    </font>
    <font>
      <b/>
      <sz val="11"/>
      <color theme="1"/>
      <name val="Calibri"/>
      <family val="2"/>
      <scheme val="minor"/>
    </font>
    <font>
      <b/>
      <sz val="10"/>
      <color theme="1"/>
      <name val="Arial"/>
      <family val="2"/>
      <charset val="204"/>
    </font>
    <font>
      <sz val="11"/>
      <color theme="1"/>
      <name val="Arial"/>
      <family val="2"/>
      <charset val="204"/>
    </font>
    <font>
      <sz val="16"/>
      <color theme="1"/>
      <name val="Arial"/>
      <family val="2"/>
      <charset val="204"/>
    </font>
    <font>
      <sz val="16"/>
      <color theme="1"/>
      <name val="Calibri"/>
      <family val="2"/>
      <scheme val="minor"/>
    </font>
    <font>
      <b/>
      <sz val="16"/>
      <color theme="1"/>
      <name val="Arial"/>
      <family val="2"/>
      <charset val="204"/>
    </font>
    <font>
      <b/>
      <sz val="16"/>
      <color theme="1"/>
      <name val="Calibri"/>
      <family val="2"/>
      <scheme val="minor"/>
    </font>
  </fonts>
  <fills count="21">
    <fill>
      <patternFill patternType="none"/>
    </fill>
    <fill>
      <patternFill patternType="gray125"/>
    </fill>
    <fill>
      <patternFill patternType="solid">
        <fgColor rgb="FFC6EFCE"/>
      </patternFill>
    </fill>
    <fill>
      <patternFill patternType="solid">
        <fgColor theme="8" tint="0.39997558519241921"/>
        <bgColor indexed="64"/>
      </patternFill>
    </fill>
    <fill>
      <patternFill patternType="solid">
        <fgColor theme="4"/>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9">
    <xf numFmtId="0" fontId="0" fillId="0" borderId="0"/>
    <xf numFmtId="0" fontId="2" fillId="0" borderId="0"/>
    <xf numFmtId="0" fontId="3" fillId="0" borderId="0"/>
    <xf numFmtId="0" fontId="4" fillId="2" borderId="0" applyNumberFormat="0" applyBorder="0" applyAlignment="0" applyProtection="0"/>
    <xf numFmtId="0" fontId="3" fillId="0" borderId="0"/>
    <xf numFmtId="0" fontId="6" fillId="2"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cellStyleXfs>
  <cellXfs count="169">
    <xf numFmtId="0" fontId="0" fillId="0" borderId="0" xfId="0"/>
    <xf numFmtId="0" fontId="5" fillId="0" borderId="0" xfId="0" applyFont="1" applyFill="1" applyAlignment="1">
      <alignment horizontal="left"/>
    </xf>
    <xf numFmtId="0" fontId="8" fillId="0" borderId="1" xfId="0" applyFont="1" applyBorder="1" applyAlignment="1" applyProtection="1">
      <alignment horizontal="left" vertical="center"/>
      <protection locked="0"/>
    </xf>
    <xf numFmtId="0" fontId="7" fillId="0" borderId="1" xfId="0" applyFont="1" applyBorder="1" applyAlignment="1">
      <alignment vertical="center"/>
    </xf>
    <xf numFmtId="0" fontId="9" fillId="0" borderId="1" xfId="0" applyFont="1" applyBorder="1" applyAlignment="1">
      <alignment horizontal="left" vertical="center"/>
    </xf>
    <xf numFmtId="0" fontId="10" fillId="0" borderId="1" xfId="0" applyFont="1" applyBorder="1" applyAlignment="1" applyProtection="1">
      <alignment horizontal="left" vertical="center"/>
      <protection locked="0"/>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6" fillId="0" borderId="1" xfId="0" applyFont="1" applyBorder="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4" fillId="0" borderId="1"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4" fillId="0" borderId="1" xfId="0" applyFont="1" applyBorder="1" applyAlignment="1">
      <alignment vertical="center"/>
    </xf>
    <xf numFmtId="0" fontId="14" fillId="5" borderId="1" xfId="0" applyFont="1" applyFill="1" applyBorder="1" applyAlignment="1">
      <alignment vertical="center"/>
    </xf>
    <xf numFmtId="0" fontId="14" fillId="5" borderId="1" xfId="0" applyFont="1" applyFill="1" applyBorder="1" applyAlignment="1">
      <alignment horizontal="left" vertical="center"/>
    </xf>
    <xf numFmtId="0" fontId="17" fillId="0" borderId="1" xfId="0" applyFont="1" applyBorder="1" applyAlignment="1">
      <alignment horizontal="left" vertical="center"/>
    </xf>
    <xf numFmtId="0" fontId="17" fillId="5" borderId="1" xfId="0" applyFont="1" applyFill="1" applyBorder="1" applyAlignment="1">
      <alignment horizontal="left" vertical="center"/>
    </xf>
    <xf numFmtId="0" fontId="21" fillId="0" borderId="0" xfId="0" applyFont="1"/>
    <xf numFmtId="0" fontId="22" fillId="0" borderId="0" xfId="0" applyFont="1" applyFill="1" applyAlignment="1">
      <alignment horizontal="center"/>
    </xf>
    <xf numFmtId="0" fontId="22" fillId="0" borderId="0" xfId="0" applyFont="1" applyFill="1" applyAlignment="1">
      <alignment horizontal="left"/>
    </xf>
    <xf numFmtId="0" fontId="21" fillId="6" borderId="1" xfId="0" applyFont="1" applyFill="1" applyBorder="1" applyAlignment="1">
      <alignment horizontal="center" wrapText="1"/>
    </xf>
    <xf numFmtId="0" fontId="23" fillId="0" borderId="1" xfId="0" applyFont="1" applyBorder="1" applyAlignment="1" applyProtection="1">
      <alignment horizontal="left" vertical="center"/>
      <protection locked="0"/>
    </xf>
    <xf numFmtId="0" fontId="23" fillId="5" borderId="1" xfId="0"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4" fillId="6" borderId="1" xfId="0" applyFont="1" applyFill="1" applyBorder="1" applyAlignment="1">
      <alignment horizontal="left" vertical="center"/>
    </xf>
    <xf numFmtId="0" fontId="22" fillId="6" borderId="1" xfId="0" applyFont="1" applyFill="1" applyBorder="1" applyAlignment="1">
      <alignment horizontal="left" vertical="center"/>
    </xf>
    <xf numFmtId="0" fontId="25" fillId="0" borderId="1" xfId="0" applyFont="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0" fontId="22" fillId="0" borderId="1" xfId="0" applyFont="1" applyBorder="1" applyAlignment="1">
      <alignment vertical="center"/>
    </xf>
    <xf numFmtId="0" fontId="22" fillId="5" borderId="1" xfId="0" applyFont="1" applyFill="1" applyBorder="1" applyAlignment="1">
      <alignment vertical="center"/>
    </xf>
    <xf numFmtId="0" fontId="22" fillId="5" borderId="1" xfId="0" applyFont="1" applyFill="1" applyBorder="1" applyAlignment="1">
      <alignment horizontal="left" vertical="center"/>
    </xf>
    <xf numFmtId="0" fontId="23" fillId="6" borderId="1" xfId="0" applyFont="1" applyFill="1" applyBorder="1" applyAlignment="1" applyProtection="1">
      <alignment horizontal="left" vertical="center"/>
      <protection locked="0"/>
    </xf>
    <xf numFmtId="0" fontId="24" fillId="0" borderId="1" xfId="0" applyFont="1" applyBorder="1" applyAlignment="1">
      <alignment horizontal="left" vertical="center"/>
    </xf>
    <xf numFmtId="0" fontId="24" fillId="5" borderId="1" xfId="0" applyFont="1" applyFill="1" applyBorder="1" applyAlignment="1">
      <alignment horizontal="left" vertical="center"/>
    </xf>
    <xf numFmtId="0" fontId="22" fillId="6" borderId="1" xfId="0" applyFont="1" applyFill="1" applyBorder="1" applyAlignment="1">
      <alignment vertical="center"/>
    </xf>
    <xf numFmtId="0" fontId="21" fillId="6" borderId="0" xfId="0" applyFont="1" applyFill="1" applyAlignment="1">
      <alignment horizontal="center"/>
    </xf>
    <xf numFmtId="165" fontId="21" fillId="6" borderId="0" xfId="7" applyFont="1" applyFill="1" applyAlignment="1">
      <alignment horizontal="left"/>
    </xf>
    <xf numFmtId="0" fontId="19" fillId="0" borderId="0" xfId="0" applyFont="1" applyBorder="1"/>
    <xf numFmtId="0" fontId="19" fillId="0" borderId="0" xfId="0" applyFont="1"/>
    <xf numFmtId="0" fontId="26" fillId="0" borderId="0" xfId="0" applyFont="1" applyBorder="1" applyAlignment="1">
      <alignment vertical="center"/>
    </xf>
    <xf numFmtId="0" fontId="20" fillId="0" borderId="0" xfId="0" applyFont="1" applyBorder="1"/>
    <xf numFmtId="0" fontId="14" fillId="0" borderId="0" xfId="0" applyFont="1" applyBorder="1" applyAlignment="1">
      <alignment vertical="center"/>
    </xf>
    <xf numFmtId="0" fontId="14" fillId="0" borderId="0" xfId="0" applyFont="1" applyAlignment="1">
      <alignment horizontal="center" vertical="center"/>
    </xf>
    <xf numFmtId="165" fontId="14" fillId="0" borderId="0" xfId="6" applyFont="1" applyAlignment="1">
      <alignment vertical="center"/>
    </xf>
    <xf numFmtId="0" fontId="14"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165" fontId="27" fillId="0" borderId="0" xfId="6" applyFont="1" applyAlignment="1">
      <alignment vertical="center"/>
    </xf>
    <xf numFmtId="165" fontId="26" fillId="0" borderId="0" xfId="6" applyFont="1" applyAlignment="1">
      <alignment horizontal="center" vertical="center"/>
    </xf>
    <xf numFmtId="4" fontId="26" fillId="0" borderId="0" xfId="0" applyNumberFormat="1" applyFont="1" applyAlignment="1">
      <alignment horizontal="center" vertical="center"/>
    </xf>
    <xf numFmtId="167" fontId="26" fillId="0" borderId="0" xfId="0" applyNumberFormat="1" applyFont="1" applyAlignment="1">
      <alignment horizontal="center" vertical="center"/>
    </xf>
    <xf numFmtId="0" fontId="15" fillId="3" borderId="1" xfId="0" applyFont="1" applyFill="1" applyBorder="1" applyAlignment="1">
      <alignment horizontal="center" vertical="center"/>
    </xf>
    <xf numFmtId="0" fontId="28" fillId="4" borderId="1" xfId="0" applyFont="1" applyFill="1" applyBorder="1" applyAlignment="1">
      <alignment horizontal="center" vertical="center"/>
    </xf>
    <xf numFmtId="0" fontId="15" fillId="4" borderId="1" xfId="0" applyFont="1" applyFill="1" applyBorder="1" applyAlignment="1">
      <alignment horizontal="center" vertical="center"/>
    </xf>
    <xf numFmtId="165" fontId="15" fillId="3" borderId="1" xfId="6" applyFont="1" applyFill="1" applyBorder="1" applyAlignment="1">
      <alignment vertical="center"/>
    </xf>
    <xf numFmtId="165" fontId="15" fillId="3" borderId="1" xfId="6" applyFont="1" applyFill="1" applyBorder="1" applyAlignment="1">
      <alignment horizontal="center" vertical="center"/>
    </xf>
    <xf numFmtId="0" fontId="15" fillId="3" borderId="1" xfId="0" applyFont="1" applyFill="1" applyBorder="1" applyAlignment="1">
      <alignment vertical="center"/>
    </xf>
    <xf numFmtId="0" fontId="16" fillId="5" borderId="2" xfId="5" applyFont="1" applyFill="1" applyBorder="1" applyAlignment="1">
      <alignment horizontal="center" vertical="center"/>
    </xf>
    <xf numFmtId="165" fontId="14" fillId="0" borderId="1" xfId="6" applyFont="1" applyBorder="1" applyAlignment="1">
      <alignment vertical="center"/>
    </xf>
    <xf numFmtId="168" fontId="14" fillId="0" borderId="1" xfId="0" applyNumberFormat="1" applyFont="1" applyBorder="1" applyAlignment="1">
      <alignment vertical="center"/>
    </xf>
    <xf numFmtId="4" fontId="14" fillId="0" borderId="1" xfId="0" applyNumberFormat="1" applyFont="1" applyBorder="1" applyAlignment="1">
      <alignment vertical="center"/>
    </xf>
    <xf numFmtId="0" fontId="14" fillId="0" borderId="1" xfId="0" applyFont="1" applyBorder="1" applyAlignment="1">
      <alignment horizontal="right" vertical="center"/>
    </xf>
    <xf numFmtId="169" fontId="14" fillId="0" borderId="1" xfId="0" applyNumberFormat="1" applyFont="1" applyBorder="1" applyAlignment="1">
      <alignment horizontal="right" vertical="center"/>
    </xf>
    <xf numFmtId="0" fontId="20" fillId="6" borderId="0" xfId="0" applyFont="1" applyFill="1"/>
    <xf numFmtId="0" fontId="19" fillId="6" borderId="0" xfId="0" applyFont="1" applyFill="1"/>
    <xf numFmtId="165" fontId="20" fillId="6" borderId="0" xfId="0" applyNumberFormat="1" applyFont="1" applyFill="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30" fillId="6" borderId="0" xfId="0" applyFont="1" applyFill="1" applyBorder="1" applyAlignment="1" applyProtection="1">
      <alignment horizontal="left" vertical="center"/>
      <protection locked="0"/>
    </xf>
    <xf numFmtId="0" fontId="20" fillId="6" borderId="0" xfId="0" applyFont="1" applyFill="1" applyAlignment="1">
      <alignment horizontal="left"/>
    </xf>
    <xf numFmtId="0" fontId="14" fillId="0" borderId="0" xfId="0" applyFont="1"/>
    <xf numFmtId="0" fontId="19" fillId="7" borderId="3" xfId="0" applyFont="1" applyFill="1" applyBorder="1"/>
    <xf numFmtId="0" fontId="20" fillId="7" borderId="4" xfId="0" applyFont="1" applyFill="1" applyBorder="1" applyAlignment="1">
      <alignment wrapText="1"/>
    </xf>
    <xf numFmtId="0" fontId="20" fillId="8" borderId="4" xfId="0" applyFont="1" applyFill="1" applyBorder="1" applyAlignment="1">
      <alignment wrapText="1"/>
    </xf>
    <xf numFmtId="0" fontId="20" fillId="9" borderId="4" xfId="0" applyFont="1" applyFill="1" applyBorder="1" applyAlignment="1">
      <alignment wrapText="1"/>
    </xf>
    <xf numFmtId="0" fontId="20" fillId="9" borderId="5" xfId="0" applyFont="1" applyFill="1" applyBorder="1" applyAlignment="1">
      <alignment wrapText="1"/>
    </xf>
    <xf numFmtId="0" fontId="20" fillId="0" borderId="6" xfId="0" applyFont="1" applyBorder="1"/>
    <xf numFmtId="0" fontId="19" fillId="0" borderId="7" xfId="0" applyFont="1" applyBorder="1"/>
    <xf numFmtId="0" fontId="19" fillId="0" borderId="8" xfId="0" applyFont="1" applyBorder="1"/>
    <xf numFmtId="0" fontId="15" fillId="10" borderId="6" xfId="0" applyFont="1" applyFill="1" applyBorder="1"/>
    <xf numFmtId="0" fontId="14" fillId="10" borderId="7" xfId="0" applyFont="1" applyFill="1" applyBorder="1"/>
    <xf numFmtId="0" fontId="14" fillId="10" borderId="8" xfId="0" applyFont="1" applyFill="1" applyBorder="1"/>
    <xf numFmtId="0" fontId="15" fillId="0" borderId="6" xfId="0" applyFont="1" applyBorder="1"/>
    <xf numFmtId="0" fontId="14" fillId="0" borderId="7" xfId="0" applyFont="1" applyBorder="1"/>
    <xf numFmtId="0" fontId="14" fillId="0" borderId="8" xfId="0" applyFont="1" applyBorder="1"/>
    <xf numFmtId="0" fontId="15" fillId="10" borderId="9" xfId="0" applyFont="1" applyFill="1" applyBorder="1"/>
    <xf numFmtId="0" fontId="14" fillId="10" borderId="10" xfId="0" applyFont="1" applyFill="1" applyBorder="1"/>
    <xf numFmtId="0" fontId="14" fillId="10" borderId="11" xfId="0" applyFont="1" applyFill="1" applyBorder="1"/>
    <xf numFmtId="0" fontId="19" fillId="0" borderId="12" xfId="0" applyFont="1" applyBorder="1"/>
    <xf numFmtId="0" fontId="19" fillId="0" borderId="13" xfId="0" applyFont="1" applyBorder="1"/>
    <xf numFmtId="0" fontId="19" fillId="0" borderId="5" xfId="0" applyFont="1" applyBorder="1"/>
    <xf numFmtId="0" fontId="20" fillId="11" borderId="14" xfId="0" applyFont="1" applyFill="1" applyBorder="1"/>
    <xf numFmtId="0" fontId="19" fillId="11" borderId="0" xfId="0" applyFont="1" applyFill="1" applyBorder="1"/>
    <xf numFmtId="0" fontId="19" fillId="0" borderId="14" xfId="0" applyFont="1" applyBorder="1"/>
    <xf numFmtId="0" fontId="31" fillId="12" borderId="15" xfId="0" applyFont="1" applyFill="1" applyBorder="1"/>
    <xf numFmtId="0" fontId="32" fillId="12" borderId="16" xfId="0" applyFont="1" applyFill="1" applyBorder="1"/>
    <xf numFmtId="165" fontId="14" fillId="0" borderId="0" xfId="7" applyFont="1"/>
    <xf numFmtId="165" fontId="20" fillId="8" borderId="0" xfId="7" applyFont="1" applyFill="1" applyBorder="1"/>
    <xf numFmtId="165" fontId="19" fillId="11" borderId="0" xfId="7" applyFont="1" applyFill="1" applyBorder="1"/>
    <xf numFmtId="165" fontId="20" fillId="9" borderId="8" xfId="7" applyFont="1" applyFill="1" applyBorder="1"/>
    <xf numFmtId="165" fontId="19" fillId="0" borderId="0" xfId="7" applyFont="1" applyBorder="1"/>
    <xf numFmtId="165" fontId="19" fillId="0" borderId="8" xfId="7" applyFont="1" applyBorder="1"/>
    <xf numFmtId="165" fontId="32" fillId="12" borderId="16" xfId="7" applyFont="1" applyFill="1" applyBorder="1"/>
    <xf numFmtId="165" fontId="31" fillId="12" borderId="11" xfId="7" applyFont="1" applyFill="1" applyBorder="1"/>
    <xf numFmtId="165" fontId="14" fillId="13" borderId="0" xfId="7" applyFont="1" applyFill="1"/>
    <xf numFmtId="0" fontId="22" fillId="0" borderId="0" xfId="0" applyFont="1"/>
    <xf numFmtId="0" fontId="33"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vertical="top" wrapText="1"/>
    </xf>
    <xf numFmtId="0" fontId="21" fillId="0" borderId="0" xfId="0" applyFont="1" applyAlignment="1">
      <alignment wrapText="1"/>
    </xf>
    <xf numFmtId="0" fontId="35" fillId="6" borderId="0" xfId="0" applyFont="1" applyFill="1" applyBorder="1" applyAlignment="1" applyProtection="1">
      <alignment horizontal="left" vertical="center"/>
      <protection locked="0"/>
    </xf>
    <xf numFmtId="0" fontId="22" fillId="6" borderId="0" xfId="0" applyFont="1" applyFill="1"/>
    <xf numFmtId="165" fontId="14" fillId="0" borderId="0" xfId="0" applyNumberFormat="1" applyFont="1"/>
    <xf numFmtId="0" fontId="15" fillId="9" borderId="0" xfId="0" applyFont="1" applyFill="1"/>
    <xf numFmtId="0" fontId="15" fillId="14" borderId="0" xfId="0" applyFont="1" applyFill="1" applyAlignment="1">
      <alignment horizontal="center"/>
    </xf>
    <xf numFmtId="170" fontId="14" fillId="0" borderId="0" xfId="0" applyNumberFormat="1" applyFont="1"/>
    <xf numFmtId="164" fontId="14" fillId="0" borderId="0" xfId="0" applyNumberFormat="1" applyFont="1"/>
    <xf numFmtId="166" fontId="14" fillId="0" borderId="0" xfId="8" applyFont="1"/>
    <xf numFmtId="164" fontId="15" fillId="15" borderId="0" xfId="0" applyNumberFormat="1" applyFont="1" applyFill="1"/>
    <xf numFmtId="165" fontId="15" fillId="15" borderId="0" xfId="0" applyNumberFormat="1" applyFont="1" applyFill="1"/>
    <xf numFmtId="171" fontId="14" fillId="10" borderId="7" xfId="8" applyNumberFormat="1" applyFont="1" applyFill="1" applyBorder="1"/>
    <xf numFmtId="171" fontId="14" fillId="0" borderId="7" xfId="8" applyNumberFormat="1" applyFont="1" applyBorder="1"/>
    <xf numFmtId="171" fontId="14" fillId="10" borderId="10" xfId="8" applyNumberFormat="1" applyFont="1" applyFill="1" applyBorder="1"/>
    <xf numFmtId="170" fontId="36" fillId="16" borderId="0" xfId="0" applyNumberFormat="1" applyFont="1" applyFill="1"/>
    <xf numFmtId="0" fontId="14" fillId="0" borderId="0" xfId="0" applyFont="1" applyAlignment="1">
      <alignment wrapText="1"/>
    </xf>
    <xf numFmtId="0" fontId="15" fillId="14" borderId="0" xfId="0" applyFont="1" applyFill="1" applyAlignment="1">
      <alignment horizontal="center" vertical="center" wrapText="1"/>
    </xf>
    <xf numFmtId="9" fontId="14" fillId="0" borderId="0" xfId="0" applyNumberFormat="1" applyFont="1"/>
    <xf numFmtId="0" fontId="15" fillId="17" borderId="0" xfId="0" applyFont="1" applyFill="1" applyAlignment="1">
      <alignment horizontal="center" vertical="center" wrapText="1"/>
    </xf>
    <xf numFmtId="0" fontId="15" fillId="0" borderId="0" xfId="0" applyFont="1" applyFill="1" applyAlignment="1">
      <alignment horizontal="center" vertical="center" wrapText="1"/>
    </xf>
    <xf numFmtId="0" fontId="0" fillId="0" borderId="0" xfId="0" applyFill="1"/>
    <xf numFmtId="0" fontId="26" fillId="10" borderId="6" xfId="0" applyFont="1" applyFill="1" applyBorder="1" applyAlignment="1">
      <alignment wrapText="1"/>
    </xf>
    <xf numFmtId="0" fontId="26" fillId="0" borderId="6" xfId="0" applyFont="1" applyBorder="1" applyAlignment="1">
      <alignment wrapText="1"/>
    </xf>
    <xf numFmtId="0" fontId="26" fillId="0" borderId="6" xfId="0" applyFont="1" applyBorder="1"/>
    <xf numFmtId="0" fontId="38" fillId="0" borderId="7" xfId="0" applyFont="1" applyBorder="1"/>
    <xf numFmtId="171" fontId="38" fillId="0" borderId="7" xfId="8" applyNumberFormat="1" applyFont="1" applyBorder="1"/>
    <xf numFmtId="0" fontId="38" fillId="10" borderId="7" xfId="0" applyFont="1" applyFill="1" applyBorder="1"/>
    <xf numFmtId="171" fontId="38" fillId="10" borderId="7" xfId="8" applyNumberFormat="1" applyFont="1" applyFill="1" applyBorder="1"/>
    <xf numFmtId="171" fontId="0" fillId="0" borderId="0" xfId="0" applyNumberFormat="1"/>
    <xf numFmtId="0" fontId="39" fillId="0" borderId="0" xfId="0" applyFont="1"/>
    <xf numFmtId="0" fontId="0" fillId="0" borderId="1" xfId="0" applyBorder="1"/>
    <xf numFmtId="0" fontId="0" fillId="0" borderId="1" xfId="0" applyBorder="1" applyAlignment="1">
      <alignment horizontal="left"/>
    </xf>
    <xf numFmtId="166" fontId="0" fillId="0" borderId="1" xfId="8" applyFont="1" applyBorder="1"/>
    <xf numFmtId="0" fontId="40" fillId="0" borderId="0" xfId="0" applyFont="1"/>
    <xf numFmtId="0" fontId="41" fillId="0" borderId="0" xfId="0" applyFont="1"/>
    <xf numFmtId="166" fontId="41" fillId="0" borderId="0" xfId="8" applyFont="1"/>
    <xf numFmtId="0" fontId="0" fillId="0" borderId="0" xfId="0" applyFont="1"/>
    <xf numFmtId="0" fontId="0" fillId="0" borderId="0" xfId="0" applyAlignment="1">
      <alignment horizontal="center"/>
    </xf>
    <xf numFmtId="0" fontId="41" fillId="0" borderId="0" xfId="0" applyFont="1" applyAlignment="1">
      <alignment horizontal="center"/>
    </xf>
    <xf numFmtId="172" fontId="0" fillId="0" borderId="0" xfId="0" applyNumberFormat="1"/>
    <xf numFmtId="172" fontId="41" fillId="0" borderId="0" xfId="0" applyNumberFormat="1" applyFont="1"/>
    <xf numFmtId="170" fontId="37" fillId="17" borderId="0" xfId="0" applyNumberFormat="1" applyFont="1" applyFill="1"/>
    <xf numFmtId="170" fontId="13" fillId="17" borderId="0" xfId="0" applyNumberFormat="1" applyFont="1" applyFill="1"/>
    <xf numFmtId="0" fontId="42" fillId="0" borderId="0" xfId="0" applyFont="1" applyAlignment="1">
      <alignment horizontal="center"/>
    </xf>
    <xf numFmtId="0" fontId="42" fillId="0" borderId="0" xfId="0" applyFont="1" applyFill="1" applyAlignment="1">
      <alignment horizontal="center"/>
    </xf>
    <xf numFmtId="166" fontId="39" fillId="0" borderId="0" xfId="8" applyFont="1"/>
    <xf numFmtId="0" fontId="44" fillId="0" borderId="0" xfId="0" applyFont="1"/>
    <xf numFmtId="0" fontId="45" fillId="0" borderId="0" xfId="0" applyFont="1"/>
    <xf numFmtId="0" fontId="42" fillId="18" borderId="0" xfId="0" applyFont="1" applyFill="1"/>
    <xf numFmtId="0" fontId="43" fillId="18" borderId="0" xfId="0" applyFont="1" applyFill="1"/>
    <xf numFmtId="172" fontId="42" fillId="18" borderId="0" xfId="0" applyNumberFormat="1" applyFont="1" applyFill="1"/>
    <xf numFmtId="0" fontId="41" fillId="19" borderId="0" xfId="0" applyFont="1" applyFill="1"/>
    <xf numFmtId="170" fontId="0" fillId="0" borderId="0" xfId="0" applyNumberFormat="1"/>
    <xf numFmtId="170" fontId="0" fillId="0" borderId="0" xfId="0" applyNumberFormat="1" applyFill="1"/>
    <xf numFmtId="43" fontId="14" fillId="0" borderId="0" xfId="0" applyNumberFormat="1" applyFont="1"/>
    <xf numFmtId="9" fontId="38" fillId="0" borderId="0" xfId="0" applyNumberFormat="1" applyFont="1"/>
    <xf numFmtId="170" fontId="36" fillId="20" borderId="0" xfId="0" applyNumberFormat="1" applyFont="1" applyFill="1"/>
  </cellXfs>
  <cellStyles count="9">
    <cellStyle name="Comma" xfId="8" builtinId="3"/>
    <cellStyle name="Currency" xfId="7" builtinId="4"/>
    <cellStyle name="Currency 2" xfId="6"/>
    <cellStyle name="Good" xfId="5" builtinId="26"/>
    <cellStyle name="Good 2" xfId="3"/>
    <cellStyle name="Normal" xfId="0" builtinId="0"/>
    <cellStyle name="Normal 2" xfId="2"/>
    <cellStyle name="Normal 3" xfId="1"/>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oboklon.com/index.php?prodid=34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33"/>
  <sheetViews>
    <sheetView tabSelected="1" topLeftCell="A11" zoomScale="110" zoomScaleNormal="110" workbookViewId="0">
      <selection activeCell="D25" sqref="D25"/>
    </sheetView>
  </sheetViews>
  <sheetFormatPr defaultRowHeight="14.4"/>
  <cols>
    <col min="2" max="2" width="39.33203125" customWidth="1"/>
    <col min="3" max="3" width="25" customWidth="1"/>
    <col min="4" max="4" width="88.44140625" customWidth="1"/>
    <col min="5" max="5" width="22" customWidth="1"/>
    <col min="6" max="6" width="18.33203125" customWidth="1"/>
    <col min="7" max="7" width="37.109375" customWidth="1"/>
    <col min="8" max="8" width="18.44140625" customWidth="1"/>
    <col min="9" max="9" width="19.6640625" style="132" customWidth="1"/>
  </cols>
  <sheetData>
    <row r="1" spans="1:9" ht="58.5" customHeight="1">
      <c r="B1" s="117" t="s">
        <v>176</v>
      </c>
      <c r="C1" s="117" t="s">
        <v>199</v>
      </c>
      <c r="D1" s="117" t="s">
        <v>190</v>
      </c>
      <c r="E1" s="128" t="s">
        <v>200</v>
      </c>
      <c r="F1" s="130" t="s">
        <v>201</v>
      </c>
      <c r="G1" s="128" t="s">
        <v>202</v>
      </c>
      <c r="H1" s="130" t="s">
        <v>201</v>
      </c>
      <c r="I1" s="131"/>
    </row>
    <row r="2" spans="1:9" ht="53.4">
      <c r="B2" s="73" t="s">
        <v>177</v>
      </c>
      <c r="C2" s="154">
        <f>PPEs!J32+PPEs!K32</f>
        <v>65614100</v>
      </c>
      <c r="D2" s="127" t="s">
        <v>194</v>
      </c>
      <c r="E2" s="118">
        <f>C2*F2</f>
        <v>45929870</v>
      </c>
      <c r="F2" s="129">
        <v>0.7</v>
      </c>
      <c r="G2" s="118">
        <f>C2*H2</f>
        <v>19684230.000000004</v>
      </c>
      <c r="H2" s="129">
        <f>100%-F2</f>
        <v>0.30000000000000004</v>
      </c>
      <c r="I2" s="165"/>
    </row>
    <row r="3" spans="1:9" ht="15.6">
      <c r="B3" s="73" t="s">
        <v>193</v>
      </c>
      <c r="C3" s="154">
        <f>PPEs!J31+PPEs!K31</f>
        <v>9160860</v>
      </c>
      <c r="D3" s="73" t="s">
        <v>191</v>
      </c>
      <c r="E3" s="118">
        <f>C3*F3</f>
        <v>9160860</v>
      </c>
      <c r="F3" s="129">
        <v>1</v>
      </c>
      <c r="G3" s="118">
        <f t="shared" ref="G3:G11" si="0">C3*H3</f>
        <v>0</v>
      </c>
      <c r="H3" s="129">
        <f>100%-F3</f>
        <v>0</v>
      </c>
      <c r="I3" s="165"/>
    </row>
    <row r="4" spans="1:9" ht="15.6">
      <c r="B4" s="73" t="str">
        <f>PPEs!I33</f>
        <v>Emergency/Ambulance service equipment</v>
      </c>
      <c r="C4" s="154">
        <f>PPEs!J33</f>
        <v>14925000</v>
      </c>
      <c r="D4" s="73" t="s">
        <v>222</v>
      </c>
      <c r="E4" s="118">
        <f>C4*F4</f>
        <v>14925000</v>
      </c>
      <c r="F4" s="129">
        <v>1</v>
      </c>
      <c r="G4" s="118">
        <f t="shared" si="0"/>
        <v>0</v>
      </c>
      <c r="H4" s="129"/>
      <c r="I4" s="165"/>
    </row>
    <row r="5" spans="1:9" ht="66.599999999999994">
      <c r="B5" s="73" t="s">
        <v>178</v>
      </c>
      <c r="C5" s="154">
        <f>'Lugar - testing'!F32+'PPE - reg.labs'!F29+'Testing - reg.labs'!F22+'Abkhazia - labs'!F23</f>
        <v>975296.25722711417</v>
      </c>
      <c r="D5" s="127" t="s">
        <v>192</v>
      </c>
      <c r="E5" s="115">
        <f>C5*F5</f>
        <v>3901185.0289084567</v>
      </c>
      <c r="F5" s="167">
        <v>4</v>
      </c>
      <c r="G5" s="118">
        <f t="shared" si="0"/>
        <v>1950592.5144542283</v>
      </c>
      <c r="H5" s="167">
        <v>2</v>
      </c>
      <c r="I5" s="165"/>
    </row>
    <row r="6" spans="1:9" ht="18">
      <c r="B6" s="116" t="s">
        <v>179</v>
      </c>
      <c r="C6" s="153">
        <f>C7+C11+C15+C17+C20</f>
        <v>77500000</v>
      </c>
      <c r="D6" s="73"/>
      <c r="E6" s="73"/>
      <c r="F6" s="129"/>
      <c r="G6" s="118">
        <f t="shared" si="0"/>
        <v>0</v>
      </c>
      <c r="H6" s="129"/>
      <c r="I6" s="165"/>
    </row>
    <row r="7" spans="1:9">
      <c r="A7">
        <v>1</v>
      </c>
      <c r="B7" s="73" t="s">
        <v>195</v>
      </c>
      <c r="C7" s="121">
        <f>C8+C9+C10</f>
        <v>25000000</v>
      </c>
      <c r="D7" s="73" t="s">
        <v>180</v>
      </c>
      <c r="E7" s="118">
        <f>C7*F7</f>
        <v>25000000</v>
      </c>
      <c r="F7" s="129">
        <v>1</v>
      </c>
      <c r="G7" s="118">
        <f t="shared" si="0"/>
        <v>0</v>
      </c>
      <c r="H7" s="129">
        <f>100%-F7</f>
        <v>0</v>
      </c>
      <c r="I7" s="165"/>
    </row>
    <row r="8" spans="1:9">
      <c r="B8" s="73" t="s">
        <v>185</v>
      </c>
      <c r="C8" s="118">
        <v>12000000</v>
      </c>
      <c r="D8" s="73"/>
      <c r="E8" s="73"/>
      <c r="F8" s="129"/>
      <c r="G8" s="118">
        <f t="shared" si="0"/>
        <v>0</v>
      </c>
      <c r="H8" s="129"/>
      <c r="I8" s="165"/>
    </row>
    <row r="9" spans="1:9">
      <c r="B9" s="73" t="s">
        <v>186</v>
      </c>
      <c r="C9" s="118">
        <v>5000000</v>
      </c>
      <c r="D9" s="73"/>
      <c r="E9" s="73"/>
      <c r="F9" s="129"/>
      <c r="G9" s="118">
        <f t="shared" si="0"/>
        <v>0</v>
      </c>
      <c r="H9" s="129"/>
      <c r="I9" s="165"/>
    </row>
    <row r="10" spans="1:9">
      <c r="B10" s="73" t="s">
        <v>166</v>
      </c>
      <c r="C10" s="118">
        <v>8000000</v>
      </c>
      <c r="D10" s="73"/>
      <c r="E10" s="73"/>
      <c r="F10" s="129"/>
      <c r="G10" s="118">
        <f t="shared" si="0"/>
        <v>0</v>
      </c>
      <c r="H10" s="129"/>
      <c r="I10" s="165"/>
    </row>
    <row r="11" spans="1:9">
      <c r="A11">
        <v>2</v>
      </c>
      <c r="B11" s="73" t="s">
        <v>196</v>
      </c>
      <c r="C11" s="121">
        <f>C12+C13</f>
        <v>17000000</v>
      </c>
      <c r="D11" s="73" t="s">
        <v>181</v>
      </c>
      <c r="E11" s="119">
        <f>C11*F11</f>
        <v>8500000</v>
      </c>
      <c r="F11" s="129">
        <v>0.5</v>
      </c>
      <c r="G11" s="118">
        <f t="shared" si="0"/>
        <v>8500000</v>
      </c>
      <c r="H11" s="129">
        <f>100%-F11</f>
        <v>0.5</v>
      </c>
      <c r="I11" s="165"/>
    </row>
    <row r="12" spans="1:9">
      <c r="B12" s="73" t="s">
        <v>186</v>
      </c>
      <c r="C12" s="118">
        <v>10000000</v>
      </c>
      <c r="D12" s="73"/>
      <c r="E12" s="73"/>
      <c r="F12" s="129"/>
      <c r="G12" s="118">
        <f t="shared" ref="G3:G28" si="1">C12*H12</f>
        <v>0</v>
      </c>
      <c r="H12" s="129"/>
      <c r="I12" s="165"/>
    </row>
    <row r="13" spans="1:9">
      <c r="B13" s="73" t="s">
        <v>166</v>
      </c>
      <c r="C13" s="118">
        <v>7000000</v>
      </c>
      <c r="D13" s="120"/>
      <c r="E13" s="73"/>
      <c r="F13" s="129"/>
      <c r="G13" s="118">
        <f t="shared" si="1"/>
        <v>0</v>
      </c>
      <c r="H13" s="129"/>
      <c r="I13" s="165"/>
    </row>
    <row r="14" spans="1:9">
      <c r="B14" s="73"/>
      <c r="C14" s="115"/>
      <c r="D14" s="73"/>
      <c r="E14" s="73"/>
      <c r="F14" s="129"/>
      <c r="G14" s="118">
        <f t="shared" si="1"/>
        <v>0</v>
      </c>
      <c r="H14" s="129"/>
      <c r="I14" s="165"/>
    </row>
    <row r="15" spans="1:9">
      <c r="A15">
        <v>3</v>
      </c>
      <c r="B15" s="73" t="s">
        <v>197</v>
      </c>
      <c r="C15" s="121">
        <f>C16</f>
        <v>13500000</v>
      </c>
      <c r="D15" s="73" t="s">
        <v>182</v>
      </c>
      <c r="E15" s="119">
        <f>C15*F15</f>
        <v>13500000</v>
      </c>
      <c r="F15" s="129">
        <v>1</v>
      </c>
      <c r="G15" s="118">
        <f t="shared" si="1"/>
        <v>0</v>
      </c>
      <c r="H15" s="129">
        <f>100%-F15</f>
        <v>0</v>
      </c>
      <c r="I15" s="165"/>
    </row>
    <row r="16" spans="1:9">
      <c r="B16" s="73" t="s">
        <v>187</v>
      </c>
      <c r="C16" s="119">
        <v>13500000</v>
      </c>
      <c r="D16" s="73"/>
      <c r="E16" s="73"/>
      <c r="F16" s="129"/>
      <c r="G16" s="118">
        <f t="shared" si="1"/>
        <v>0</v>
      </c>
      <c r="H16" s="129"/>
      <c r="I16" s="165"/>
    </row>
    <row r="17" spans="1:9">
      <c r="A17">
        <v>4</v>
      </c>
      <c r="B17" s="73" t="s">
        <v>188</v>
      </c>
      <c r="C17" s="122">
        <f>C18</f>
        <v>10000000</v>
      </c>
      <c r="D17" s="73" t="s">
        <v>183</v>
      </c>
      <c r="E17" s="115"/>
      <c r="F17" s="129"/>
      <c r="G17" s="118"/>
      <c r="H17" s="129"/>
      <c r="I17" s="165"/>
    </row>
    <row r="18" spans="1:9">
      <c r="B18" s="73" t="s">
        <v>166</v>
      </c>
      <c r="C18" s="115">
        <v>10000000</v>
      </c>
      <c r="D18" s="73"/>
      <c r="E18" s="166">
        <f>C18*F18</f>
        <v>10000000</v>
      </c>
      <c r="F18" s="129">
        <v>1</v>
      </c>
      <c r="G18" s="118">
        <f t="shared" si="1"/>
        <v>0</v>
      </c>
      <c r="H18" s="129">
        <f t="shared" ref="H18:H24" si="2">100%-F18</f>
        <v>0</v>
      </c>
      <c r="I18" s="165"/>
    </row>
    <row r="19" spans="1:9">
      <c r="B19" s="73"/>
      <c r="C19" s="115"/>
      <c r="D19" s="73"/>
      <c r="E19" s="73"/>
      <c r="F19" s="129"/>
      <c r="G19" s="118">
        <f t="shared" si="1"/>
        <v>0</v>
      </c>
      <c r="H19" s="129">
        <f t="shared" si="2"/>
        <v>1</v>
      </c>
      <c r="I19" s="165"/>
    </row>
    <row r="20" spans="1:9">
      <c r="A20">
        <v>5</v>
      </c>
      <c r="B20" s="73" t="s">
        <v>198</v>
      </c>
      <c r="C20" s="122">
        <f>C21+C22</f>
        <v>12000000</v>
      </c>
      <c r="D20" s="73" t="s">
        <v>184</v>
      </c>
      <c r="E20" s="115"/>
      <c r="F20" s="129"/>
      <c r="G20" s="118"/>
      <c r="H20" s="129">
        <f t="shared" si="2"/>
        <v>1</v>
      </c>
      <c r="I20" s="165"/>
    </row>
    <row r="21" spans="1:9">
      <c r="B21" s="73" t="s">
        <v>186</v>
      </c>
      <c r="C21" s="118">
        <v>5000000</v>
      </c>
      <c r="E21" s="115">
        <f>C21*F21</f>
        <v>2500000</v>
      </c>
      <c r="F21" s="129">
        <v>0.5</v>
      </c>
      <c r="G21" s="118">
        <f t="shared" si="1"/>
        <v>2500000</v>
      </c>
      <c r="H21" s="129">
        <f t="shared" si="2"/>
        <v>0.5</v>
      </c>
      <c r="I21" s="165"/>
    </row>
    <row r="22" spans="1:9">
      <c r="B22" s="73" t="s">
        <v>166</v>
      </c>
      <c r="C22" s="118">
        <v>7000000</v>
      </c>
      <c r="E22" s="115">
        <f>C22*F22</f>
        <v>3500000</v>
      </c>
      <c r="F22" s="129">
        <v>0.5</v>
      </c>
      <c r="G22" s="118">
        <f t="shared" si="1"/>
        <v>3500000</v>
      </c>
      <c r="H22" s="129">
        <f t="shared" si="2"/>
        <v>0.5</v>
      </c>
      <c r="I22" s="165"/>
    </row>
    <row r="23" spans="1:9" ht="18">
      <c r="A23">
        <v>6</v>
      </c>
      <c r="B23" s="145" t="s">
        <v>224</v>
      </c>
      <c r="C23" s="153">
        <f>C24+C25</f>
        <v>20000000</v>
      </c>
      <c r="E23" s="115"/>
      <c r="F23" s="129"/>
      <c r="G23" s="118"/>
      <c r="H23" s="129"/>
      <c r="I23" s="165"/>
    </row>
    <row r="24" spans="1:9">
      <c r="B24" s="73" t="s">
        <v>225</v>
      </c>
      <c r="C24" s="118">
        <v>10000000</v>
      </c>
      <c r="E24" s="115">
        <f>C24*F24</f>
        <v>10000000</v>
      </c>
      <c r="F24" s="129">
        <v>1</v>
      </c>
      <c r="G24" s="118">
        <f t="shared" si="1"/>
        <v>0</v>
      </c>
      <c r="H24" s="129">
        <f t="shared" si="2"/>
        <v>0</v>
      </c>
      <c r="I24" s="165"/>
    </row>
    <row r="25" spans="1:9">
      <c r="B25" s="73" t="s">
        <v>226</v>
      </c>
      <c r="C25" s="118">
        <v>10000000</v>
      </c>
      <c r="E25" s="115">
        <f>C25*F25</f>
        <v>7000000</v>
      </c>
      <c r="F25" s="129">
        <v>0.7</v>
      </c>
      <c r="G25" s="118">
        <f t="shared" si="1"/>
        <v>3000000.0000000005</v>
      </c>
      <c r="H25" s="129">
        <f>100%-F25</f>
        <v>0.30000000000000004</v>
      </c>
      <c r="I25" s="165"/>
    </row>
    <row r="26" spans="1:9" ht="18">
      <c r="B26" s="145" t="s">
        <v>223</v>
      </c>
      <c r="C26" s="153">
        <f>C27+C28</f>
        <v>25575483.870967738</v>
      </c>
      <c r="E26" s="115"/>
      <c r="F26" s="129">
        <v>1</v>
      </c>
      <c r="G26" s="118">
        <f t="shared" si="1"/>
        <v>0</v>
      </c>
      <c r="H26" s="129">
        <f>100%-F26</f>
        <v>0</v>
      </c>
      <c r="I26" s="165"/>
    </row>
    <row r="27" spans="1:9" ht="58.2" customHeight="1">
      <c r="B27" s="127" t="s">
        <v>227</v>
      </c>
      <c r="C27" s="118">
        <f>Servicecosts!G20</f>
        <v>15575483.87096774</v>
      </c>
      <c r="D27" s="127" t="s">
        <v>246</v>
      </c>
      <c r="E27" s="115">
        <f>C27*F27</f>
        <v>15575483.87096774</v>
      </c>
      <c r="F27" s="129">
        <v>1</v>
      </c>
      <c r="G27" s="118">
        <f t="shared" si="1"/>
        <v>0</v>
      </c>
      <c r="H27" s="129">
        <f>100%-F27</f>
        <v>0</v>
      </c>
      <c r="I27" s="165"/>
    </row>
    <row r="28" spans="1:9" ht="27">
      <c r="B28" s="73" t="s">
        <v>228</v>
      </c>
      <c r="C28" s="118">
        <v>10000000</v>
      </c>
      <c r="D28" s="127" t="s">
        <v>229</v>
      </c>
      <c r="E28" s="115">
        <f>C28*F28</f>
        <v>10000000</v>
      </c>
      <c r="F28" s="129">
        <v>1</v>
      </c>
      <c r="G28" s="118">
        <f t="shared" si="1"/>
        <v>0</v>
      </c>
      <c r="H28" s="129">
        <f>100%-F28</f>
        <v>0</v>
      </c>
      <c r="I28" s="165"/>
    </row>
    <row r="29" spans="1:9" s="155" customFormat="1" ht="20.399999999999999">
      <c r="E29" s="155" t="s">
        <v>247</v>
      </c>
      <c r="G29" s="155" t="s">
        <v>248</v>
      </c>
      <c r="I29" s="156"/>
    </row>
    <row r="30" spans="1:9" ht="20.399999999999999">
      <c r="B30" s="73" t="s">
        <v>168</v>
      </c>
      <c r="D30" s="168">
        <f>E30+G30</f>
        <v>218627221.41433042</v>
      </c>
      <c r="E30" s="126">
        <f>SUM(E2:E28)</f>
        <v>179492398.89987621</v>
      </c>
      <c r="F30" s="126"/>
      <c r="G30" s="126">
        <f>SUM(G2:G28)</f>
        <v>39134822.514454231</v>
      </c>
      <c r="H30" s="126"/>
    </row>
    <row r="32" spans="1:9">
      <c r="G32" s="164"/>
    </row>
    <row r="33" spans="8:8">
      <c r="H33" s="14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B3:I20"/>
  <sheetViews>
    <sheetView workbookViewId="0">
      <selection sqref="A1:XFD11"/>
    </sheetView>
  </sheetViews>
  <sheetFormatPr defaultRowHeight="14.4"/>
  <cols>
    <col min="2" max="2" width="53.109375" customWidth="1"/>
    <col min="3" max="3" width="20" customWidth="1"/>
    <col min="5" max="5" width="17.6640625" customWidth="1"/>
    <col min="6" max="6" width="13.5546875" bestFit="1" customWidth="1"/>
    <col min="7" max="7" width="26.5546875" customWidth="1"/>
    <col min="8" max="8" width="15" customWidth="1"/>
    <col min="9" max="9" width="18.88671875" customWidth="1"/>
    <col min="10" max="10" width="9" bestFit="1" customWidth="1"/>
  </cols>
  <sheetData>
    <row r="3" spans="2:9" hidden="1">
      <c r="B3" s="143" t="s">
        <v>212</v>
      </c>
      <c r="C3" s="143"/>
      <c r="D3" s="143"/>
      <c r="E3" s="143"/>
      <c r="F3" s="143"/>
      <c r="G3" s="143"/>
      <c r="H3" s="144">
        <v>40000000</v>
      </c>
      <c r="I3" s="142" t="s">
        <v>218</v>
      </c>
    </row>
    <row r="4" spans="2:9" hidden="1">
      <c r="B4" s="143" t="s">
        <v>213</v>
      </c>
      <c r="C4" s="143"/>
      <c r="D4" s="143"/>
      <c r="E4" s="143"/>
      <c r="F4" s="143"/>
      <c r="G4" s="143"/>
      <c r="H4" s="144">
        <v>30000000</v>
      </c>
      <c r="I4" s="142" t="s">
        <v>219</v>
      </c>
    </row>
    <row r="5" spans="2:9" hidden="1">
      <c r="B5" s="143" t="s">
        <v>214</v>
      </c>
      <c r="C5" s="143"/>
      <c r="D5" s="143"/>
      <c r="E5" s="143"/>
      <c r="F5" s="143"/>
      <c r="G5" s="143"/>
      <c r="H5" s="144">
        <v>40000000</v>
      </c>
      <c r="I5" s="144"/>
    </row>
    <row r="6" spans="2:9" hidden="1">
      <c r="B6" s="143" t="s">
        <v>215</v>
      </c>
      <c r="C6" s="143"/>
      <c r="D6" s="143"/>
      <c r="E6" s="143"/>
      <c r="F6" s="143"/>
      <c r="G6" s="143"/>
      <c r="H6" s="144">
        <v>30000000</v>
      </c>
      <c r="I6" s="142"/>
    </row>
    <row r="7" spans="2:9" hidden="1">
      <c r="B7" s="143" t="s">
        <v>216</v>
      </c>
      <c r="C7" s="143"/>
      <c r="D7" s="143"/>
      <c r="E7" s="143"/>
      <c r="F7" s="143"/>
      <c r="G7" s="143"/>
      <c r="H7" s="144">
        <v>37800000</v>
      </c>
      <c r="I7" s="142"/>
    </row>
    <row r="8" spans="2:9" hidden="1">
      <c r="B8" s="143" t="s">
        <v>220</v>
      </c>
      <c r="C8" s="143"/>
      <c r="D8" s="143"/>
      <c r="E8" s="143"/>
      <c r="F8" s="143"/>
      <c r="G8" s="143"/>
      <c r="H8" s="144">
        <v>20000000</v>
      </c>
      <c r="I8" s="142"/>
    </row>
    <row r="9" spans="2:9" hidden="1">
      <c r="B9" s="143" t="s">
        <v>217</v>
      </c>
      <c r="C9" s="143"/>
      <c r="D9" s="143"/>
      <c r="E9" s="143"/>
      <c r="F9" s="143"/>
      <c r="G9" s="143"/>
      <c r="H9" s="144">
        <v>30000000</v>
      </c>
      <c r="I9" s="142"/>
    </row>
    <row r="10" spans="2:9" hidden="1">
      <c r="H10" s="157">
        <f>SUM(H3:H9)</f>
        <v>227800000</v>
      </c>
    </row>
    <row r="11" spans="2:9" ht="21">
      <c r="B11" s="158" t="s">
        <v>245</v>
      </c>
      <c r="C11" s="158" t="s">
        <v>235</v>
      </c>
      <c r="D11" s="158" t="s">
        <v>236</v>
      </c>
      <c r="E11" s="159"/>
      <c r="F11" s="158" t="s">
        <v>243</v>
      </c>
      <c r="G11" s="158" t="s">
        <v>244</v>
      </c>
      <c r="H11" s="146" t="s">
        <v>249</v>
      </c>
    </row>
    <row r="12" spans="2:9">
      <c r="B12" s="146" t="s">
        <v>230</v>
      </c>
      <c r="C12" s="147">
        <v>800000</v>
      </c>
      <c r="D12" s="149">
        <v>1</v>
      </c>
      <c r="G12" s="152">
        <f>C12/H14</f>
        <v>258064.51612903224</v>
      </c>
    </row>
    <row r="13" spans="2:9">
      <c r="B13" s="146" t="s">
        <v>231</v>
      </c>
      <c r="D13" s="149"/>
      <c r="G13" s="146"/>
    </row>
    <row r="14" spans="2:9">
      <c r="B14" s="146" t="s">
        <v>232</v>
      </c>
      <c r="C14" s="146">
        <f>120*1050*30</f>
        <v>3780000</v>
      </c>
      <c r="D14" s="150">
        <v>2</v>
      </c>
      <c r="E14" s="146" t="s">
        <v>237</v>
      </c>
      <c r="F14" s="146">
        <f>C14*D14</f>
        <v>7560000</v>
      </c>
      <c r="G14" s="152">
        <f>F14/$H$14</f>
        <v>2438709.6774193547</v>
      </c>
      <c r="H14" s="163">
        <v>3.1</v>
      </c>
    </row>
    <row r="15" spans="2:9">
      <c r="B15" s="146" t="s">
        <v>233</v>
      </c>
      <c r="C15" s="146">
        <f>120*2000*30</f>
        <v>7200000</v>
      </c>
      <c r="D15" s="150">
        <v>1</v>
      </c>
      <c r="E15" s="146" t="s">
        <v>238</v>
      </c>
      <c r="F15" s="146">
        <f t="shared" ref="F15:F18" si="0">C15*D15</f>
        <v>7200000</v>
      </c>
      <c r="G15" s="152">
        <f t="shared" ref="G15:G18" si="1">F15/$H$14</f>
        <v>2322580.6451612902</v>
      </c>
    </row>
    <row r="16" spans="2:9">
      <c r="B16" s="146" t="s">
        <v>234</v>
      </c>
      <c r="C16" s="146">
        <f>120*4040*30</f>
        <v>14544000</v>
      </c>
      <c r="D16" s="150">
        <v>1</v>
      </c>
      <c r="E16" s="146" t="s">
        <v>239</v>
      </c>
      <c r="F16" s="146">
        <f t="shared" si="0"/>
        <v>14544000</v>
      </c>
      <c r="G16" s="152">
        <f t="shared" si="1"/>
        <v>4691612.9032258065</v>
      </c>
    </row>
    <row r="17" spans="2:8">
      <c r="B17" s="146" t="s">
        <v>240</v>
      </c>
      <c r="C17" s="146">
        <f>C15</f>
        <v>7200000</v>
      </c>
      <c r="D17" s="150">
        <v>2</v>
      </c>
      <c r="E17" s="146" t="s">
        <v>241</v>
      </c>
      <c r="F17" s="146">
        <f t="shared" si="0"/>
        <v>14400000</v>
      </c>
      <c r="G17" s="152">
        <f t="shared" si="1"/>
        <v>4645161.2903225804</v>
      </c>
    </row>
    <row r="18" spans="2:8">
      <c r="C18" s="148">
        <f>C14</f>
        <v>3780000</v>
      </c>
      <c r="D18" s="149">
        <v>1</v>
      </c>
      <c r="E18" s="146" t="s">
        <v>242</v>
      </c>
      <c r="F18" s="146">
        <f t="shared" si="0"/>
        <v>3780000</v>
      </c>
      <c r="G18" s="152">
        <f t="shared" si="1"/>
        <v>1219354.8387096773</v>
      </c>
    </row>
    <row r="19" spans="2:8">
      <c r="D19" s="149"/>
    </row>
    <row r="20" spans="2:8" ht="21">
      <c r="B20" s="160" t="s">
        <v>168</v>
      </c>
      <c r="C20" s="161"/>
      <c r="D20" s="161"/>
      <c r="E20" s="161"/>
      <c r="F20" s="161"/>
      <c r="G20" s="162">
        <f>G12+G14+G15+G16+G17+G18</f>
        <v>15575483.87096774</v>
      </c>
      <c r="H20" s="151"/>
    </row>
  </sheetData>
  <mergeCells count="7">
    <mergeCell ref="B9:G9"/>
    <mergeCell ref="B3:G3"/>
    <mergeCell ref="B4:G4"/>
    <mergeCell ref="B5:G5"/>
    <mergeCell ref="B8:G8"/>
    <mergeCell ref="B6:G6"/>
    <mergeCell ref="B7:G7"/>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2:N38"/>
  <sheetViews>
    <sheetView topLeftCell="A11" zoomScale="90" zoomScaleNormal="90" workbookViewId="0">
      <selection activeCell="K37" sqref="K37"/>
    </sheetView>
  </sheetViews>
  <sheetFormatPr defaultRowHeight="14.4"/>
  <cols>
    <col min="1" max="1" width="55.88671875" style="40" customWidth="1"/>
    <col min="2" max="2" width="9.88671875" style="40" customWidth="1"/>
    <col min="3" max="3" width="11.5546875" style="40" customWidth="1"/>
    <col min="4" max="4" width="17.5546875" style="40" customWidth="1"/>
    <col min="5" max="5" width="12.109375" style="40" customWidth="1"/>
    <col min="6" max="6" width="17.6640625" style="40" customWidth="1"/>
    <col min="8" max="8" width="3.5546875" customWidth="1"/>
    <col min="9" max="9" width="26.6640625" customWidth="1"/>
    <col min="10" max="10" width="16.88671875" bestFit="1" customWidth="1"/>
    <col min="11" max="11" width="15.5546875" customWidth="1"/>
    <col min="14" max="14" width="12.109375" bestFit="1" customWidth="1"/>
  </cols>
  <sheetData>
    <row r="2" spans="1:6" ht="15.6">
      <c r="A2" s="8" t="s">
        <v>136</v>
      </c>
    </row>
    <row r="3" spans="1:6" ht="15" thickBot="1"/>
    <row r="4" spans="1:6" ht="42">
      <c r="A4" s="74"/>
      <c r="B4" s="75" t="s">
        <v>137</v>
      </c>
      <c r="C4" s="76" t="s">
        <v>138</v>
      </c>
      <c r="D4" s="76" t="s">
        <v>139</v>
      </c>
      <c r="E4" s="77" t="s">
        <v>140</v>
      </c>
      <c r="F4" s="78" t="s">
        <v>141</v>
      </c>
    </row>
    <row r="5" spans="1:6">
      <c r="A5" s="79" t="s">
        <v>142</v>
      </c>
      <c r="B5" s="80">
        <v>7.0000000000000007E-2</v>
      </c>
      <c r="C5" s="80">
        <v>15000000</v>
      </c>
      <c r="D5" s="124">
        <f t="shared" ref="D5:D32" si="0">C5*B5</f>
        <v>1050000</v>
      </c>
      <c r="E5" s="80">
        <v>4000000</v>
      </c>
      <c r="F5" s="81">
        <f t="shared" ref="F5:F34" si="1">E5*B5</f>
        <v>280000</v>
      </c>
    </row>
    <row r="6" spans="1:6">
      <c r="A6" s="82" t="s">
        <v>143</v>
      </c>
      <c r="B6" s="83">
        <v>0.8</v>
      </c>
      <c r="C6" s="83">
        <v>20000000</v>
      </c>
      <c r="D6" s="123">
        <f t="shared" si="0"/>
        <v>16000000</v>
      </c>
      <c r="E6" s="83">
        <v>4000000</v>
      </c>
      <c r="F6" s="84">
        <f t="shared" si="1"/>
        <v>3200000</v>
      </c>
    </row>
    <row r="7" spans="1:6">
      <c r="A7" s="85" t="s">
        <v>144</v>
      </c>
      <c r="B7" s="86">
        <v>13</v>
      </c>
      <c r="C7" s="86">
        <v>100000</v>
      </c>
      <c r="D7" s="124">
        <f t="shared" si="0"/>
        <v>1300000</v>
      </c>
      <c r="E7" s="86">
        <v>100000</v>
      </c>
      <c r="F7" s="87">
        <f t="shared" si="1"/>
        <v>1300000</v>
      </c>
    </row>
    <row r="8" spans="1:6">
      <c r="A8" s="82" t="s">
        <v>145</v>
      </c>
      <c r="B8" s="83">
        <v>0.66</v>
      </c>
      <c r="C8" s="83">
        <v>30000000</v>
      </c>
      <c r="D8" s="123">
        <f t="shared" si="0"/>
        <v>19800000</v>
      </c>
      <c r="E8" s="83">
        <v>10000000</v>
      </c>
      <c r="F8" s="84">
        <f t="shared" si="1"/>
        <v>6600000</v>
      </c>
    </row>
    <row r="9" spans="1:6">
      <c r="A9" s="85" t="s">
        <v>146</v>
      </c>
      <c r="B9" s="86">
        <v>0.66</v>
      </c>
      <c r="C9" s="86">
        <v>3000000</v>
      </c>
      <c r="D9" s="124">
        <f t="shared" si="0"/>
        <v>1980000</v>
      </c>
      <c r="E9" s="86">
        <v>1000000</v>
      </c>
      <c r="F9" s="87">
        <f t="shared" si="1"/>
        <v>660000</v>
      </c>
    </row>
    <row r="10" spans="1:6">
      <c r="A10" s="82" t="s">
        <v>147</v>
      </c>
      <c r="B10" s="83">
        <v>400</v>
      </c>
      <c r="C10" s="83">
        <v>25</v>
      </c>
      <c r="D10" s="123">
        <f t="shared" si="0"/>
        <v>10000</v>
      </c>
      <c r="E10" s="83">
        <v>4</v>
      </c>
      <c r="F10" s="84">
        <f t="shared" si="1"/>
        <v>1600</v>
      </c>
    </row>
    <row r="11" spans="1:6">
      <c r="A11" s="85" t="s">
        <v>148</v>
      </c>
      <c r="B11" s="86">
        <v>10</v>
      </c>
      <c r="C11" s="86">
        <v>100000</v>
      </c>
      <c r="D11" s="124">
        <f t="shared" si="0"/>
        <v>1000000</v>
      </c>
      <c r="E11" s="86">
        <v>42000</v>
      </c>
      <c r="F11" s="87">
        <f t="shared" si="1"/>
        <v>420000</v>
      </c>
    </row>
    <row r="12" spans="1:6">
      <c r="A12" s="82" t="s">
        <v>149</v>
      </c>
      <c r="B12" s="83">
        <v>12</v>
      </c>
      <c r="C12" s="83">
        <v>100000</v>
      </c>
      <c r="D12" s="123">
        <f t="shared" si="0"/>
        <v>1200000</v>
      </c>
      <c r="E12" s="83">
        <v>42000</v>
      </c>
      <c r="F12" s="84">
        <f t="shared" si="1"/>
        <v>504000</v>
      </c>
    </row>
    <row r="13" spans="1:6">
      <c r="A13" s="85" t="s">
        <v>150</v>
      </c>
      <c r="B13" s="86">
        <v>15</v>
      </c>
      <c r="C13" s="86">
        <v>50000</v>
      </c>
      <c r="D13" s="124">
        <f t="shared" si="0"/>
        <v>750000</v>
      </c>
      <c r="E13" s="86">
        <v>10000</v>
      </c>
      <c r="F13" s="87">
        <f t="shared" si="1"/>
        <v>150000</v>
      </c>
    </row>
    <row r="14" spans="1:6">
      <c r="A14" s="82" t="s">
        <v>151</v>
      </c>
      <c r="B14" s="83">
        <v>5</v>
      </c>
      <c r="C14" s="83">
        <v>200000</v>
      </c>
      <c r="D14" s="123">
        <f t="shared" si="0"/>
        <v>1000000</v>
      </c>
      <c r="E14" s="83">
        <v>20000</v>
      </c>
      <c r="F14" s="84">
        <f t="shared" si="1"/>
        <v>100000</v>
      </c>
    </row>
    <row r="15" spans="1:6">
      <c r="A15" s="85" t="s">
        <v>152</v>
      </c>
      <c r="B15" s="86">
        <v>4</v>
      </c>
      <c r="C15" s="86">
        <v>1000</v>
      </c>
      <c r="D15" s="124">
        <f t="shared" si="0"/>
        <v>4000</v>
      </c>
      <c r="E15" s="86">
        <v>1000</v>
      </c>
      <c r="F15" s="87">
        <f t="shared" si="1"/>
        <v>4000</v>
      </c>
    </row>
    <row r="16" spans="1:6" ht="12.75" customHeight="1">
      <c r="A16" s="82" t="s">
        <v>153</v>
      </c>
      <c r="B16" s="83">
        <v>25</v>
      </c>
      <c r="C16" s="83">
        <v>2000</v>
      </c>
      <c r="D16" s="123">
        <f t="shared" si="0"/>
        <v>50000</v>
      </c>
      <c r="E16" s="83">
        <v>20</v>
      </c>
      <c r="F16" s="84">
        <f t="shared" si="1"/>
        <v>500</v>
      </c>
    </row>
    <row r="17" spans="1:11" ht="31.5" customHeight="1">
      <c r="A17" s="133" t="s">
        <v>204</v>
      </c>
      <c r="B17" s="138">
        <v>25000</v>
      </c>
      <c r="C17" s="138">
        <v>50</v>
      </c>
      <c r="D17" s="139">
        <f t="shared" si="0"/>
        <v>1250000</v>
      </c>
      <c r="E17" s="83"/>
      <c r="F17" s="84"/>
    </row>
    <row r="18" spans="1:11">
      <c r="A18" s="85" t="s">
        <v>154</v>
      </c>
      <c r="B18" s="86">
        <v>14000</v>
      </c>
      <c r="C18" s="86">
        <v>320</v>
      </c>
      <c r="D18" s="124">
        <f t="shared" si="0"/>
        <v>4480000</v>
      </c>
      <c r="E18" s="86">
        <v>30</v>
      </c>
      <c r="F18" s="87">
        <f t="shared" si="1"/>
        <v>420000</v>
      </c>
    </row>
    <row r="19" spans="1:11" ht="27">
      <c r="A19" s="134" t="s">
        <v>205</v>
      </c>
      <c r="B19" s="136">
        <v>4000</v>
      </c>
      <c r="C19" s="136">
        <v>350</v>
      </c>
      <c r="D19" s="137">
        <f t="shared" si="0"/>
        <v>1400000</v>
      </c>
      <c r="E19" s="86"/>
      <c r="F19" s="87"/>
    </row>
    <row r="20" spans="1:11">
      <c r="A20" s="135" t="s">
        <v>206</v>
      </c>
      <c r="B20" s="136">
        <v>1400</v>
      </c>
      <c r="C20" s="136">
        <v>1150</v>
      </c>
      <c r="D20" s="137">
        <f t="shared" si="0"/>
        <v>1610000</v>
      </c>
      <c r="E20" s="86"/>
      <c r="F20" s="87"/>
    </row>
    <row r="21" spans="1:11">
      <c r="A21" s="135" t="s">
        <v>207</v>
      </c>
      <c r="B21" s="136">
        <v>60000</v>
      </c>
      <c r="C21" s="136">
        <v>50</v>
      </c>
      <c r="D21" s="137">
        <f t="shared" si="0"/>
        <v>3000000</v>
      </c>
      <c r="E21" s="86"/>
      <c r="F21" s="87"/>
    </row>
    <row r="22" spans="1:11">
      <c r="A22" s="135" t="s">
        <v>208</v>
      </c>
      <c r="B22" s="136">
        <v>80000</v>
      </c>
      <c r="C22" s="136">
        <v>30</v>
      </c>
      <c r="D22" s="137">
        <f t="shared" si="0"/>
        <v>2400000</v>
      </c>
      <c r="E22" s="86"/>
      <c r="F22" s="87"/>
    </row>
    <row r="23" spans="1:11">
      <c r="A23" s="135" t="s">
        <v>209</v>
      </c>
      <c r="B23" s="136">
        <v>30000</v>
      </c>
      <c r="C23" s="136">
        <v>90</v>
      </c>
      <c r="D23" s="137">
        <f t="shared" si="0"/>
        <v>2700000</v>
      </c>
      <c r="E23" s="86"/>
      <c r="F23" s="87"/>
    </row>
    <row r="24" spans="1:11">
      <c r="A24" s="135" t="s">
        <v>210</v>
      </c>
      <c r="B24" s="136">
        <v>1500</v>
      </c>
      <c r="C24" s="136">
        <v>950</v>
      </c>
      <c r="D24" s="137">
        <f t="shared" si="0"/>
        <v>1425000</v>
      </c>
      <c r="E24" s="86"/>
      <c r="F24" s="87"/>
    </row>
    <row r="25" spans="1:11">
      <c r="A25" s="135" t="s">
        <v>211</v>
      </c>
      <c r="B25" s="136">
        <v>1200</v>
      </c>
      <c r="C25" s="136">
        <v>950</v>
      </c>
      <c r="D25" s="137">
        <f t="shared" si="0"/>
        <v>1140000</v>
      </c>
      <c r="E25" s="86"/>
      <c r="F25" s="87"/>
    </row>
    <row r="26" spans="1:11">
      <c r="A26" s="82" t="s">
        <v>155</v>
      </c>
      <c r="B26" s="83">
        <v>75000</v>
      </c>
      <c r="C26" s="83">
        <v>20</v>
      </c>
      <c r="D26" s="123">
        <f t="shared" si="0"/>
        <v>1500000</v>
      </c>
      <c r="E26" s="83">
        <v>2</v>
      </c>
      <c r="F26" s="84">
        <f t="shared" si="1"/>
        <v>150000</v>
      </c>
    </row>
    <row r="27" spans="1:11">
      <c r="A27" s="85" t="s">
        <v>156</v>
      </c>
      <c r="B27" s="86">
        <v>18</v>
      </c>
      <c r="C27" s="86">
        <v>320</v>
      </c>
      <c r="D27" s="124">
        <f t="shared" si="0"/>
        <v>5760</v>
      </c>
      <c r="E27" s="86">
        <v>50</v>
      </c>
      <c r="F27" s="87">
        <f t="shared" si="1"/>
        <v>900</v>
      </c>
    </row>
    <row r="28" spans="1:11">
      <c r="A28" s="82" t="s">
        <v>157</v>
      </c>
      <c r="B28" s="83">
        <v>15</v>
      </c>
      <c r="C28" s="123">
        <v>450000</v>
      </c>
      <c r="D28" s="123">
        <f t="shared" si="0"/>
        <v>6750000</v>
      </c>
      <c r="E28" s="83">
        <v>100000</v>
      </c>
      <c r="F28" s="84">
        <f t="shared" si="1"/>
        <v>1500000</v>
      </c>
    </row>
    <row r="29" spans="1:11">
      <c r="A29" s="85" t="s">
        <v>158</v>
      </c>
      <c r="B29" s="86">
        <v>4500</v>
      </c>
      <c r="C29" s="86">
        <v>20</v>
      </c>
      <c r="D29" s="124">
        <f t="shared" si="0"/>
        <v>90000</v>
      </c>
      <c r="E29" s="86">
        <v>3</v>
      </c>
      <c r="F29" s="87">
        <f t="shared" si="1"/>
        <v>13500</v>
      </c>
    </row>
    <row r="30" spans="1:11">
      <c r="A30" s="82" t="s">
        <v>159</v>
      </c>
      <c r="B30" s="83">
        <v>7</v>
      </c>
      <c r="C30" s="83">
        <v>250000</v>
      </c>
      <c r="D30" s="123">
        <f t="shared" si="0"/>
        <v>1750000</v>
      </c>
      <c r="E30" s="83">
        <v>60000</v>
      </c>
      <c r="F30" s="84">
        <f t="shared" si="1"/>
        <v>420000</v>
      </c>
      <c r="I30" s="99"/>
      <c r="J30" s="107" t="s">
        <v>167</v>
      </c>
      <c r="K30" s="107" t="s">
        <v>203</v>
      </c>
    </row>
    <row r="31" spans="1:11">
      <c r="A31" s="85" t="s">
        <v>160</v>
      </c>
      <c r="B31" s="86">
        <v>100</v>
      </c>
      <c r="C31" s="86">
        <v>10</v>
      </c>
      <c r="D31" s="124">
        <f t="shared" si="0"/>
        <v>1000</v>
      </c>
      <c r="E31" s="86">
        <v>5</v>
      </c>
      <c r="F31" s="87">
        <f t="shared" si="1"/>
        <v>500</v>
      </c>
      <c r="I31" s="99" t="s">
        <v>166</v>
      </c>
      <c r="J31" s="99">
        <f>D18+D26+D27+D29+D30+D31+D32+D33+D34</f>
        <v>8077660</v>
      </c>
      <c r="K31" s="99">
        <f>F18+F26+F27+F29+F30+F31+F32+F33+F34</f>
        <v>1083200</v>
      </c>
    </row>
    <row r="32" spans="1:11">
      <c r="A32" s="82" t="s">
        <v>161</v>
      </c>
      <c r="B32" s="83">
        <v>25000</v>
      </c>
      <c r="C32" s="83">
        <v>10</v>
      </c>
      <c r="D32" s="123">
        <f t="shared" si="0"/>
        <v>250000</v>
      </c>
      <c r="E32" s="83">
        <v>3</v>
      </c>
      <c r="F32" s="84">
        <f t="shared" si="1"/>
        <v>75000</v>
      </c>
      <c r="I32" s="99" t="s">
        <v>189</v>
      </c>
      <c r="J32" s="99">
        <f>SUM(D5:D16)+D28</f>
        <v>50894000</v>
      </c>
      <c r="K32" s="99">
        <f>SUM(F5:EF16)+F28</f>
        <v>14720100</v>
      </c>
    </row>
    <row r="33" spans="1:14">
      <c r="A33" s="85" t="s">
        <v>162</v>
      </c>
      <c r="B33" s="86">
        <v>15</v>
      </c>
      <c r="C33" s="86"/>
      <c r="D33" s="124"/>
      <c r="E33" s="86">
        <v>200</v>
      </c>
      <c r="F33" s="87">
        <f t="shared" si="1"/>
        <v>3000</v>
      </c>
      <c r="I33" t="s">
        <v>221</v>
      </c>
      <c r="J33" s="99">
        <f>D17+D19+D20+D21+D22+D23+D24+D25</f>
        <v>14925000</v>
      </c>
    </row>
    <row r="34" spans="1:14" ht="15" thickBot="1">
      <c r="A34" s="88" t="s">
        <v>163</v>
      </c>
      <c r="B34" s="89">
        <v>30</v>
      </c>
      <c r="C34" s="89">
        <v>30</v>
      </c>
      <c r="D34" s="125">
        <f>B34*C34</f>
        <v>900</v>
      </c>
      <c r="E34" s="89">
        <v>10</v>
      </c>
      <c r="F34" s="90">
        <f t="shared" si="1"/>
        <v>300</v>
      </c>
      <c r="I34" t="s">
        <v>168</v>
      </c>
      <c r="J34" s="99">
        <f>J31+J32+J33</f>
        <v>73896660</v>
      </c>
      <c r="N34" s="140"/>
    </row>
    <row r="35" spans="1:14">
      <c r="A35" s="91"/>
      <c r="B35" s="92"/>
      <c r="C35" s="92"/>
      <c r="D35" s="92"/>
      <c r="E35" s="92"/>
      <c r="F35" s="93"/>
    </row>
    <row r="36" spans="1:14">
      <c r="A36" s="94" t="s">
        <v>164</v>
      </c>
      <c r="B36" s="95"/>
      <c r="C36" s="95"/>
      <c r="D36" s="100">
        <f>SUM(D5:D34)</f>
        <v>73896660</v>
      </c>
      <c r="E36" s="101"/>
      <c r="F36" s="102">
        <f>SUM(F5:F35)</f>
        <v>15803300</v>
      </c>
    </row>
    <row r="37" spans="1:14">
      <c r="A37" s="96"/>
      <c r="B37" s="39"/>
      <c r="C37" s="39"/>
      <c r="D37" s="103"/>
      <c r="E37" s="103"/>
      <c r="F37" s="104"/>
    </row>
    <row r="38" spans="1:14" ht="15" thickBot="1">
      <c r="A38" s="97" t="s">
        <v>165</v>
      </c>
      <c r="B38" s="98"/>
      <c r="C38" s="98"/>
      <c r="D38" s="105"/>
      <c r="E38" s="105"/>
      <c r="F38" s="106">
        <f>SUM(D36+F36)</f>
        <v>89699960</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dimension ref="A1:F32"/>
  <sheetViews>
    <sheetView topLeftCell="B1" zoomScale="120" zoomScaleNormal="120" workbookViewId="0">
      <selection activeCell="H10" sqref="H10"/>
    </sheetView>
  </sheetViews>
  <sheetFormatPr defaultColWidth="9.109375" defaultRowHeight="14.4"/>
  <cols>
    <col min="1" max="1" width="58.33203125" style="21" customWidth="1"/>
    <col min="2" max="2" width="17.44140625" style="20" bestFit="1" customWidth="1"/>
    <col min="3" max="3" width="16.44140625" style="20" customWidth="1"/>
    <col min="4" max="4" width="9.44140625" style="20" customWidth="1"/>
    <col min="5" max="5" width="9.33203125" style="20" bestFit="1" customWidth="1"/>
    <col min="6" max="6" width="14.5546875" style="21" bestFit="1" customWidth="1"/>
    <col min="7" max="7" width="8.109375" style="1" customWidth="1"/>
    <col min="8" max="16384" width="9.109375" style="1"/>
  </cols>
  <sheetData>
    <row r="1" spans="1:6">
      <c r="A1" s="19" t="s">
        <v>108</v>
      </c>
    </row>
    <row r="2" spans="1:6" ht="42.6" customHeight="1">
      <c r="E2" s="22" t="s">
        <v>35</v>
      </c>
      <c r="F2" s="22" t="s">
        <v>35</v>
      </c>
    </row>
    <row r="3" spans="1:6">
      <c r="A3" s="23" t="s">
        <v>29</v>
      </c>
      <c r="B3" s="24"/>
      <c r="C3" s="25"/>
      <c r="D3" s="23">
        <v>20000</v>
      </c>
      <c r="E3" s="24"/>
      <c r="F3" s="25"/>
    </row>
    <row r="4" spans="1:6">
      <c r="A4" s="23"/>
      <c r="B4" s="24"/>
      <c r="C4" s="25"/>
      <c r="D4" s="23"/>
      <c r="E4" s="24"/>
      <c r="F4" s="25"/>
    </row>
    <row r="5" spans="1:6">
      <c r="A5" s="23" t="s">
        <v>15</v>
      </c>
      <c r="B5" s="24" t="s">
        <v>27</v>
      </c>
      <c r="C5" s="25">
        <v>52906</v>
      </c>
      <c r="D5" s="23">
        <v>80</v>
      </c>
      <c r="E5" s="24">
        <v>1100</v>
      </c>
      <c r="F5" s="25">
        <v>88000</v>
      </c>
    </row>
    <row r="6" spans="1:6">
      <c r="A6" s="23" t="s">
        <v>17</v>
      </c>
      <c r="B6" s="24" t="s">
        <v>16</v>
      </c>
      <c r="C6" s="25">
        <v>19201</v>
      </c>
      <c r="D6" s="23">
        <v>20</v>
      </c>
      <c r="E6" s="24">
        <v>240</v>
      </c>
      <c r="F6" s="25">
        <v>4800</v>
      </c>
    </row>
    <row r="7" spans="1:6">
      <c r="A7" s="23" t="s">
        <v>18</v>
      </c>
      <c r="B7" s="24" t="s">
        <v>16</v>
      </c>
      <c r="C7" s="25">
        <v>19073</v>
      </c>
      <c r="D7" s="23">
        <v>80</v>
      </c>
      <c r="E7" s="24">
        <v>160</v>
      </c>
      <c r="F7" s="25">
        <v>12800</v>
      </c>
    </row>
    <row r="8" spans="1:6">
      <c r="A8" s="23" t="s">
        <v>19</v>
      </c>
      <c r="B8" s="24" t="s">
        <v>16</v>
      </c>
      <c r="C8" s="25">
        <v>1020953</v>
      </c>
      <c r="D8" s="23">
        <v>10</v>
      </c>
      <c r="E8" s="24">
        <v>515</v>
      </c>
      <c r="F8" s="25">
        <v>5150</v>
      </c>
    </row>
    <row r="9" spans="1:6">
      <c r="A9" s="26"/>
      <c r="B9" s="26"/>
      <c r="C9" s="27"/>
      <c r="D9" s="26"/>
      <c r="E9" s="26"/>
      <c r="F9" s="27"/>
    </row>
    <row r="10" spans="1:6">
      <c r="A10" s="28" t="s">
        <v>0</v>
      </c>
      <c r="B10" s="29" t="s">
        <v>23</v>
      </c>
      <c r="C10" s="25" t="s">
        <v>21</v>
      </c>
      <c r="D10" s="28">
        <v>10</v>
      </c>
      <c r="E10" s="29">
        <v>150</v>
      </c>
      <c r="F10" s="25">
        <v>1500</v>
      </c>
    </row>
    <row r="11" spans="1:6">
      <c r="A11" s="23" t="s">
        <v>1</v>
      </c>
      <c r="B11" s="24" t="s">
        <v>23</v>
      </c>
      <c r="C11" s="25" t="s">
        <v>22</v>
      </c>
      <c r="D11" s="23">
        <v>40</v>
      </c>
      <c r="E11" s="24">
        <v>250</v>
      </c>
      <c r="F11" s="25">
        <v>10000</v>
      </c>
    </row>
    <row r="12" spans="1:6">
      <c r="A12" s="30" t="s">
        <v>2</v>
      </c>
      <c r="B12" s="31" t="s">
        <v>23</v>
      </c>
      <c r="C12" s="25">
        <v>95040450</v>
      </c>
      <c r="D12" s="25">
        <v>40</v>
      </c>
      <c r="E12" s="32">
        <v>130</v>
      </c>
      <c r="F12" s="25">
        <v>5200</v>
      </c>
    </row>
    <row r="13" spans="1:6">
      <c r="A13" s="30" t="s">
        <v>3</v>
      </c>
      <c r="B13" s="31" t="s">
        <v>23</v>
      </c>
      <c r="C13" s="25">
        <v>97002540</v>
      </c>
      <c r="D13" s="25">
        <v>15</v>
      </c>
      <c r="E13" s="32">
        <v>180</v>
      </c>
      <c r="F13" s="25">
        <v>2700</v>
      </c>
    </row>
    <row r="14" spans="1:6">
      <c r="A14" s="30" t="s">
        <v>4</v>
      </c>
      <c r="B14" s="31" t="s">
        <v>23</v>
      </c>
      <c r="C14" s="25">
        <v>97002534</v>
      </c>
      <c r="D14" s="25">
        <v>8</v>
      </c>
      <c r="E14" s="32">
        <v>150</v>
      </c>
      <c r="F14" s="25">
        <v>1200</v>
      </c>
    </row>
    <row r="15" spans="1:6">
      <c r="A15" s="23" t="s">
        <v>28</v>
      </c>
      <c r="B15" s="24" t="s">
        <v>24</v>
      </c>
      <c r="C15" s="25">
        <v>8045</v>
      </c>
      <c r="D15" s="23">
        <v>50</v>
      </c>
      <c r="E15" s="24">
        <v>200</v>
      </c>
      <c r="F15" s="25">
        <v>10000</v>
      </c>
    </row>
    <row r="16" spans="1:6">
      <c r="A16" s="33"/>
      <c r="B16" s="33"/>
      <c r="C16" s="27"/>
      <c r="D16" s="33"/>
      <c r="E16" s="33"/>
      <c r="F16" s="27"/>
    </row>
    <row r="17" spans="1:6">
      <c r="A17" s="23" t="s">
        <v>9</v>
      </c>
      <c r="B17" s="24" t="s">
        <v>25</v>
      </c>
      <c r="C17" s="25"/>
      <c r="D17" s="23">
        <v>3</v>
      </c>
      <c r="E17" s="24">
        <v>35</v>
      </c>
      <c r="F17" s="25">
        <v>105</v>
      </c>
    </row>
    <row r="18" spans="1:6">
      <c r="A18" s="23" t="s">
        <v>10</v>
      </c>
      <c r="B18" s="24" t="s">
        <v>25</v>
      </c>
      <c r="C18" s="25"/>
      <c r="D18" s="23">
        <v>4</v>
      </c>
      <c r="E18" s="24">
        <v>35</v>
      </c>
      <c r="F18" s="25">
        <v>140</v>
      </c>
    </row>
    <row r="19" spans="1:6">
      <c r="A19" s="23" t="s">
        <v>8</v>
      </c>
      <c r="B19" s="24" t="s">
        <v>25</v>
      </c>
      <c r="C19" s="25"/>
      <c r="D19" s="23">
        <v>10</v>
      </c>
      <c r="E19" s="24">
        <v>500</v>
      </c>
      <c r="F19" s="25">
        <v>5000</v>
      </c>
    </row>
    <row r="20" spans="1:6">
      <c r="A20" s="23" t="s">
        <v>11</v>
      </c>
      <c r="B20" s="24" t="s">
        <v>25</v>
      </c>
      <c r="C20" s="25"/>
      <c r="D20" s="23">
        <v>5</v>
      </c>
      <c r="E20" s="24">
        <v>30</v>
      </c>
      <c r="F20" s="25">
        <v>150</v>
      </c>
    </row>
    <row r="21" spans="1:6">
      <c r="A21" s="34" t="s">
        <v>12</v>
      </c>
      <c r="B21" s="35" t="s">
        <v>25</v>
      </c>
      <c r="C21" s="25"/>
      <c r="D21" s="34">
        <v>3</v>
      </c>
      <c r="E21" s="35">
        <v>30</v>
      </c>
      <c r="F21" s="25">
        <v>90</v>
      </c>
    </row>
    <row r="22" spans="1:6">
      <c r="A22" s="28" t="s">
        <v>13</v>
      </c>
      <c r="B22" s="29" t="s">
        <v>25</v>
      </c>
      <c r="C22" s="25"/>
      <c r="D22" s="28">
        <v>6</v>
      </c>
      <c r="E22" s="29">
        <v>500</v>
      </c>
      <c r="F22" s="25">
        <v>3000</v>
      </c>
    </row>
    <row r="23" spans="1:6">
      <c r="A23" s="23" t="s">
        <v>14</v>
      </c>
      <c r="B23" s="24" t="s">
        <v>26</v>
      </c>
      <c r="C23" s="25">
        <v>4444434</v>
      </c>
      <c r="D23" s="23">
        <v>20</v>
      </c>
      <c r="E23" s="24">
        <v>2000</v>
      </c>
      <c r="F23" s="25">
        <v>40000</v>
      </c>
    </row>
    <row r="24" spans="1:6">
      <c r="A24" s="36"/>
      <c r="B24" s="36"/>
      <c r="C24" s="27"/>
      <c r="D24" s="27"/>
      <c r="E24" s="27"/>
      <c r="F24" s="27"/>
    </row>
    <row r="25" spans="1:6">
      <c r="A25" s="30" t="s">
        <v>5</v>
      </c>
      <c r="B25" s="31" t="s">
        <v>20</v>
      </c>
      <c r="C25" s="25">
        <v>9155368001</v>
      </c>
      <c r="D25" s="25">
        <v>200</v>
      </c>
      <c r="E25" s="32">
        <v>450</v>
      </c>
      <c r="F25" s="25">
        <v>90000</v>
      </c>
    </row>
    <row r="26" spans="1:6">
      <c r="A26" s="30" t="s">
        <v>6</v>
      </c>
      <c r="B26" s="31" t="s">
        <v>20</v>
      </c>
      <c r="C26" s="25">
        <v>9155376001</v>
      </c>
      <c r="D26" s="25">
        <v>10</v>
      </c>
      <c r="E26" s="32">
        <v>450</v>
      </c>
      <c r="F26" s="25">
        <v>45000</v>
      </c>
    </row>
    <row r="27" spans="1:6">
      <c r="A27" s="23" t="s">
        <v>7</v>
      </c>
      <c r="B27" s="24" t="s">
        <v>20</v>
      </c>
      <c r="C27" s="25">
        <v>6754155001</v>
      </c>
      <c r="D27" s="23">
        <v>105</v>
      </c>
      <c r="E27" s="24">
        <v>450</v>
      </c>
      <c r="F27" s="25">
        <v>47500</v>
      </c>
    </row>
    <row r="28" spans="1:6">
      <c r="A28" s="33"/>
      <c r="B28" s="33"/>
      <c r="C28" s="27"/>
      <c r="D28" s="33"/>
      <c r="E28" s="33"/>
      <c r="F28" s="27"/>
    </row>
    <row r="29" spans="1:6">
      <c r="A29" s="23" t="s">
        <v>30</v>
      </c>
      <c r="B29" s="24" t="s">
        <v>32</v>
      </c>
      <c r="C29" s="25" t="s">
        <v>31</v>
      </c>
      <c r="D29" s="23">
        <v>20</v>
      </c>
      <c r="E29" s="24">
        <v>250</v>
      </c>
      <c r="F29" s="25">
        <v>5000</v>
      </c>
    </row>
    <row r="30" spans="1:6">
      <c r="A30" s="23" t="s">
        <v>34</v>
      </c>
      <c r="B30" s="24" t="s">
        <v>33</v>
      </c>
      <c r="C30" s="25" t="s">
        <v>33</v>
      </c>
      <c r="D30" s="23">
        <v>5</v>
      </c>
      <c r="E30" s="24">
        <v>200</v>
      </c>
      <c r="F30" s="25">
        <v>1000</v>
      </c>
    </row>
    <row r="32" spans="1:6">
      <c r="C32" s="37" t="s">
        <v>109</v>
      </c>
      <c r="D32" s="37"/>
      <c r="E32" s="37"/>
      <c r="F32" s="38">
        <f>SUM(F5:F30)</f>
        <v>378335</v>
      </c>
    </row>
  </sheetData>
  <hyperlinks>
    <hyperlink ref="B29" r:id="rId1" display="https://roboklon.com/index.php?prodid=349"/>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dimension ref="A2:I29"/>
  <sheetViews>
    <sheetView workbookViewId="0">
      <selection activeCell="K9" sqref="K9"/>
    </sheetView>
  </sheetViews>
  <sheetFormatPr defaultColWidth="8.88671875" defaultRowHeight="14.4"/>
  <cols>
    <col min="1" max="1" width="19.6640625" style="40" customWidth="1"/>
    <col min="2" max="2" width="52.33203125" style="40" customWidth="1"/>
    <col min="3" max="3" width="15.33203125" style="40" customWidth="1"/>
    <col min="4" max="5" width="8.88671875" style="40"/>
    <col min="6" max="6" width="14.109375" style="40" customWidth="1"/>
    <col min="7" max="7" width="11.109375" style="40" customWidth="1"/>
    <col min="8" max="8" width="13.5546875" style="40" customWidth="1"/>
    <col min="9" max="9" width="13.109375" style="40" customWidth="1"/>
  </cols>
  <sheetData>
    <row r="2" spans="1:9">
      <c r="A2" s="39"/>
      <c r="B2" s="39"/>
      <c r="C2" s="39"/>
    </row>
    <row r="3" spans="1:9">
      <c r="A3" s="41"/>
      <c r="B3" s="42" t="s">
        <v>87</v>
      </c>
      <c r="C3" s="43"/>
      <c r="D3" s="44"/>
      <c r="E3" s="45"/>
      <c r="F3" s="45"/>
      <c r="G3" s="46"/>
      <c r="H3" s="46"/>
      <c r="I3" s="46"/>
    </row>
    <row r="4" spans="1:9">
      <c r="A4" s="41"/>
      <c r="B4" s="41"/>
      <c r="C4" s="43"/>
      <c r="D4" s="44"/>
      <c r="E4" s="45"/>
      <c r="F4" s="45"/>
      <c r="G4" s="46"/>
      <c r="H4" s="46"/>
      <c r="I4" s="46"/>
    </row>
    <row r="5" spans="1:9">
      <c r="A5" s="47"/>
      <c r="B5" s="47"/>
      <c r="C5" s="46"/>
      <c r="D5" s="48"/>
      <c r="E5" s="49"/>
      <c r="F5" s="50"/>
      <c r="G5" s="51"/>
      <c r="H5" s="51">
        <f>SUM(H7:H28)</f>
        <v>9487.5380370853363</v>
      </c>
      <c r="I5" s="52">
        <f>SUM(I7:I28)</f>
        <v>5.6249729000527951E-3</v>
      </c>
    </row>
    <row r="6" spans="1:9">
      <c r="A6" s="53" t="s">
        <v>36</v>
      </c>
      <c r="B6" s="54" t="s">
        <v>37</v>
      </c>
      <c r="C6" s="53" t="s">
        <v>38</v>
      </c>
      <c r="D6" s="55" t="s">
        <v>39</v>
      </c>
      <c r="E6" s="56" t="s">
        <v>40</v>
      </c>
      <c r="F6" s="57" t="s">
        <v>41</v>
      </c>
      <c r="G6" s="58" t="s">
        <v>42</v>
      </c>
      <c r="H6" s="58" t="s">
        <v>43</v>
      </c>
      <c r="I6" s="53" t="s">
        <v>44</v>
      </c>
    </row>
    <row r="7" spans="1:9">
      <c r="A7" s="9" t="s">
        <v>45</v>
      </c>
      <c r="B7" s="10" t="s">
        <v>46</v>
      </c>
      <c r="C7" s="14"/>
      <c r="D7" s="59">
        <v>2000</v>
      </c>
      <c r="E7" s="60">
        <v>13</v>
      </c>
      <c r="F7" s="60">
        <f>D7*E7</f>
        <v>26000</v>
      </c>
      <c r="G7" s="61">
        <v>0.86</v>
      </c>
      <c r="H7" s="62">
        <f>G7*D7</f>
        <v>1720</v>
      </c>
      <c r="I7" s="63">
        <v>5.0000000000000002E-5</v>
      </c>
    </row>
    <row r="8" spans="1:9">
      <c r="A8" s="9" t="s">
        <v>47</v>
      </c>
      <c r="B8" s="10" t="s">
        <v>48</v>
      </c>
      <c r="C8" s="14"/>
      <c r="D8" s="59">
        <v>10000</v>
      </c>
      <c r="E8" s="60">
        <v>1.288056206088994</v>
      </c>
      <c r="F8" s="60">
        <f t="shared" ref="F8:F27" si="0">D8*E8</f>
        <v>12880.562060889939</v>
      </c>
      <c r="G8" s="61">
        <v>0.12</v>
      </c>
      <c r="H8" s="62">
        <f t="shared" ref="H8:H27" si="1">G8*D8</f>
        <v>1200</v>
      </c>
      <c r="I8" s="63"/>
    </row>
    <row r="9" spans="1:9">
      <c r="A9" s="9" t="s">
        <v>49</v>
      </c>
      <c r="B9" s="10" t="s">
        <v>50</v>
      </c>
      <c r="C9" s="14"/>
      <c r="D9" s="59">
        <v>20000</v>
      </c>
      <c r="E9" s="60">
        <v>0.35</v>
      </c>
      <c r="F9" s="60">
        <f t="shared" si="0"/>
        <v>7000</v>
      </c>
      <c r="G9" s="61">
        <v>5.0000000000000001E-3</v>
      </c>
      <c r="H9" s="62">
        <f t="shared" si="1"/>
        <v>100</v>
      </c>
      <c r="I9" s="63"/>
    </row>
    <row r="10" spans="1:9">
      <c r="A10" s="9" t="s">
        <v>51</v>
      </c>
      <c r="B10" s="10" t="s">
        <v>52</v>
      </c>
      <c r="C10" s="14"/>
      <c r="D10" s="59">
        <v>100</v>
      </c>
      <c r="E10" s="60">
        <v>6</v>
      </c>
      <c r="F10" s="60">
        <f t="shared" si="0"/>
        <v>600</v>
      </c>
      <c r="G10" s="61">
        <v>1</v>
      </c>
      <c r="H10" s="62">
        <f t="shared" si="1"/>
        <v>100</v>
      </c>
      <c r="I10" s="63"/>
    </row>
    <row r="11" spans="1:9">
      <c r="A11" s="9" t="s">
        <v>53</v>
      </c>
      <c r="B11" s="10" t="s">
        <v>54</v>
      </c>
      <c r="C11" s="14"/>
      <c r="D11" s="59">
        <v>15000</v>
      </c>
      <c r="E11" s="60">
        <v>0.8</v>
      </c>
      <c r="F11" s="60">
        <f t="shared" si="0"/>
        <v>12000</v>
      </c>
      <c r="G11" s="61">
        <v>0.11467022493328199</v>
      </c>
      <c r="H11" s="62">
        <f t="shared" si="1"/>
        <v>1720.05337399923</v>
      </c>
      <c r="I11" s="63">
        <v>1.1256118947769701E-3</v>
      </c>
    </row>
    <row r="12" spans="1:9">
      <c r="A12" s="9" t="s">
        <v>55</v>
      </c>
      <c r="B12" s="10" t="s">
        <v>56</v>
      </c>
      <c r="C12" s="14"/>
      <c r="D12" s="59">
        <v>15000</v>
      </c>
      <c r="E12" s="60">
        <v>0.8</v>
      </c>
      <c r="F12" s="60">
        <f t="shared" si="0"/>
        <v>12000</v>
      </c>
      <c r="G12" s="61">
        <v>0.11467022493328199</v>
      </c>
      <c r="H12" s="62">
        <f t="shared" si="1"/>
        <v>1720.05337399923</v>
      </c>
      <c r="I12" s="63">
        <v>1.1256118947769701E-3</v>
      </c>
    </row>
    <row r="13" spans="1:9">
      <c r="A13" s="9" t="s">
        <v>57</v>
      </c>
      <c r="B13" s="10" t="s">
        <v>58</v>
      </c>
      <c r="C13" s="14"/>
      <c r="D13" s="59">
        <v>5000</v>
      </c>
      <c r="E13" s="60">
        <v>0.8</v>
      </c>
      <c r="F13" s="60">
        <f t="shared" si="0"/>
        <v>4000</v>
      </c>
      <c r="G13" s="61">
        <v>0.11467022493328199</v>
      </c>
      <c r="H13" s="62">
        <f t="shared" si="1"/>
        <v>573.35112466640999</v>
      </c>
      <c r="I13" s="63">
        <v>1.1256118947769701E-3</v>
      </c>
    </row>
    <row r="14" spans="1:9">
      <c r="A14" s="17" t="s">
        <v>59</v>
      </c>
      <c r="B14" s="18" t="s">
        <v>60</v>
      </c>
      <c r="C14" s="14"/>
      <c r="D14" s="59">
        <v>5000</v>
      </c>
      <c r="E14" s="60">
        <v>0.8</v>
      </c>
      <c r="F14" s="60">
        <f t="shared" si="0"/>
        <v>4000</v>
      </c>
      <c r="G14" s="61">
        <v>0.11467022493328199</v>
      </c>
      <c r="H14" s="62">
        <f t="shared" si="1"/>
        <v>573.35112466640999</v>
      </c>
      <c r="I14" s="63">
        <v>1.1256118947769701E-3</v>
      </c>
    </row>
    <row r="15" spans="1:9">
      <c r="A15" s="12" t="s">
        <v>61</v>
      </c>
      <c r="B15" s="13" t="s">
        <v>62</v>
      </c>
      <c r="C15" s="14"/>
      <c r="D15" s="59">
        <v>50000</v>
      </c>
      <c r="E15" s="60">
        <v>6.6000000000000003E-2</v>
      </c>
      <c r="F15" s="60">
        <f t="shared" si="0"/>
        <v>3300</v>
      </c>
      <c r="G15" s="61">
        <v>7.0700762039437497E-3</v>
      </c>
      <c r="H15" s="62">
        <f t="shared" si="1"/>
        <v>353.50381019718748</v>
      </c>
      <c r="I15" s="64">
        <v>3.2418493204493698E-5</v>
      </c>
    </row>
    <row r="16" spans="1:9">
      <c r="A16" s="9" t="s">
        <v>63</v>
      </c>
      <c r="B16" s="10" t="s">
        <v>64</v>
      </c>
      <c r="C16" s="14"/>
      <c r="D16" s="59">
        <v>50000</v>
      </c>
      <c r="E16" s="60">
        <v>6.6000000000000003E-2</v>
      </c>
      <c r="F16" s="60">
        <f t="shared" si="0"/>
        <v>3300</v>
      </c>
      <c r="G16" s="61">
        <v>7.0700762039437497E-3</v>
      </c>
      <c r="H16" s="62">
        <f t="shared" si="1"/>
        <v>353.50381019718748</v>
      </c>
      <c r="I16" s="64">
        <v>3.2418493204493698E-5</v>
      </c>
    </row>
    <row r="17" spans="1:9">
      <c r="A17" s="14" t="s">
        <v>65</v>
      </c>
      <c r="B17" s="15" t="s">
        <v>66</v>
      </c>
      <c r="C17" s="14"/>
      <c r="D17" s="59">
        <v>25000</v>
      </c>
      <c r="E17" s="60">
        <v>6.6000000000000003E-2</v>
      </c>
      <c r="F17" s="60">
        <f t="shared" si="0"/>
        <v>1650</v>
      </c>
      <c r="G17" s="61">
        <v>7.0700762039437497E-3</v>
      </c>
      <c r="H17" s="62">
        <f t="shared" si="1"/>
        <v>176.75190509859374</v>
      </c>
      <c r="I17" s="64">
        <v>3.2418493204493698E-5</v>
      </c>
    </row>
    <row r="18" spans="1:9">
      <c r="A18" s="14" t="s">
        <v>67</v>
      </c>
      <c r="B18" s="15" t="s">
        <v>68</v>
      </c>
      <c r="C18" s="14"/>
      <c r="D18" s="59">
        <v>25000</v>
      </c>
      <c r="E18" s="60">
        <v>6.6000000000000003E-2</v>
      </c>
      <c r="F18" s="60">
        <f t="shared" si="0"/>
        <v>1650</v>
      </c>
      <c r="G18" s="61">
        <v>7.0700762039437497E-3</v>
      </c>
      <c r="H18" s="62">
        <f t="shared" si="1"/>
        <v>176.75190509859374</v>
      </c>
      <c r="I18" s="64">
        <v>3.2418493204493698E-5</v>
      </c>
    </row>
    <row r="19" spans="1:9">
      <c r="A19" s="14" t="s">
        <v>69</v>
      </c>
      <c r="B19" s="15" t="s">
        <v>70</v>
      </c>
      <c r="C19" s="14"/>
      <c r="D19" s="59">
        <v>10000</v>
      </c>
      <c r="E19" s="60">
        <v>0.65948400000000007</v>
      </c>
      <c r="F19" s="60">
        <f t="shared" si="0"/>
        <v>6594.8400000000011</v>
      </c>
      <c r="G19" s="61">
        <v>4.20544022906228E-3</v>
      </c>
      <c r="H19" s="62">
        <f t="shared" si="1"/>
        <v>42.054402290622797</v>
      </c>
      <c r="I19" s="64">
        <v>3.8212837031734702E-5</v>
      </c>
    </row>
    <row r="20" spans="1:9">
      <c r="A20" s="14" t="s">
        <v>71</v>
      </c>
      <c r="B20" s="15" t="s">
        <v>72</v>
      </c>
      <c r="C20" s="14"/>
      <c r="D20" s="59">
        <v>10000</v>
      </c>
      <c r="E20" s="60">
        <v>0.65948400000000007</v>
      </c>
      <c r="F20" s="60">
        <f t="shared" si="0"/>
        <v>6594.8400000000011</v>
      </c>
      <c r="G20" s="61">
        <v>4.20544022906228E-3</v>
      </c>
      <c r="H20" s="62">
        <f t="shared" si="1"/>
        <v>42.054402290622797</v>
      </c>
      <c r="I20" s="64">
        <v>3.8212837031734702E-5</v>
      </c>
    </row>
    <row r="21" spans="1:9">
      <c r="A21" s="14" t="s">
        <v>73</v>
      </c>
      <c r="B21" s="15" t="s">
        <v>74</v>
      </c>
      <c r="C21" s="14"/>
      <c r="D21" s="59">
        <v>10000</v>
      </c>
      <c r="E21" s="60">
        <v>0.65948400000000007</v>
      </c>
      <c r="F21" s="60">
        <f t="shared" si="0"/>
        <v>6594.8400000000011</v>
      </c>
      <c r="G21" s="61">
        <v>4.20544022906228E-3</v>
      </c>
      <c r="H21" s="62">
        <f t="shared" si="1"/>
        <v>42.054402290622797</v>
      </c>
      <c r="I21" s="64">
        <v>3.8212837031734702E-5</v>
      </c>
    </row>
    <row r="22" spans="1:9">
      <c r="A22" s="14" t="s">
        <v>75</v>
      </c>
      <c r="B22" s="15" t="s">
        <v>76</v>
      </c>
      <c r="C22" s="14"/>
      <c r="D22" s="59">
        <v>10000</v>
      </c>
      <c r="E22" s="60">
        <v>0.65948400000000007</v>
      </c>
      <c r="F22" s="60">
        <f t="shared" si="0"/>
        <v>6594.8400000000011</v>
      </c>
      <c r="G22" s="61">
        <v>4.20544022906228E-3</v>
      </c>
      <c r="H22" s="62">
        <f t="shared" si="1"/>
        <v>42.054402290622797</v>
      </c>
      <c r="I22" s="64">
        <v>3.8212837031734702E-5</v>
      </c>
    </row>
    <row r="23" spans="1:9">
      <c r="A23" s="14" t="s">
        <v>77</v>
      </c>
      <c r="B23" s="15" t="s">
        <v>78</v>
      </c>
      <c r="C23" s="14"/>
      <c r="D23" s="59">
        <v>2000</v>
      </c>
      <c r="E23" s="60">
        <v>0.42824074074074098</v>
      </c>
      <c r="F23" s="60">
        <f t="shared" si="0"/>
        <v>856.48148148148198</v>
      </c>
      <c r="G23" s="61">
        <v>0.01</v>
      </c>
      <c r="H23" s="62">
        <f t="shared" si="1"/>
        <v>20</v>
      </c>
      <c r="I23" s="63"/>
    </row>
    <row r="24" spans="1:9">
      <c r="A24" s="14" t="s">
        <v>79</v>
      </c>
      <c r="B24" s="15" t="s">
        <v>80</v>
      </c>
      <c r="C24" s="14"/>
      <c r="D24" s="59">
        <v>100</v>
      </c>
      <c r="E24" s="60">
        <v>25</v>
      </c>
      <c r="F24" s="60">
        <f t="shared" si="0"/>
        <v>2500</v>
      </c>
      <c r="G24" s="61">
        <v>0.02</v>
      </c>
      <c r="H24" s="62">
        <f t="shared" si="1"/>
        <v>2</v>
      </c>
      <c r="I24" s="63">
        <v>5.0000000000000002E-5</v>
      </c>
    </row>
    <row r="25" spans="1:9">
      <c r="A25" s="14" t="s">
        <v>81</v>
      </c>
      <c r="B25" s="15" t="s">
        <v>82</v>
      </c>
      <c r="C25" s="14"/>
      <c r="D25" s="59">
        <v>1000</v>
      </c>
      <c r="E25" s="60">
        <v>0.82175925925925897</v>
      </c>
      <c r="F25" s="60">
        <f t="shared" si="0"/>
        <v>821.75925925925901</v>
      </c>
      <c r="G25" s="61">
        <v>0.33</v>
      </c>
      <c r="H25" s="62">
        <f t="shared" si="1"/>
        <v>330</v>
      </c>
      <c r="I25" s="63">
        <v>7.3999999999999999E-4</v>
      </c>
    </row>
    <row r="26" spans="1:9">
      <c r="A26" s="14" t="s">
        <v>83</v>
      </c>
      <c r="B26" s="15" t="s">
        <v>84</v>
      </c>
      <c r="C26" s="14"/>
      <c r="D26" s="59">
        <v>50</v>
      </c>
      <c r="E26" s="60">
        <v>6.1774744027303825</v>
      </c>
      <c r="F26" s="60">
        <f t="shared" si="0"/>
        <v>308.87372013651913</v>
      </c>
      <c r="G26" s="61">
        <v>2</v>
      </c>
      <c r="H26" s="62">
        <f t="shared" si="1"/>
        <v>100</v>
      </c>
      <c r="I26" s="63"/>
    </row>
    <row r="27" spans="1:9">
      <c r="A27" s="14" t="s">
        <v>85</v>
      </c>
      <c r="B27" s="15" t="s">
        <v>86</v>
      </c>
      <c r="C27" s="14"/>
      <c r="D27" s="59">
        <v>50</v>
      </c>
      <c r="E27" s="60">
        <v>30.284414106939703</v>
      </c>
      <c r="F27" s="60">
        <f t="shared" si="0"/>
        <v>1514.2207053469851</v>
      </c>
      <c r="G27" s="61">
        <v>2</v>
      </c>
      <c r="H27" s="62">
        <f t="shared" si="1"/>
        <v>100</v>
      </c>
      <c r="I27" s="63"/>
    </row>
    <row r="29" spans="1:9">
      <c r="D29" s="65" t="s">
        <v>109</v>
      </c>
      <c r="E29" s="66"/>
      <c r="F29" s="67">
        <f>SUM(F7:F28)</f>
        <v>120761.25722711417</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dimension ref="A1:F22"/>
  <sheetViews>
    <sheetView topLeftCell="C1" zoomScale="120" zoomScaleNormal="120" workbookViewId="0">
      <selection activeCell="D29" sqref="D29"/>
    </sheetView>
  </sheetViews>
  <sheetFormatPr defaultColWidth="8.88671875" defaultRowHeight="14.4"/>
  <cols>
    <col min="2" max="2" width="92.5546875" style="73" customWidth="1"/>
    <col min="3" max="3" width="35.5546875" style="73" customWidth="1"/>
    <col min="4" max="4" width="16.6640625" style="73" customWidth="1"/>
    <col min="5" max="5" width="13.88671875" style="73" customWidth="1"/>
    <col min="6" max="6" width="14" style="73" customWidth="1"/>
  </cols>
  <sheetData>
    <row r="1" spans="1:6">
      <c r="A1" s="108"/>
      <c r="B1" s="108"/>
      <c r="C1" s="108"/>
      <c r="D1" s="108"/>
      <c r="E1" s="108"/>
      <c r="F1" s="108"/>
    </row>
    <row r="2" spans="1:6">
      <c r="A2" s="108"/>
      <c r="B2" s="108"/>
      <c r="C2" s="108"/>
      <c r="D2" s="108"/>
      <c r="E2" s="108"/>
      <c r="F2" s="108"/>
    </row>
    <row r="3" spans="1:6">
      <c r="A3" s="109"/>
      <c r="B3" s="19" t="s">
        <v>106</v>
      </c>
      <c r="C3" s="19"/>
      <c r="D3" s="19"/>
      <c r="E3" s="108"/>
      <c r="F3" s="108"/>
    </row>
    <row r="4" spans="1:6">
      <c r="A4" s="110"/>
      <c r="B4" s="108"/>
      <c r="C4" s="108"/>
      <c r="D4" s="111" t="s">
        <v>110</v>
      </c>
      <c r="E4" s="112" t="s">
        <v>88</v>
      </c>
      <c r="F4" s="112" t="s">
        <v>107</v>
      </c>
    </row>
    <row r="5" spans="1:6">
      <c r="A5" s="23"/>
      <c r="B5" s="24" t="s">
        <v>89</v>
      </c>
      <c r="C5" s="23" t="s">
        <v>90</v>
      </c>
      <c r="D5" s="23">
        <v>200</v>
      </c>
      <c r="E5" s="24">
        <v>500</v>
      </c>
      <c r="F5" s="23">
        <f t="shared" ref="F5:F20" si="0">E5*D5</f>
        <v>100000</v>
      </c>
    </row>
    <row r="6" spans="1:6">
      <c r="A6" s="23"/>
      <c r="B6" s="24" t="s">
        <v>91</v>
      </c>
      <c r="C6" s="23" t="s">
        <v>90</v>
      </c>
      <c r="D6" s="23">
        <v>200</v>
      </c>
      <c r="E6" s="24">
        <v>150</v>
      </c>
      <c r="F6" s="23">
        <f t="shared" si="0"/>
        <v>30000</v>
      </c>
    </row>
    <row r="7" spans="1:6">
      <c r="A7" s="23"/>
      <c r="B7" s="24" t="s">
        <v>92</v>
      </c>
      <c r="C7" s="23" t="s">
        <v>93</v>
      </c>
      <c r="D7" s="23">
        <v>50</v>
      </c>
      <c r="E7" s="24">
        <v>50</v>
      </c>
      <c r="F7" s="23">
        <f t="shared" si="0"/>
        <v>2500</v>
      </c>
    </row>
    <row r="8" spans="1:6">
      <c r="A8" s="23"/>
      <c r="B8" s="24" t="s">
        <v>94</v>
      </c>
      <c r="C8" s="23" t="s">
        <v>93</v>
      </c>
      <c r="D8" s="23">
        <v>50</v>
      </c>
      <c r="E8" s="24">
        <v>30</v>
      </c>
      <c r="F8" s="23">
        <f t="shared" si="0"/>
        <v>1500</v>
      </c>
    </row>
    <row r="9" spans="1:6">
      <c r="A9" s="23"/>
      <c r="B9" s="24" t="s">
        <v>95</v>
      </c>
      <c r="C9" s="23" t="s">
        <v>96</v>
      </c>
      <c r="D9" s="23">
        <v>800</v>
      </c>
      <c r="E9" s="24">
        <v>50</v>
      </c>
      <c r="F9" s="23">
        <f t="shared" si="0"/>
        <v>40000</v>
      </c>
    </row>
    <row r="10" spans="1:6">
      <c r="A10" s="23"/>
      <c r="B10" s="24" t="s">
        <v>97</v>
      </c>
      <c r="C10" s="23" t="s">
        <v>98</v>
      </c>
      <c r="D10" s="23">
        <v>20000</v>
      </c>
      <c r="E10" s="24">
        <v>2</v>
      </c>
      <c r="F10" s="23">
        <f t="shared" si="0"/>
        <v>40000</v>
      </c>
    </row>
    <row r="11" spans="1:6">
      <c r="A11" s="23"/>
      <c r="B11" s="24" t="s">
        <v>169</v>
      </c>
      <c r="C11" s="23" t="s">
        <v>99</v>
      </c>
      <c r="D11" s="23">
        <v>400</v>
      </c>
      <c r="E11" s="24">
        <v>50</v>
      </c>
      <c r="F11" s="23">
        <f t="shared" si="0"/>
        <v>20000</v>
      </c>
    </row>
    <row r="12" spans="1:6">
      <c r="A12" s="34"/>
      <c r="B12" s="35" t="s">
        <v>170</v>
      </c>
      <c r="C12" s="34" t="s">
        <v>111</v>
      </c>
      <c r="D12" s="34">
        <v>200</v>
      </c>
      <c r="E12" s="35">
        <v>25</v>
      </c>
      <c r="F12" s="34">
        <f t="shared" si="0"/>
        <v>5000</v>
      </c>
    </row>
    <row r="13" spans="1:6">
      <c r="A13" s="28"/>
      <c r="B13" s="29" t="s">
        <v>171</v>
      </c>
      <c r="C13" s="28" t="s">
        <v>112</v>
      </c>
      <c r="D13" s="28">
        <v>400</v>
      </c>
      <c r="E13" s="29">
        <v>50</v>
      </c>
      <c r="F13" s="28">
        <f t="shared" si="0"/>
        <v>20000</v>
      </c>
    </row>
    <row r="14" spans="1:6">
      <c r="A14" s="23"/>
      <c r="B14" s="24" t="s">
        <v>100</v>
      </c>
      <c r="C14" s="23" t="s">
        <v>113</v>
      </c>
      <c r="D14" s="23">
        <v>800</v>
      </c>
      <c r="E14" s="24">
        <v>50</v>
      </c>
      <c r="F14" s="23">
        <f t="shared" si="0"/>
        <v>40000</v>
      </c>
    </row>
    <row r="15" spans="1:6">
      <c r="A15" s="30"/>
      <c r="B15" s="31" t="s">
        <v>172</v>
      </c>
      <c r="C15" s="30" t="s">
        <v>112</v>
      </c>
      <c r="D15" s="25">
        <v>400</v>
      </c>
      <c r="E15" s="32">
        <v>50</v>
      </c>
      <c r="F15" s="25">
        <f t="shared" si="0"/>
        <v>20000</v>
      </c>
    </row>
    <row r="16" spans="1:6">
      <c r="A16" s="30"/>
      <c r="B16" s="31" t="s">
        <v>173</v>
      </c>
      <c r="C16" s="30" t="s">
        <v>112</v>
      </c>
      <c r="D16" s="25">
        <v>400</v>
      </c>
      <c r="E16" s="32">
        <v>50</v>
      </c>
      <c r="F16" s="25">
        <f t="shared" si="0"/>
        <v>20000</v>
      </c>
    </row>
    <row r="17" spans="1:6">
      <c r="A17" s="23"/>
      <c r="B17" s="24" t="s">
        <v>174</v>
      </c>
      <c r="C17" s="23" t="s">
        <v>101</v>
      </c>
      <c r="D17" s="23">
        <v>400</v>
      </c>
      <c r="E17" s="24">
        <v>50</v>
      </c>
      <c r="F17" s="23">
        <f t="shared" si="0"/>
        <v>20000</v>
      </c>
    </row>
    <row r="18" spans="1:6">
      <c r="A18" s="23"/>
      <c r="B18" s="24" t="s">
        <v>175</v>
      </c>
      <c r="C18" s="23" t="s">
        <v>114</v>
      </c>
      <c r="D18" s="23">
        <v>800</v>
      </c>
      <c r="E18" s="24">
        <v>25</v>
      </c>
      <c r="F18" s="23">
        <f t="shared" si="0"/>
        <v>20000</v>
      </c>
    </row>
    <row r="19" spans="1:6">
      <c r="A19" s="23"/>
      <c r="B19" s="24" t="s">
        <v>102</v>
      </c>
      <c r="C19" s="23" t="s">
        <v>103</v>
      </c>
      <c r="D19" s="23">
        <v>20000</v>
      </c>
      <c r="E19" s="24">
        <v>0.5</v>
      </c>
      <c r="F19" s="23">
        <f t="shared" si="0"/>
        <v>10000</v>
      </c>
    </row>
    <row r="20" spans="1:6">
      <c r="A20" s="23"/>
      <c r="B20" s="24" t="s">
        <v>104</v>
      </c>
      <c r="C20" s="23" t="s">
        <v>105</v>
      </c>
      <c r="D20" s="23">
        <v>100</v>
      </c>
      <c r="E20" s="24">
        <v>30</v>
      </c>
      <c r="F20" s="23">
        <f t="shared" si="0"/>
        <v>3000</v>
      </c>
    </row>
    <row r="21" spans="1:6">
      <c r="A21" s="108"/>
      <c r="B21" s="108"/>
      <c r="C21" s="108"/>
      <c r="D21" s="108"/>
      <c r="E21" s="108"/>
      <c r="F21" s="108"/>
    </row>
    <row r="22" spans="1:6">
      <c r="A22" s="108"/>
      <c r="B22" s="108"/>
      <c r="C22" s="113" t="s">
        <v>109</v>
      </c>
      <c r="D22" s="113"/>
      <c r="E22" s="114"/>
      <c r="F22" s="38">
        <f>SUM(F5:F21)</f>
        <v>392000</v>
      </c>
    </row>
  </sheetData>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dimension ref="A4:F23"/>
  <sheetViews>
    <sheetView topLeftCell="A3" workbookViewId="0">
      <selection activeCell="G8" sqref="G8"/>
    </sheetView>
  </sheetViews>
  <sheetFormatPr defaultRowHeight="14.4"/>
  <cols>
    <col min="2" max="2" width="86.5546875" style="40" customWidth="1"/>
    <col min="3" max="3" width="37.109375" style="40" customWidth="1"/>
    <col min="4" max="4" width="12.109375" style="40" customWidth="1"/>
    <col min="5" max="5" width="12.88671875" style="40" customWidth="1"/>
    <col min="6" max="6" width="14.44140625" style="40" customWidth="1"/>
  </cols>
  <sheetData>
    <row r="4" spans="1:6" ht="21">
      <c r="A4" s="6"/>
      <c r="B4" s="68" t="s">
        <v>115</v>
      </c>
      <c r="C4" s="8"/>
      <c r="D4" s="8"/>
    </row>
    <row r="5" spans="1:6" ht="28.2">
      <c r="A5" s="7"/>
      <c r="D5" s="69" t="s">
        <v>110</v>
      </c>
      <c r="E5" s="70" t="s">
        <v>88</v>
      </c>
      <c r="F5" s="70" t="s">
        <v>107</v>
      </c>
    </row>
    <row r="6" spans="1:6">
      <c r="A6" s="2"/>
      <c r="B6" s="10" t="s">
        <v>89</v>
      </c>
      <c r="C6" s="9" t="s">
        <v>127</v>
      </c>
      <c r="D6" s="9">
        <v>20</v>
      </c>
      <c r="E6" s="10">
        <v>500</v>
      </c>
      <c r="F6" s="9">
        <f t="shared" ref="F6:F21" si="0">E6*D6</f>
        <v>10000</v>
      </c>
    </row>
    <row r="7" spans="1:6">
      <c r="A7" s="2"/>
      <c r="B7" s="10" t="s">
        <v>91</v>
      </c>
      <c r="C7" s="9" t="s">
        <v>127</v>
      </c>
      <c r="D7" s="9">
        <v>20</v>
      </c>
      <c r="E7" s="10">
        <v>150</v>
      </c>
      <c r="F7" s="9">
        <f t="shared" si="0"/>
        <v>3000</v>
      </c>
    </row>
    <row r="8" spans="1:6">
      <c r="A8" s="2"/>
      <c r="B8" s="10" t="s">
        <v>92</v>
      </c>
      <c r="C8" s="9" t="s">
        <v>119</v>
      </c>
      <c r="D8" s="9">
        <v>5</v>
      </c>
      <c r="E8" s="10">
        <v>50</v>
      </c>
      <c r="F8" s="9">
        <f t="shared" si="0"/>
        <v>250</v>
      </c>
    </row>
    <row r="9" spans="1:6">
      <c r="A9" s="2"/>
      <c r="B9" s="10" t="s">
        <v>94</v>
      </c>
      <c r="C9" s="9" t="s">
        <v>119</v>
      </c>
      <c r="D9" s="9">
        <v>5</v>
      </c>
      <c r="E9" s="10">
        <v>30</v>
      </c>
      <c r="F9" s="9">
        <f t="shared" si="0"/>
        <v>150</v>
      </c>
    </row>
    <row r="10" spans="1:6">
      <c r="A10" s="2"/>
      <c r="B10" s="10" t="s">
        <v>95</v>
      </c>
      <c r="C10" s="9" t="s">
        <v>120</v>
      </c>
      <c r="D10" s="9">
        <v>80</v>
      </c>
      <c r="E10" s="10">
        <v>50</v>
      </c>
      <c r="F10" s="9">
        <f t="shared" si="0"/>
        <v>4000</v>
      </c>
    </row>
    <row r="11" spans="1:6">
      <c r="A11" s="2"/>
      <c r="B11" s="10" t="s">
        <v>97</v>
      </c>
      <c r="C11" s="9" t="s">
        <v>116</v>
      </c>
      <c r="D11" s="9">
        <v>20000</v>
      </c>
      <c r="E11" s="10">
        <v>2</v>
      </c>
      <c r="F11" s="9">
        <f t="shared" si="0"/>
        <v>40000</v>
      </c>
    </row>
    <row r="12" spans="1:6">
      <c r="A12" s="2"/>
      <c r="B12" s="10" t="s">
        <v>129</v>
      </c>
      <c r="C12" s="9" t="s">
        <v>121</v>
      </c>
      <c r="D12" s="9">
        <v>40</v>
      </c>
      <c r="E12" s="10">
        <v>50</v>
      </c>
      <c r="F12" s="9">
        <f t="shared" si="0"/>
        <v>2000</v>
      </c>
    </row>
    <row r="13" spans="1:6">
      <c r="A13" s="4"/>
      <c r="B13" s="18" t="s">
        <v>130</v>
      </c>
      <c r="C13" s="17" t="s">
        <v>122</v>
      </c>
      <c r="D13" s="17">
        <v>20</v>
      </c>
      <c r="E13" s="18">
        <v>25</v>
      </c>
      <c r="F13" s="17">
        <f t="shared" si="0"/>
        <v>500</v>
      </c>
    </row>
    <row r="14" spans="1:6">
      <c r="A14" s="5"/>
      <c r="B14" s="13" t="s">
        <v>131</v>
      </c>
      <c r="C14" s="12" t="s">
        <v>123</v>
      </c>
      <c r="D14" s="12">
        <v>40</v>
      </c>
      <c r="E14" s="13">
        <v>50</v>
      </c>
      <c r="F14" s="12">
        <f t="shared" si="0"/>
        <v>2000</v>
      </c>
    </row>
    <row r="15" spans="1:6">
      <c r="A15" s="2"/>
      <c r="B15" s="10" t="s">
        <v>100</v>
      </c>
      <c r="C15" s="9" t="s">
        <v>124</v>
      </c>
      <c r="D15" s="9">
        <v>80</v>
      </c>
      <c r="E15" s="10">
        <v>50</v>
      </c>
      <c r="F15" s="9">
        <f t="shared" si="0"/>
        <v>4000</v>
      </c>
    </row>
    <row r="16" spans="1:6">
      <c r="A16" s="3"/>
      <c r="B16" s="15" t="s">
        <v>132</v>
      </c>
      <c r="C16" s="14" t="s">
        <v>123</v>
      </c>
      <c r="D16" s="11">
        <v>40</v>
      </c>
      <c r="E16" s="16">
        <v>50</v>
      </c>
      <c r="F16" s="11">
        <f t="shared" si="0"/>
        <v>2000</v>
      </c>
    </row>
    <row r="17" spans="1:6">
      <c r="A17" s="3"/>
      <c r="B17" s="15" t="s">
        <v>133</v>
      </c>
      <c r="C17" s="14" t="s">
        <v>123</v>
      </c>
      <c r="D17" s="11">
        <v>40</v>
      </c>
      <c r="E17" s="16">
        <v>50</v>
      </c>
      <c r="F17" s="11">
        <f t="shared" si="0"/>
        <v>2000</v>
      </c>
    </row>
    <row r="18" spans="1:6">
      <c r="A18" s="2"/>
      <c r="B18" s="10" t="s">
        <v>134</v>
      </c>
      <c r="C18" s="9" t="s">
        <v>125</v>
      </c>
      <c r="D18" s="9">
        <v>40</v>
      </c>
      <c r="E18" s="10">
        <v>50</v>
      </c>
      <c r="F18" s="9">
        <f t="shared" si="0"/>
        <v>2000</v>
      </c>
    </row>
    <row r="19" spans="1:6">
      <c r="A19" s="2"/>
      <c r="B19" s="10" t="s">
        <v>135</v>
      </c>
      <c r="C19" s="9" t="s">
        <v>126</v>
      </c>
      <c r="D19" s="9">
        <v>80</v>
      </c>
      <c r="E19" s="10">
        <v>25</v>
      </c>
      <c r="F19" s="9">
        <f t="shared" si="0"/>
        <v>2000</v>
      </c>
    </row>
    <row r="20" spans="1:6">
      <c r="A20" s="2"/>
      <c r="B20" s="10" t="s">
        <v>102</v>
      </c>
      <c r="C20" s="9" t="s">
        <v>117</v>
      </c>
      <c r="D20" s="9">
        <v>20000</v>
      </c>
      <c r="E20" s="10">
        <v>0.5</v>
      </c>
      <c r="F20" s="9">
        <f t="shared" si="0"/>
        <v>10000</v>
      </c>
    </row>
    <row r="21" spans="1:6">
      <c r="A21" s="2"/>
      <c r="B21" s="10" t="s">
        <v>104</v>
      </c>
      <c r="C21" s="9" t="s">
        <v>118</v>
      </c>
      <c r="D21" s="9">
        <v>10</v>
      </c>
      <c r="E21" s="10">
        <v>30</v>
      </c>
      <c r="F21" s="9">
        <f t="shared" si="0"/>
        <v>300</v>
      </c>
    </row>
    <row r="23" spans="1:6">
      <c r="C23" s="71" t="s">
        <v>109</v>
      </c>
      <c r="D23" s="71"/>
      <c r="E23" s="66"/>
      <c r="F23" s="72">
        <f>SUM(F6:F22)</f>
        <v>84200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3:J29"/>
  <sheetViews>
    <sheetView topLeftCell="A7" workbookViewId="0">
      <selection activeCell="D16" sqref="D16"/>
    </sheetView>
  </sheetViews>
  <sheetFormatPr defaultRowHeight="14.4"/>
  <cols>
    <col min="1" max="1" width="17.88671875" style="40" customWidth="1"/>
    <col min="2" max="2" width="57" style="40" customWidth="1"/>
    <col min="3" max="3" width="9.109375" style="40"/>
    <col min="4" max="4" width="13.88671875" style="40" customWidth="1"/>
    <col min="5" max="5" width="12.44140625" style="40" customWidth="1"/>
    <col min="6" max="6" width="14.44140625" style="40" customWidth="1"/>
    <col min="7" max="7" width="12.88671875" style="40" customWidth="1"/>
    <col min="8" max="8" width="11.88671875" style="40" customWidth="1"/>
    <col min="9" max="9" width="13.5546875" style="40" customWidth="1"/>
    <col min="10" max="10" width="9.109375" style="40"/>
  </cols>
  <sheetData>
    <row r="3" spans="1:9">
      <c r="A3" s="41"/>
      <c r="B3" s="42" t="s">
        <v>128</v>
      </c>
      <c r="C3" s="43"/>
      <c r="D3" s="44"/>
      <c r="E3" s="45"/>
      <c r="F3" s="45"/>
      <c r="G3" s="46"/>
      <c r="H3" s="46"/>
      <c r="I3" s="46"/>
    </row>
    <row r="4" spans="1:9">
      <c r="A4" s="41"/>
      <c r="B4" s="41"/>
      <c r="C4" s="43"/>
      <c r="D4" s="44"/>
      <c r="E4" s="45"/>
      <c r="F4" s="45"/>
      <c r="G4" s="46"/>
      <c r="H4" s="46"/>
      <c r="I4" s="46"/>
    </row>
    <row r="5" spans="1:9">
      <c r="A5" s="47"/>
      <c r="B5" s="47"/>
      <c r="C5" s="46"/>
      <c r="D5" s="48"/>
      <c r="E5" s="49"/>
      <c r="F5" s="50"/>
      <c r="G5" s="51"/>
      <c r="H5" s="51">
        <f>SUM(H7:H28)</f>
        <v>948.7538037085335</v>
      </c>
      <c r="I5" s="52">
        <f>SUM(I7:I28)</f>
        <v>5.6249729000527951E-3</v>
      </c>
    </row>
    <row r="6" spans="1:9">
      <c r="A6" s="53" t="s">
        <v>36</v>
      </c>
      <c r="B6" s="54" t="s">
        <v>37</v>
      </c>
      <c r="C6" s="53" t="s">
        <v>38</v>
      </c>
      <c r="D6" s="55" t="s">
        <v>39</v>
      </c>
      <c r="E6" s="56" t="s">
        <v>40</v>
      </c>
      <c r="F6" s="57" t="s">
        <v>41</v>
      </c>
      <c r="G6" s="58" t="s">
        <v>42</v>
      </c>
      <c r="H6" s="58" t="s">
        <v>43</v>
      </c>
      <c r="I6" s="53" t="s">
        <v>44</v>
      </c>
    </row>
    <row r="7" spans="1:9">
      <c r="A7" s="9" t="s">
        <v>45</v>
      </c>
      <c r="B7" s="10" t="s">
        <v>46</v>
      </c>
      <c r="C7" s="14"/>
      <c r="D7" s="59">
        <v>200</v>
      </c>
      <c r="E7" s="60">
        <v>13</v>
      </c>
      <c r="F7" s="60">
        <f>D7*E7</f>
        <v>2600</v>
      </c>
      <c r="G7" s="61">
        <v>0.86</v>
      </c>
      <c r="H7" s="62">
        <f>G7*D7</f>
        <v>172</v>
      </c>
      <c r="I7" s="63">
        <v>5.0000000000000002E-5</v>
      </c>
    </row>
    <row r="8" spans="1:9">
      <c r="A8" s="9" t="s">
        <v>47</v>
      </c>
      <c r="B8" s="10" t="s">
        <v>48</v>
      </c>
      <c r="C8" s="14"/>
      <c r="D8" s="59">
        <v>1000</v>
      </c>
      <c r="E8" s="60">
        <v>1.288056206088994</v>
      </c>
      <c r="F8" s="60">
        <f t="shared" ref="F8:F27" si="0">D8*E8</f>
        <v>1288.056206088994</v>
      </c>
      <c r="G8" s="61">
        <v>0.12</v>
      </c>
      <c r="H8" s="62">
        <f t="shared" ref="H8:H27" si="1">G8*D8</f>
        <v>120</v>
      </c>
      <c r="I8" s="63"/>
    </row>
    <row r="9" spans="1:9">
      <c r="A9" s="9" t="s">
        <v>49</v>
      </c>
      <c r="B9" s="10" t="s">
        <v>50</v>
      </c>
      <c r="C9" s="14"/>
      <c r="D9" s="59">
        <v>2000</v>
      </c>
      <c r="E9" s="60">
        <v>0.35</v>
      </c>
      <c r="F9" s="60">
        <f t="shared" si="0"/>
        <v>700</v>
      </c>
      <c r="G9" s="61">
        <v>5.0000000000000001E-3</v>
      </c>
      <c r="H9" s="62">
        <f t="shared" si="1"/>
        <v>10</v>
      </c>
      <c r="I9" s="63"/>
    </row>
    <row r="10" spans="1:9">
      <c r="A10" s="9" t="s">
        <v>51</v>
      </c>
      <c r="B10" s="10" t="s">
        <v>52</v>
      </c>
      <c r="C10" s="14"/>
      <c r="D10" s="59">
        <v>10</v>
      </c>
      <c r="E10" s="60">
        <v>6</v>
      </c>
      <c r="F10" s="60">
        <f t="shared" si="0"/>
        <v>60</v>
      </c>
      <c r="G10" s="61">
        <v>1</v>
      </c>
      <c r="H10" s="62">
        <f t="shared" si="1"/>
        <v>10</v>
      </c>
      <c r="I10" s="63"/>
    </row>
    <row r="11" spans="1:9">
      <c r="A11" s="9" t="s">
        <v>53</v>
      </c>
      <c r="B11" s="10" t="s">
        <v>54</v>
      </c>
      <c r="C11" s="14"/>
      <c r="D11" s="59">
        <v>1500</v>
      </c>
      <c r="E11" s="60">
        <v>0.8</v>
      </c>
      <c r="F11" s="60">
        <f t="shared" si="0"/>
        <v>1200</v>
      </c>
      <c r="G11" s="61">
        <v>0.11467022493328199</v>
      </c>
      <c r="H11" s="62">
        <f t="shared" si="1"/>
        <v>172.00533739992298</v>
      </c>
      <c r="I11" s="63">
        <v>1.1256118947769701E-3</v>
      </c>
    </row>
    <row r="12" spans="1:9">
      <c r="A12" s="9" t="s">
        <v>55</v>
      </c>
      <c r="B12" s="10" t="s">
        <v>56</v>
      </c>
      <c r="C12" s="14"/>
      <c r="D12" s="59">
        <v>1500</v>
      </c>
      <c r="E12" s="60">
        <v>0.8</v>
      </c>
      <c r="F12" s="60">
        <f t="shared" si="0"/>
        <v>1200</v>
      </c>
      <c r="G12" s="61">
        <v>0.11467022493328199</v>
      </c>
      <c r="H12" s="62">
        <f t="shared" si="1"/>
        <v>172.00533739992298</v>
      </c>
      <c r="I12" s="63">
        <v>1.1256118947769701E-3</v>
      </c>
    </row>
    <row r="13" spans="1:9">
      <c r="A13" s="9" t="s">
        <v>57</v>
      </c>
      <c r="B13" s="10" t="s">
        <v>58</v>
      </c>
      <c r="C13" s="14"/>
      <c r="D13" s="59">
        <v>500</v>
      </c>
      <c r="E13" s="60">
        <v>0.8</v>
      </c>
      <c r="F13" s="60">
        <f t="shared" si="0"/>
        <v>400</v>
      </c>
      <c r="G13" s="61">
        <v>0.11467022493328199</v>
      </c>
      <c r="H13" s="62">
        <f t="shared" si="1"/>
        <v>57.335112466641</v>
      </c>
      <c r="I13" s="63">
        <v>1.1256118947769701E-3</v>
      </c>
    </row>
    <row r="14" spans="1:9">
      <c r="A14" s="17" t="s">
        <v>59</v>
      </c>
      <c r="B14" s="18" t="s">
        <v>60</v>
      </c>
      <c r="C14" s="14"/>
      <c r="D14" s="59">
        <v>500</v>
      </c>
      <c r="E14" s="60">
        <v>0.8</v>
      </c>
      <c r="F14" s="60">
        <f t="shared" si="0"/>
        <v>400</v>
      </c>
      <c r="G14" s="61">
        <v>0.11467022493328199</v>
      </c>
      <c r="H14" s="62">
        <f t="shared" si="1"/>
        <v>57.335112466641</v>
      </c>
      <c r="I14" s="63">
        <v>1.1256118947769701E-3</v>
      </c>
    </row>
    <row r="15" spans="1:9">
      <c r="A15" s="12" t="s">
        <v>61</v>
      </c>
      <c r="B15" s="13" t="s">
        <v>62</v>
      </c>
      <c r="C15" s="14"/>
      <c r="D15" s="59">
        <v>5000</v>
      </c>
      <c r="E15" s="60">
        <v>6.6000000000000003E-2</v>
      </c>
      <c r="F15" s="60">
        <f t="shared" si="0"/>
        <v>330</v>
      </c>
      <c r="G15" s="61">
        <v>7.0700762039437497E-3</v>
      </c>
      <c r="H15" s="62">
        <f t="shared" si="1"/>
        <v>35.350381019718746</v>
      </c>
      <c r="I15" s="64">
        <v>3.2418493204493698E-5</v>
      </c>
    </row>
    <row r="16" spans="1:9">
      <c r="A16" s="9" t="s">
        <v>63</v>
      </c>
      <c r="B16" s="10" t="s">
        <v>64</v>
      </c>
      <c r="C16" s="14"/>
      <c r="D16" s="59">
        <v>5000</v>
      </c>
      <c r="E16" s="60">
        <v>6.6000000000000003E-2</v>
      </c>
      <c r="F16" s="60">
        <f t="shared" si="0"/>
        <v>330</v>
      </c>
      <c r="G16" s="61">
        <v>7.0700762039437497E-3</v>
      </c>
      <c r="H16" s="62">
        <f t="shared" si="1"/>
        <v>35.350381019718746</v>
      </c>
      <c r="I16" s="64">
        <v>3.2418493204493698E-5</v>
      </c>
    </row>
    <row r="17" spans="1:9">
      <c r="A17" s="14" t="s">
        <v>65</v>
      </c>
      <c r="B17" s="15" t="s">
        <v>66</v>
      </c>
      <c r="C17" s="14"/>
      <c r="D17" s="59">
        <v>2500</v>
      </c>
      <c r="E17" s="60">
        <v>6.6000000000000003E-2</v>
      </c>
      <c r="F17" s="60">
        <f t="shared" si="0"/>
        <v>165</v>
      </c>
      <c r="G17" s="61">
        <v>7.0700762039437497E-3</v>
      </c>
      <c r="H17" s="62">
        <f t="shared" si="1"/>
        <v>17.675190509859373</v>
      </c>
      <c r="I17" s="64">
        <v>3.2418493204493698E-5</v>
      </c>
    </row>
    <row r="18" spans="1:9">
      <c r="A18" s="14" t="s">
        <v>67</v>
      </c>
      <c r="B18" s="15" t="s">
        <v>68</v>
      </c>
      <c r="C18" s="14"/>
      <c r="D18" s="59">
        <v>2500</v>
      </c>
      <c r="E18" s="60">
        <v>6.6000000000000003E-2</v>
      </c>
      <c r="F18" s="60">
        <f t="shared" si="0"/>
        <v>165</v>
      </c>
      <c r="G18" s="61">
        <v>7.0700762039437497E-3</v>
      </c>
      <c r="H18" s="62">
        <f t="shared" si="1"/>
        <v>17.675190509859373</v>
      </c>
      <c r="I18" s="64">
        <v>3.2418493204493698E-5</v>
      </c>
    </row>
    <row r="19" spans="1:9">
      <c r="A19" s="14" t="s">
        <v>69</v>
      </c>
      <c r="B19" s="15" t="s">
        <v>70</v>
      </c>
      <c r="C19" s="14"/>
      <c r="D19" s="59">
        <v>1000</v>
      </c>
      <c r="E19" s="60">
        <v>0.65948400000000007</v>
      </c>
      <c r="F19" s="60">
        <f t="shared" si="0"/>
        <v>659.48400000000004</v>
      </c>
      <c r="G19" s="61">
        <v>4.20544022906228E-3</v>
      </c>
      <c r="H19" s="62">
        <f t="shared" si="1"/>
        <v>4.2054402290622797</v>
      </c>
      <c r="I19" s="64">
        <v>3.8212837031734702E-5</v>
      </c>
    </row>
    <row r="20" spans="1:9">
      <c r="A20" s="14" t="s">
        <v>71</v>
      </c>
      <c r="B20" s="15" t="s">
        <v>72</v>
      </c>
      <c r="C20" s="14"/>
      <c r="D20" s="59">
        <v>1000</v>
      </c>
      <c r="E20" s="60">
        <v>0.65948400000000007</v>
      </c>
      <c r="F20" s="60">
        <f t="shared" si="0"/>
        <v>659.48400000000004</v>
      </c>
      <c r="G20" s="61">
        <v>4.20544022906228E-3</v>
      </c>
      <c r="H20" s="62">
        <f t="shared" si="1"/>
        <v>4.2054402290622797</v>
      </c>
      <c r="I20" s="64">
        <v>3.8212837031734702E-5</v>
      </c>
    </row>
    <row r="21" spans="1:9">
      <c r="A21" s="14" t="s">
        <v>73</v>
      </c>
      <c r="B21" s="15" t="s">
        <v>74</v>
      </c>
      <c r="C21" s="14"/>
      <c r="D21" s="59">
        <v>1000</v>
      </c>
      <c r="E21" s="60">
        <v>0.65948400000000007</v>
      </c>
      <c r="F21" s="60">
        <f t="shared" si="0"/>
        <v>659.48400000000004</v>
      </c>
      <c r="G21" s="61">
        <v>4.20544022906228E-3</v>
      </c>
      <c r="H21" s="62">
        <f t="shared" si="1"/>
        <v>4.2054402290622797</v>
      </c>
      <c r="I21" s="64">
        <v>3.8212837031734702E-5</v>
      </c>
    </row>
    <row r="22" spans="1:9">
      <c r="A22" s="14" t="s">
        <v>75</v>
      </c>
      <c r="B22" s="15" t="s">
        <v>76</v>
      </c>
      <c r="C22" s="14"/>
      <c r="D22" s="59">
        <v>1000</v>
      </c>
      <c r="E22" s="60">
        <v>0.65948400000000007</v>
      </c>
      <c r="F22" s="60">
        <f t="shared" si="0"/>
        <v>659.48400000000004</v>
      </c>
      <c r="G22" s="61">
        <v>4.20544022906228E-3</v>
      </c>
      <c r="H22" s="62">
        <f t="shared" si="1"/>
        <v>4.2054402290622797</v>
      </c>
      <c r="I22" s="64">
        <v>3.8212837031734702E-5</v>
      </c>
    </row>
    <row r="23" spans="1:9">
      <c r="A23" s="14" t="s">
        <v>77</v>
      </c>
      <c r="B23" s="15" t="s">
        <v>78</v>
      </c>
      <c r="C23" s="14"/>
      <c r="D23" s="59">
        <v>200</v>
      </c>
      <c r="E23" s="60">
        <v>0.42824074074074098</v>
      </c>
      <c r="F23" s="60">
        <f t="shared" si="0"/>
        <v>85.648148148148195</v>
      </c>
      <c r="G23" s="61">
        <v>0.01</v>
      </c>
      <c r="H23" s="62">
        <f t="shared" si="1"/>
        <v>2</v>
      </c>
      <c r="I23" s="63"/>
    </row>
    <row r="24" spans="1:9">
      <c r="A24" s="14" t="s">
        <v>79</v>
      </c>
      <c r="B24" s="15" t="s">
        <v>80</v>
      </c>
      <c r="C24" s="14"/>
      <c r="D24" s="59">
        <v>10</v>
      </c>
      <c r="E24" s="60">
        <v>25</v>
      </c>
      <c r="F24" s="60">
        <f t="shared" si="0"/>
        <v>250</v>
      </c>
      <c r="G24" s="61">
        <v>0.02</v>
      </c>
      <c r="H24" s="62">
        <f t="shared" si="1"/>
        <v>0.2</v>
      </c>
      <c r="I24" s="63">
        <v>5.0000000000000002E-5</v>
      </c>
    </row>
    <row r="25" spans="1:9">
      <c r="A25" s="14" t="s">
        <v>81</v>
      </c>
      <c r="B25" s="15" t="s">
        <v>82</v>
      </c>
      <c r="C25" s="14"/>
      <c r="D25" s="59">
        <v>100</v>
      </c>
      <c r="E25" s="60">
        <v>0.82175925925925897</v>
      </c>
      <c r="F25" s="60">
        <f t="shared" si="0"/>
        <v>82.175925925925895</v>
      </c>
      <c r="G25" s="61">
        <v>0.33</v>
      </c>
      <c r="H25" s="62">
        <f t="shared" si="1"/>
        <v>33</v>
      </c>
      <c r="I25" s="63">
        <v>7.3999999999999999E-4</v>
      </c>
    </row>
    <row r="26" spans="1:9">
      <c r="A26" s="14" t="s">
        <v>83</v>
      </c>
      <c r="B26" s="15" t="s">
        <v>84</v>
      </c>
      <c r="C26" s="14"/>
      <c r="D26" s="59">
        <v>5</v>
      </c>
      <c r="E26" s="60">
        <v>6.1774744027303825</v>
      </c>
      <c r="F26" s="60">
        <f t="shared" si="0"/>
        <v>30.887372013651913</v>
      </c>
      <c r="G26" s="61">
        <v>2</v>
      </c>
      <c r="H26" s="62">
        <f t="shared" si="1"/>
        <v>10</v>
      </c>
      <c r="I26" s="63"/>
    </row>
    <row r="27" spans="1:9">
      <c r="A27" s="14" t="s">
        <v>85</v>
      </c>
      <c r="B27" s="15" t="s">
        <v>86</v>
      </c>
      <c r="C27" s="14"/>
      <c r="D27" s="59">
        <v>5</v>
      </c>
      <c r="E27" s="60">
        <v>30.284414106939703</v>
      </c>
      <c r="F27" s="60">
        <f t="shared" si="0"/>
        <v>151.42207053469852</v>
      </c>
      <c r="G27" s="61">
        <v>2</v>
      </c>
      <c r="H27" s="62">
        <f t="shared" si="1"/>
        <v>10</v>
      </c>
      <c r="I27" s="63"/>
    </row>
    <row r="29" spans="1:9">
      <c r="D29" s="65" t="s">
        <v>109</v>
      </c>
      <c r="E29" s="66"/>
      <c r="F29" s="67">
        <f>SUM(F7:F28)</f>
        <v>12076.125722711418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Sheet</vt:lpstr>
      <vt:lpstr>Servicecosts</vt:lpstr>
      <vt:lpstr>PPEs</vt:lpstr>
      <vt:lpstr>Lugar - testing</vt:lpstr>
      <vt:lpstr>PPE - reg.labs</vt:lpstr>
      <vt:lpstr>Testing - reg.labs</vt:lpstr>
      <vt:lpstr>Abkhazia - labs</vt:lpstr>
      <vt:lpstr>Abkhazia - PPE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Gvantsa Chanturia</dc:creator>
  <cp:lastModifiedBy>Windows User</cp:lastModifiedBy>
  <dcterms:created xsi:type="dcterms:W3CDTF">2020-03-25T15:48:00Z</dcterms:created>
  <dcterms:modified xsi:type="dcterms:W3CDTF">2020-04-17T08:12:03Z</dcterms:modified>
</cp:coreProperties>
</file>