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akli\Desktop\APCRG PENDING TOPICS\aaa აიპ\2019\"/>
    </mc:Choice>
  </mc:AlternateContent>
  <bookViews>
    <workbookView xWindow="0" yWindow="0" windowWidth="28800" windowHeight="12300" activeTab="1"/>
  </bookViews>
  <sheets>
    <sheet name="FILTR" sheetId="1" r:id="rId1"/>
    <sheet name="CAL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2" l="1"/>
  <c r="L23" i="2"/>
  <c r="L4" i="2"/>
  <c r="AC168" i="1" l="1"/>
  <c r="AC166" i="1"/>
  <c r="AC156" i="1"/>
  <c r="AC151" i="1"/>
  <c r="AC145" i="1"/>
  <c r="AC144" i="1"/>
  <c r="M94" i="2"/>
  <c r="M93" i="2"/>
  <c r="M92" i="2"/>
  <c r="M91" i="2"/>
  <c r="M90" i="2"/>
  <c r="M89" i="2"/>
  <c r="M88" i="2"/>
  <c r="M87" i="2"/>
  <c r="M86" i="2"/>
  <c r="M85" i="2"/>
  <c r="M74" i="2"/>
  <c r="M73" i="2"/>
  <c r="M72" i="2"/>
  <c r="M71" i="2"/>
  <c r="M70" i="2"/>
  <c r="M69" i="2"/>
  <c r="M68" i="2"/>
  <c r="M67" i="2"/>
  <c r="M66" i="2"/>
  <c r="M65" i="2"/>
  <c r="M64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AC135" i="1"/>
  <c r="AC140" i="1"/>
  <c r="AC137" i="1"/>
  <c r="AC136" i="1"/>
  <c r="AC133" i="1"/>
  <c r="AC132" i="1"/>
  <c r="AC131" i="1"/>
  <c r="AC129" i="1"/>
  <c r="AC128" i="1"/>
  <c r="AC126" i="1"/>
  <c r="AC123" i="1"/>
  <c r="AC122" i="1"/>
  <c r="AC109" i="1"/>
  <c r="AC104" i="1"/>
  <c r="AC103" i="1"/>
  <c r="AC102" i="1"/>
  <c r="AC97" i="1"/>
  <c r="AC96" i="1"/>
  <c r="AC87" i="1"/>
  <c r="AC86" i="1"/>
  <c r="AC85" i="1"/>
  <c r="AC82" i="1"/>
  <c r="AC77" i="1"/>
  <c r="AC76" i="1"/>
  <c r="AC73" i="1"/>
  <c r="AC67" i="1"/>
  <c r="AC66" i="1"/>
  <c r="AC45" i="1"/>
  <c r="AC44" i="1"/>
  <c r="AC43" i="1"/>
  <c r="AC36" i="1"/>
  <c r="AC29" i="1"/>
  <c r="AA18" i="1"/>
  <c r="AC11" i="1"/>
  <c r="AC5" i="1"/>
  <c r="M19" i="2"/>
  <c r="AD132" i="1"/>
  <c r="V55" i="1"/>
  <c r="L15" i="2"/>
  <c r="AD178" i="1" l="1"/>
  <c r="AD168" i="1"/>
  <c r="AD166" i="1"/>
  <c r="AD162" i="1"/>
  <c r="AD156" i="1"/>
  <c r="AD151" i="1"/>
  <c r="AD145" i="1"/>
  <c r="AD144" i="1"/>
  <c r="AD140" i="1"/>
  <c r="AD137" i="1"/>
  <c r="AD136" i="1"/>
  <c r="AD135" i="1"/>
  <c r="AD133" i="1"/>
  <c r="AD131" i="1"/>
  <c r="AD129" i="1"/>
  <c r="AD128" i="1"/>
  <c r="AD126" i="1"/>
  <c r="AD123" i="1"/>
  <c r="AD122" i="1"/>
  <c r="AD109" i="1"/>
  <c r="AD104" i="1"/>
  <c r="AD103" i="1"/>
  <c r="AD102" i="1"/>
  <c r="AD97" i="1"/>
  <c r="AD96" i="1"/>
  <c r="AD87" i="1"/>
  <c r="AD86" i="1"/>
  <c r="AD85" i="1"/>
  <c r="AD82" i="1"/>
  <c r="AD77" i="1"/>
  <c r="AD76" i="1"/>
  <c r="AD73" i="1"/>
  <c r="AD66" i="1"/>
  <c r="AD67" i="1"/>
  <c r="AD45" i="1"/>
  <c r="AD44" i="1"/>
  <c r="AD43" i="1"/>
  <c r="AD36" i="1"/>
  <c r="AD29" i="1"/>
  <c r="AD5" i="1"/>
  <c r="AD11" i="1"/>
  <c r="AA178" i="1"/>
  <c r="AA168" i="1"/>
  <c r="AA166" i="1"/>
  <c r="AA157" i="1"/>
  <c r="AA156" i="1"/>
  <c r="AA155" i="1"/>
  <c r="AA152" i="1"/>
  <c r="AA151" i="1"/>
  <c r="AA150" i="1"/>
  <c r="AA145" i="1"/>
  <c r="AA144" i="1"/>
  <c r="AA140" i="1"/>
  <c r="AA137" i="1"/>
  <c r="AA135" i="1"/>
  <c r="AA133" i="1"/>
  <c r="AA131" i="1"/>
  <c r="AA129" i="1"/>
  <c r="AA128" i="1"/>
  <c r="AA126" i="1"/>
  <c r="AA124" i="1"/>
  <c r="AA123" i="1"/>
  <c r="AA122" i="1"/>
  <c r="AA112" i="1"/>
  <c r="AA111" i="1"/>
  <c r="AA109" i="1"/>
  <c r="AA107" i="1"/>
  <c r="AA104" i="1"/>
  <c r="AA103" i="1"/>
  <c r="AA102" i="1"/>
  <c r="AA100" i="1"/>
  <c r="AA98" i="1"/>
  <c r="AA97" i="1"/>
  <c r="AA96" i="1"/>
  <c r="AA87" i="1"/>
  <c r="AA86" i="1"/>
  <c r="AA85" i="1"/>
  <c r="AA77" i="1"/>
  <c r="AA76" i="1"/>
  <c r="AA74" i="1"/>
  <c r="AA73" i="1"/>
  <c r="AA67" i="1"/>
  <c r="AA66" i="1"/>
  <c r="AA62" i="1"/>
  <c r="AA51" i="1"/>
  <c r="AA44" i="1"/>
  <c r="AA43" i="1"/>
  <c r="AA42" i="1"/>
  <c r="AA36" i="1"/>
  <c r="AA29" i="1"/>
  <c r="AA24" i="1"/>
  <c r="AA23" i="1"/>
  <c r="AA17" i="1"/>
  <c r="AA11" i="1"/>
  <c r="AA5" i="1"/>
  <c r="AB132" i="1"/>
  <c r="Y178" i="1" l="1"/>
  <c r="AC178" i="1" s="1"/>
  <c r="Y177" i="1"/>
  <c r="Y172" i="1"/>
  <c r="Y169" i="1"/>
  <c r="Y168" i="1"/>
  <c r="Y166" i="1"/>
  <c r="Y162" i="1"/>
  <c r="AC162" i="1" s="1"/>
  <c r="Y159" i="1"/>
  <c r="Y157" i="1"/>
  <c r="Y156" i="1"/>
  <c r="Y155" i="1"/>
  <c r="Y152" i="1"/>
  <c r="Y151" i="1"/>
  <c r="Y150" i="1"/>
  <c r="Y145" i="1"/>
  <c r="Y144" i="1"/>
  <c r="Y140" i="1"/>
  <c r="Y137" i="1"/>
  <c r="Y136" i="1"/>
  <c r="Y135" i="1"/>
  <c r="Y133" i="1"/>
  <c r="Y132" i="1"/>
  <c r="Y131" i="1"/>
  <c r="Y129" i="1"/>
  <c r="Y128" i="1"/>
  <c r="Y127" i="1"/>
  <c r="Y126" i="1"/>
  <c r="Y125" i="1"/>
  <c r="Y124" i="1"/>
  <c r="Y123" i="1"/>
  <c r="Y122" i="1"/>
  <c r="Y121" i="1"/>
  <c r="Y116" i="1"/>
  <c r="Y115" i="1"/>
  <c r="Y114" i="1"/>
  <c r="Y112" i="1"/>
  <c r="Y111" i="1"/>
  <c r="Y110" i="1"/>
  <c r="Y109" i="1"/>
  <c r="Y107" i="1"/>
  <c r="Y106" i="1"/>
  <c r="Y104" i="1"/>
  <c r="Y103" i="1"/>
  <c r="Y102" i="1"/>
  <c r="Y100" i="1"/>
  <c r="Y98" i="1"/>
  <c r="Y97" i="1"/>
  <c r="Y96" i="1"/>
  <c r="Y95" i="1"/>
  <c r="Y89" i="1"/>
  <c r="Y87" i="1"/>
  <c r="Y86" i="1"/>
  <c r="Y85" i="1"/>
  <c r="Y83" i="1"/>
  <c r="Y82" i="1"/>
  <c r="Y77" i="1"/>
  <c r="Y76" i="1"/>
  <c r="Y75" i="1"/>
  <c r="Y74" i="1"/>
  <c r="Y73" i="1"/>
  <c r="Y72" i="1"/>
  <c r="Y71" i="1"/>
  <c r="Y67" i="1"/>
  <c r="Y66" i="1"/>
  <c r="Y63" i="1"/>
  <c r="Y62" i="1"/>
  <c r="Y59" i="1"/>
  <c r="Y57" i="1"/>
  <c r="Y56" i="1"/>
  <c r="Y55" i="1"/>
  <c r="Y54" i="1"/>
  <c r="Y51" i="1"/>
  <c r="Y50" i="1"/>
  <c r="Y46" i="1"/>
  <c r="Y45" i="1"/>
  <c r="Y44" i="1"/>
  <c r="Y43" i="1"/>
  <c r="Y42" i="1"/>
  <c r="Y37" i="1"/>
  <c r="Y36" i="1"/>
  <c r="Y33" i="1"/>
  <c r="Y32" i="1"/>
  <c r="Y31" i="1"/>
  <c r="Y30" i="1"/>
  <c r="Y29" i="1"/>
  <c r="Y28" i="1"/>
  <c r="Y27" i="1"/>
  <c r="Y24" i="1"/>
  <c r="Y23" i="1"/>
  <c r="Y21" i="1"/>
  <c r="Y18" i="1"/>
  <c r="Y17" i="1"/>
  <c r="Y12" i="1"/>
  <c r="Y11" i="1"/>
  <c r="Y9" i="1"/>
  <c r="Y8" i="1"/>
  <c r="Y7" i="1"/>
  <c r="Y6" i="1"/>
  <c r="Y5" i="1"/>
  <c r="X5" i="1"/>
  <c r="AB129" i="1"/>
  <c r="AB44" i="1"/>
  <c r="AB29" i="1"/>
  <c r="X178" i="1"/>
  <c r="X177" i="1"/>
  <c r="X172" i="1"/>
  <c r="X169" i="1"/>
  <c r="X168" i="1"/>
  <c r="X166" i="1"/>
  <c r="X162" i="1"/>
  <c r="X159" i="1"/>
  <c r="X157" i="1"/>
  <c r="X156" i="1"/>
  <c r="X155" i="1"/>
  <c r="X152" i="1"/>
  <c r="X151" i="1"/>
  <c r="X150" i="1"/>
  <c r="X145" i="1"/>
  <c r="X144" i="1"/>
  <c r="X140" i="1"/>
  <c r="X137" i="1"/>
  <c r="X136" i="1"/>
  <c r="X135" i="1"/>
  <c r="X133" i="1"/>
  <c r="X132" i="1"/>
  <c r="X131" i="1"/>
  <c r="X129" i="1"/>
  <c r="X128" i="1"/>
  <c r="X127" i="1"/>
  <c r="X126" i="1"/>
  <c r="X125" i="1"/>
  <c r="X124" i="1"/>
  <c r="X123" i="1"/>
  <c r="X122" i="1"/>
  <c r="X121" i="1"/>
  <c r="X116" i="1"/>
  <c r="X115" i="1"/>
  <c r="X114" i="1"/>
  <c r="X112" i="1"/>
  <c r="X111" i="1"/>
  <c r="X110" i="1"/>
  <c r="X109" i="1"/>
  <c r="X107" i="1"/>
  <c r="X106" i="1"/>
  <c r="X104" i="1"/>
  <c r="X103" i="1"/>
  <c r="X102" i="1"/>
  <c r="X100" i="1"/>
  <c r="X98" i="1"/>
  <c r="X97" i="1"/>
  <c r="X96" i="1"/>
  <c r="X95" i="1"/>
  <c r="X89" i="1"/>
  <c r="X87" i="1"/>
  <c r="X86" i="1"/>
  <c r="X85" i="1"/>
  <c r="X83" i="1"/>
  <c r="X82" i="1"/>
  <c r="X77" i="1"/>
  <c r="X76" i="1"/>
  <c r="X75" i="1"/>
  <c r="X74" i="1"/>
  <c r="X73" i="1"/>
  <c r="X72" i="1"/>
  <c r="X71" i="1"/>
  <c r="X67" i="1"/>
  <c r="X66" i="1"/>
  <c r="X63" i="1"/>
  <c r="X62" i="1"/>
  <c r="X59" i="1"/>
  <c r="X57" i="1"/>
  <c r="X56" i="1"/>
  <c r="X55" i="1"/>
  <c r="X54" i="1"/>
  <c r="X51" i="1"/>
  <c r="X50" i="1"/>
  <c r="X46" i="1"/>
  <c r="X45" i="1"/>
  <c r="X44" i="1"/>
  <c r="X43" i="1"/>
  <c r="X42" i="1"/>
  <c r="X37" i="1"/>
  <c r="X36" i="1"/>
  <c r="X33" i="1"/>
  <c r="X32" i="1"/>
  <c r="X31" i="1"/>
  <c r="X30" i="1"/>
  <c r="X29" i="1"/>
  <c r="X28" i="1"/>
  <c r="X27" i="1"/>
  <c r="X24" i="1"/>
  <c r="X23" i="1"/>
  <c r="X21" i="1"/>
  <c r="X18" i="1"/>
  <c r="X17" i="1"/>
  <c r="X12" i="1"/>
  <c r="X11" i="1"/>
  <c r="X9" i="1"/>
  <c r="X8" i="1"/>
  <c r="X7" i="1"/>
  <c r="X6" i="1"/>
  <c r="Z178" i="1"/>
  <c r="AB178" i="1" s="1"/>
  <c r="Z168" i="1"/>
  <c r="AB168" i="1" s="1"/>
  <c r="Z166" i="1"/>
  <c r="AB166" i="1" s="1"/>
  <c r="AB162" i="1"/>
  <c r="Z157" i="1"/>
  <c r="AB157" i="1" s="1"/>
  <c r="Z156" i="1"/>
  <c r="AB156" i="1" s="1"/>
  <c r="Z155" i="1"/>
  <c r="AB155" i="1" s="1"/>
  <c r="Z152" i="1"/>
  <c r="AB152" i="1" s="1"/>
  <c r="Z151" i="1"/>
  <c r="AB151" i="1" s="1"/>
  <c r="Z150" i="1"/>
  <c r="AB150" i="1" s="1"/>
  <c r="Z145" i="1"/>
  <c r="AB145" i="1" s="1"/>
  <c r="Z144" i="1"/>
  <c r="AB144" i="1" s="1"/>
  <c r="Z140" i="1"/>
  <c r="AB140" i="1" s="1"/>
  <c r="Z137" i="1"/>
  <c r="AB137" i="1" s="1"/>
  <c r="AB136" i="1"/>
  <c r="Z135" i="1"/>
  <c r="AB135" i="1" s="1"/>
  <c r="Z133" i="1"/>
  <c r="AB133" i="1" s="1"/>
  <c r="Z131" i="1"/>
  <c r="AB131" i="1" s="1"/>
  <c r="Z129" i="1"/>
  <c r="Z128" i="1"/>
  <c r="AB128" i="1" s="1"/>
  <c r="Z126" i="1"/>
  <c r="AB126" i="1" s="1"/>
  <c r="Z124" i="1"/>
  <c r="AB124" i="1" s="1"/>
  <c r="Z123" i="1"/>
  <c r="AB123" i="1" s="1"/>
  <c r="Z122" i="1"/>
  <c r="AB122" i="1" s="1"/>
  <c r="Z112" i="1"/>
  <c r="AB112" i="1" s="1"/>
  <c r="Z111" i="1"/>
  <c r="AB111" i="1" s="1"/>
  <c r="Z109" i="1"/>
  <c r="AB109" i="1" s="1"/>
  <c r="Z107" i="1"/>
  <c r="AB107" i="1" s="1"/>
  <c r="Z104" i="1"/>
  <c r="AB104" i="1" s="1"/>
  <c r="Z103" i="1"/>
  <c r="AB103" i="1" s="1"/>
  <c r="Z102" i="1"/>
  <c r="AB102" i="1" s="1"/>
  <c r="Z100" i="1"/>
  <c r="AB100" i="1" s="1"/>
  <c r="Z98" i="1"/>
  <c r="AB98" i="1" s="1"/>
  <c r="Z97" i="1"/>
  <c r="AB97" i="1" s="1"/>
  <c r="Z96" i="1"/>
  <c r="AB96" i="1" s="1"/>
  <c r="Z87" i="1"/>
  <c r="AB87" i="1" s="1"/>
  <c r="Z86" i="1"/>
  <c r="AB86" i="1" s="1"/>
  <c r="Z85" i="1"/>
  <c r="AB85" i="1" s="1"/>
  <c r="Z77" i="1"/>
  <c r="AB77" i="1" s="1"/>
  <c r="Z76" i="1"/>
  <c r="AB76" i="1" s="1"/>
  <c r="Z74" i="1"/>
  <c r="AB74" i="1" s="1"/>
  <c r="Z73" i="1"/>
  <c r="AB73" i="1" s="1"/>
  <c r="Z67" i="1"/>
  <c r="AB67" i="1" s="1"/>
  <c r="Z66" i="1"/>
  <c r="AB66" i="1" s="1"/>
  <c r="Z62" i="1"/>
  <c r="AB62" i="1" s="1"/>
  <c r="Z51" i="1"/>
  <c r="AB51" i="1" s="1"/>
  <c r="Z44" i="1"/>
  <c r="Z43" i="1"/>
  <c r="AB43" i="1" s="1"/>
  <c r="Z42" i="1"/>
  <c r="AB42" i="1" s="1"/>
  <c r="Z36" i="1"/>
  <c r="AB36" i="1" s="1"/>
  <c r="Z29" i="1"/>
  <c r="Z24" i="1"/>
  <c r="AB24" i="1" s="1"/>
  <c r="Z23" i="1"/>
  <c r="AB23" i="1" s="1"/>
  <c r="Z18" i="1"/>
  <c r="AB18" i="1" s="1"/>
  <c r="AD18" i="1" s="1"/>
  <c r="Z17" i="1"/>
  <c r="AB17" i="1" s="1"/>
  <c r="Z11" i="1"/>
  <c r="AB11" i="1" s="1"/>
  <c r="Z5" i="1"/>
  <c r="AB5" i="1" s="1"/>
  <c r="F18" i="2"/>
  <c r="F17" i="2"/>
  <c r="F16" i="2"/>
  <c r="F15" i="2"/>
  <c r="F14" i="2"/>
  <c r="F13" i="2"/>
  <c r="F12" i="2"/>
  <c r="F11" i="2"/>
  <c r="F10" i="2"/>
  <c r="F9" i="2"/>
  <c r="G9" i="2" s="1"/>
  <c r="F8" i="2"/>
  <c r="F7" i="2"/>
  <c r="F6" i="2"/>
  <c r="F5" i="2"/>
  <c r="F4" i="2"/>
  <c r="AC18" i="1" l="1"/>
  <c r="H9" i="2"/>
  <c r="H48" i="2" s="1"/>
  <c r="G69" i="2"/>
  <c r="G90" i="2"/>
  <c r="G28" i="2"/>
  <c r="F85" i="2"/>
  <c r="F64" i="2"/>
  <c r="F43" i="2"/>
  <c r="F73" i="2"/>
  <c r="F94" i="2"/>
  <c r="F66" i="2"/>
  <c r="F87" i="2"/>
  <c r="F74" i="2"/>
  <c r="F95" i="2"/>
  <c r="F67" i="2"/>
  <c r="F88" i="2"/>
  <c r="F96" i="2"/>
  <c r="F34" i="2"/>
  <c r="F75" i="2"/>
  <c r="F65" i="2"/>
  <c r="F86" i="2"/>
  <c r="F89" i="2"/>
  <c r="F68" i="2"/>
  <c r="F97" i="2"/>
  <c r="F35" i="2"/>
  <c r="F76" i="2"/>
  <c r="F92" i="2"/>
  <c r="F71" i="2"/>
  <c r="F93" i="2"/>
  <c r="F72" i="2"/>
  <c r="F28" i="2"/>
  <c r="F90" i="2"/>
  <c r="F69" i="2"/>
  <c r="F77" i="2"/>
  <c r="F98" i="2"/>
  <c r="F91" i="2"/>
  <c r="F70" i="2"/>
  <c r="F78" i="2"/>
  <c r="F99" i="2"/>
  <c r="G4" i="2"/>
  <c r="G43" i="2" s="1"/>
  <c r="F23" i="2"/>
  <c r="G12" i="2"/>
  <c r="F31" i="2"/>
  <c r="G5" i="2"/>
  <c r="G44" i="2" s="1"/>
  <c r="F24" i="2"/>
  <c r="G13" i="2"/>
  <c r="F32" i="2"/>
  <c r="G6" i="2"/>
  <c r="F25" i="2"/>
  <c r="G14" i="2"/>
  <c r="G53" i="2" s="1"/>
  <c r="F33" i="2"/>
  <c r="G11" i="2"/>
  <c r="F30" i="2"/>
  <c r="G7" i="2"/>
  <c r="G46" i="2" s="1"/>
  <c r="F26" i="2"/>
  <c r="G15" i="2"/>
  <c r="G8" i="2"/>
  <c r="G47" i="2" s="1"/>
  <c r="F27" i="2"/>
  <c r="G16" i="2"/>
  <c r="G55" i="2" s="1"/>
  <c r="G17" i="2"/>
  <c r="F36" i="2"/>
  <c r="G10" i="2"/>
  <c r="G49" i="2" s="1"/>
  <c r="F29" i="2"/>
  <c r="G18" i="2"/>
  <c r="F37" i="2"/>
  <c r="F56" i="2"/>
  <c r="F54" i="2"/>
  <c r="F44" i="2"/>
  <c r="F57" i="2"/>
  <c r="F50" i="2"/>
  <c r="F47" i="2"/>
  <c r="F52" i="2"/>
  <c r="F49" i="2"/>
  <c r="F55" i="2"/>
  <c r="F45" i="2"/>
  <c r="F48" i="2"/>
  <c r="F46" i="2"/>
  <c r="F51" i="2"/>
  <c r="G51" i="2"/>
  <c r="G45" i="2"/>
  <c r="F53" i="2"/>
  <c r="G54" i="2"/>
  <c r="G48" i="2"/>
  <c r="G57" i="2"/>
  <c r="H17" i="2" l="1"/>
  <c r="G36" i="2"/>
  <c r="G98" i="2"/>
  <c r="G77" i="2"/>
  <c r="H12" i="2"/>
  <c r="G93" i="2"/>
  <c r="G72" i="2"/>
  <c r="G31" i="2"/>
  <c r="F38" i="2"/>
  <c r="G56" i="2"/>
  <c r="H18" i="2"/>
  <c r="G99" i="2"/>
  <c r="G78" i="2"/>
  <c r="G37" i="2"/>
  <c r="H15" i="2"/>
  <c r="G75" i="2"/>
  <c r="G34" i="2"/>
  <c r="G96" i="2"/>
  <c r="H6" i="2"/>
  <c r="G66" i="2"/>
  <c r="G87" i="2"/>
  <c r="H4" i="2"/>
  <c r="G85" i="2"/>
  <c r="G23" i="2"/>
  <c r="G64" i="2"/>
  <c r="H11" i="2"/>
  <c r="G92" i="2"/>
  <c r="G30" i="2"/>
  <c r="G71" i="2"/>
  <c r="H14" i="2"/>
  <c r="G33" i="2"/>
  <c r="G74" i="2"/>
  <c r="G95" i="2"/>
  <c r="I9" i="2"/>
  <c r="H28" i="2"/>
  <c r="H90" i="2"/>
  <c r="H69" i="2"/>
  <c r="H8" i="2"/>
  <c r="G68" i="2"/>
  <c r="G89" i="2"/>
  <c r="G27" i="2"/>
  <c r="F79" i="2"/>
  <c r="H5" i="2"/>
  <c r="G86" i="2"/>
  <c r="G24" i="2"/>
  <c r="G65" i="2"/>
  <c r="H16" i="2"/>
  <c r="G76" i="2"/>
  <c r="G35" i="2"/>
  <c r="G97" i="2"/>
  <c r="F58" i="2"/>
  <c r="F59" i="2" s="1"/>
  <c r="H10" i="2"/>
  <c r="G70" i="2"/>
  <c r="G91" i="2"/>
  <c r="G29" i="2"/>
  <c r="H7" i="2"/>
  <c r="G26" i="2"/>
  <c r="G67" i="2"/>
  <c r="G88" i="2"/>
  <c r="H13" i="2"/>
  <c r="G32" i="2"/>
  <c r="G94" i="2"/>
  <c r="G73" i="2"/>
  <c r="F100" i="2"/>
  <c r="G52" i="2"/>
  <c r="G50" i="2"/>
  <c r="G58" i="2"/>
  <c r="I10" i="2" l="1"/>
  <c r="H29" i="2"/>
  <c r="H91" i="2"/>
  <c r="H70" i="2"/>
  <c r="H49" i="2"/>
  <c r="I16" i="2"/>
  <c r="H76" i="2"/>
  <c r="H35" i="2"/>
  <c r="H97" i="2"/>
  <c r="H55" i="2"/>
  <c r="G100" i="2"/>
  <c r="I13" i="2"/>
  <c r="H94" i="2"/>
  <c r="H73" i="2"/>
  <c r="H32" i="2"/>
  <c r="H52" i="2"/>
  <c r="F80" i="2"/>
  <c r="G38" i="2"/>
  <c r="G59" i="2" s="1"/>
  <c r="J9" i="2"/>
  <c r="I69" i="2"/>
  <c r="I28" i="2"/>
  <c r="I90" i="2"/>
  <c r="I48" i="2"/>
  <c r="I4" i="2"/>
  <c r="H23" i="2"/>
  <c r="H85" i="2"/>
  <c r="H64" i="2"/>
  <c r="H43" i="2"/>
  <c r="I15" i="2"/>
  <c r="H75" i="2"/>
  <c r="H96" i="2"/>
  <c r="H34" i="2"/>
  <c r="H54" i="2"/>
  <c r="I7" i="2"/>
  <c r="H26" i="2"/>
  <c r="H67" i="2"/>
  <c r="H88" i="2"/>
  <c r="H46" i="2"/>
  <c r="G79" i="2"/>
  <c r="G80" i="2" s="1"/>
  <c r="I11" i="2"/>
  <c r="H92" i="2"/>
  <c r="H71" i="2"/>
  <c r="H30" i="2"/>
  <c r="H50" i="2"/>
  <c r="I5" i="2"/>
  <c r="H86" i="2"/>
  <c r="H65" i="2"/>
  <c r="H24" i="2"/>
  <c r="H44" i="2"/>
  <c r="I8" i="2"/>
  <c r="H27" i="2"/>
  <c r="H89" i="2"/>
  <c r="H68" i="2"/>
  <c r="H47" i="2"/>
  <c r="F101" i="2"/>
  <c r="I14" i="2"/>
  <c r="H95" i="2"/>
  <c r="H74" i="2"/>
  <c r="H33" i="2"/>
  <c r="H53" i="2"/>
  <c r="I6" i="2"/>
  <c r="H87" i="2"/>
  <c r="H66" i="2"/>
  <c r="H25" i="2"/>
  <c r="H45" i="2"/>
  <c r="I18" i="2"/>
  <c r="H37" i="2"/>
  <c r="H99" i="2"/>
  <c r="H78" i="2"/>
  <c r="H57" i="2"/>
  <c r="I12" i="2"/>
  <c r="H31" i="2"/>
  <c r="H93" i="2"/>
  <c r="H72" i="2"/>
  <c r="H51" i="2"/>
  <c r="I17" i="2"/>
  <c r="H36" i="2"/>
  <c r="H98" i="2"/>
  <c r="H77" i="2"/>
  <c r="H56" i="2"/>
  <c r="J17" i="2" l="1"/>
  <c r="I77" i="2"/>
  <c r="I36" i="2"/>
  <c r="I98" i="2"/>
  <c r="I56" i="2"/>
  <c r="J18" i="2"/>
  <c r="I78" i="2"/>
  <c r="I99" i="2"/>
  <c r="I37" i="2"/>
  <c r="I57" i="2"/>
  <c r="J14" i="2"/>
  <c r="I95" i="2"/>
  <c r="I74" i="2"/>
  <c r="I33" i="2"/>
  <c r="I53" i="2"/>
  <c r="H79" i="2"/>
  <c r="K9" i="2"/>
  <c r="J28" i="2"/>
  <c r="J69" i="2"/>
  <c r="J90" i="2"/>
  <c r="J48" i="2"/>
  <c r="J13" i="2"/>
  <c r="I32" i="2"/>
  <c r="I94" i="2"/>
  <c r="I73" i="2"/>
  <c r="I52" i="2"/>
  <c r="J11" i="2"/>
  <c r="I92" i="2"/>
  <c r="I30" i="2"/>
  <c r="I71" i="2"/>
  <c r="I50" i="2"/>
  <c r="J5" i="2"/>
  <c r="I24" i="2"/>
  <c r="I86" i="2"/>
  <c r="I65" i="2"/>
  <c r="I44" i="2"/>
  <c r="J8" i="2"/>
  <c r="I68" i="2"/>
  <c r="I89" i="2"/>
  <c r="I27" i="2"/>
  <c r="I47" i="2"/>
  <c r="J7" i="2"/>
  <c r="I88" i="2"/>
  <c r="I67" i="2"/>
  <c r="I26" i="2"/>
  <c r="I46" i="2"/>
  <c r="G101" i="2"/>
  <c r="J4" i="2"/>
  <c r="I85" i="2"/>
  <c r="I64" i="2"/>
  <c r="I23" i="2"/>
  <c r="I43" i="2"/>
  <c r="H38" i="2"/>
  <c r="J10" i="2"/>
  <c r="I49" i="2"/>
  <c r="I91" i="2"/>
  <c r="I29" i="2"/>
  <c r="I70" i="2"/>
  <c r="J6" i="2"/>
  <c r="I87" i="2"/>
  <c r="I66" i="2"/>
  <c r="I25" i="2"/>
  <c r="I45" i="2"/>
  <c r="J15" i="2"/>
  <c r="I34" i="2"/>
  <c r="I96" i="2"/>
  <c r="I75" i="2"/>
  <c r="I54" i="2"/>
  <c r="J16" i="2"/>
  <c r="I35" i="2"/>
  <c r="I76" i="2"/>
  <c r="I97" i="2"/>
  <c r="I55" i="2"/>
  <c r="J12" i="2"/>
  <c r="I93" i="2"/>
  <c r="I31" i="2"/>
  <c r="I72" i="2"/>
  <c r="I51" i="2"/>
  <c r="H58" i="2"/>
  <c r="H100" i="2"/>
  <c r="I100" i="2" l="1"/>
  <c r="K16" i="2"/>
  <c r="J35" i="2"/>
  <c r="J76" i="2"/>
  <c r="J97" i="2"/>
  <c r="J55" i="2"/>
  <c r="K12" i="2"/>
  <c r="J72" i="2"/>
  <c r="J93" i="2"/>
  <c r="J31" i="2"/>
  <c r="J51" i="2"/>
  <c r="I79" i="2"/>
  <c r="K8" i="2"/>
  <c r="J89" i="2"/>
  <c r="J68" i="2"/>
  <c r="J27" i="2"/>
  <c r="J47" i="2"/>
  <c r="K90" i="2"/>
  <c r="K69" i="2"/>
  <c r="L69" i="2" s="1"/>
  <c r="K28" i="2"/>
  <c r="K48" i="2"/>
  <c r="L48" i="2" s="1"/>
  <c r="H101" i="2"/>
  <c r="K10" i="2"/>
  <c r="J70" i="2"/>
  <c r="J29" i="2"/>
  <c r="J91" i="2"/>
  <c r="J49" i="2"/>
  <c r="K4" i="2"/>
  <c r="J64" i="2"/>
  <c r="J23" i="2"/>
  <c r="J85" i="2"/>
  <c r="J43" i="2"/>
  <c r="H80" i="2"/>
  <c r="K13" i="2"/>
  <c r="J94" i="2"/>
  <c r="J32" i="2"/>
  <c r="J73" i="2"/>
  <c r="J52" i="2"/>
  <c r="K17" i="2"/>
  <c r="J77" i="2"/>
  <c r="J98" i="2"/>
  <c r="J36" i="2"/>
  <c r="J56" i="2"/>
  <c r="K15" i="2"/>
  <c r="J96" i="2"/>
  <c r="J34" i="2"/>
  <c r="J75" i="2"/>
  <c r="J54" i="2"/>
  <c r="K6" i="2"/>
  <c r="J87" i="2"/>
  <c r="J25" i="2"/>
  <c r="J66" i="2"/>
  <c r="J45" i="2"/>
  <c r="I38" i="2"/>
  <c r="K11" i="2"/>
  <c r="J71" i="2"/>
  <c r="J92" i="2"/>
  <c r="J30" i="2"/>
  <c r="J50" i="2"/>
  <c r="H59" i="2"/>
  <c r="I58" i="2"/>
  <c r="K7" i="2"/>
  <c r="J88" i="2"/>
  <c r="J26" i="2"/>
  <c r="J67" i="2"/>
  <c r="J46" i="2"/>
  <c r="K18" i="2"/>
  <c r="J37" i="2"/>
  <c r="J78" i="2"/>
  <c r="J99" i="2"/>
  <c r="J57" i="2"/>
  <c r="K5" i="2"/>
  <c r="J86" i="2"/>
  <c r="J65" i="2"/>
  <c r="J24" i="2"/>
  <c r="J44" i="2"/>
  <c r="K14" i="2"/>
  <c r="J95" i="2"/>
  <c r="J33" i="2"/>
  <c r="J74" i="2"/>
  <c r="J53" i="2"/>
  <c r="I101" i="2" l="1"/>
  <c r="I59" i="2"/>
  <c r="J38" i="2"/>
  <c r="M14" i="2"/>
  <c r="K74" i="2"/>
  <c r="L74" i="2" s="1"/>
  <c r="K95" i="2"/>
  <c r="L95" i="2" s="1"/>
  <c r="M95" i="2" s="1"/>
  <c r="K33" i="2"/>
  <c r="L33" i="2" s="1"/>
  <c r="K53" i="2"/>
  <c r="L53" i="2" s="1"/>
  <c r="K67" i="2"/>
  <c r="L67" i="2" s="1"/>
  <c r="K88" i="2"/>
  <c r="L88" i="2" s="1"/>
  <c r="K26" i="2"/>
  <c r="L26" i="2" s="1"/>
  <c r="K46" i="2"/>
  <c r="L46" i="2" s="1"/>
  <c r="K71" i="2"/>
  <c r="L71" i="2" s="1"/>
  <c r="K92" i="2"/>
  <c r="L92" i="2" s="1"/>
  <c r="K30" i="2"/>
  <c r="L30" i="2" s="1"/>
  <c r="K50" i="2"/>
  <c r="L50" i="2" s="1"/>
  <c r="J79" i="2"/>
  <c r="J80" i="2" s="1"/>
  <c r="M18" i="2"/>
  <c r="K78" i="2"/>
  <c r="L78" i="2" s="1"/>
  <c r="M78" i="2" s="1"/>
  <c r="K99" i="2"/>
  <c r="L99" i="2" s="1"/>
  <c r="M99" i="2" s="1"/>
  <c r="K37" i="2"/>
  <c r="L37" i="2" s="1"/>
  <c r="K57" i="2"/>
  <c r="L57" i="2" s="1"/>
  <c r="K64" i="2"/>
  <c r="K85" i="2"/>
  <c r="L85" i="2" s="1"/>
  <c r="K23" i="2"/>
  <c r="K43" i="2"/>
  <c r="M4" i="2"/>
  <c r="K89" i="2"/>
  <c r="L89" i="2" s="1"/>
  <c r="K27" i="2"/>
  <c r="L27" i="2" s="1"/>
  <c r="K68" i="2"/>
  <c r="L68" i="2" s="1"/>
  <c r="K47" i="2"/>
  <c r="L47" i="2" s="1"/>
  <c r="K73" i="2"/>
  <c r="L73" i="2" s="1"/>
  <c r="K94" i="2"/>
  <c r="L94" i="2" s="1"/>
  <c r="K32" i="2"/>
  <c r="L32" i="2" s="1"/>
  <c r="K52" i="2"/>
  <c r="L52" i="2" s="1"/>
  <c r="K72" i="2"/>
  <c r="L72" i="2" s="1"/>
  <c r="K93" i="2"/>
  <c r="L93" i="2" s="1"/>
  <c r="K31" i="2"/>
  <c r="L31" i="2" s="1"/>
  <c r="K51" i="2"/>
  <c r="L51" i="2" s="1"/>
  <c r="K65" i="2"/>
  <c r="L65" i="2" s="1"/>
  <c r="K86" i="2"/>
  <c r="L86" i="2" s="1"/>
  <c r="K24" i="2"/>
  <c r="L24" i="2" s="1"/>
  <c r="K44" i="2"/>
  <c r="L44" i="2" s="1"/>
  <c r="M17" i="2"/>
  <c r="K77" i="2"/>
  <c r="L77" i="2" s="1"/>
  <c r="M77" i="2" s="1"/>
  <c r="K36" i="2"/>
  <c r="L36" i="2" s="1"/>
  <c r="K98" i="2"/>
  <c r="L98" i="2" s="1"/>
  <c r="M98" i="2" s="1"/>
  <c r="K56" i="2"/>
  <c r="L56" i="2" s="1"/>
  <c r="L28" i="2"/>
  <c r="I80" i="2"/>
  <c r="J58" i="2"/>
  <c r="J59" i="2" s="1"/>
  <c r="L43" i="2"/>
  <c r="L90" i="2"/>
  <c r="K97" i="2"/>
  <c r="L97" i="2" s="1"/>
  <c r="M97" i="2" s="1"/>
  <c r="K35" i="2"/>
  <c r="L35" i="2" s="1"/>
  <c r="K76" i="2"/>
  <c r="L76" i="2" s="1"/>
  <c r="M76" i="2" s="1"/>
  <c r="K55" i="2"/>
  <c r="L55" i="2" s="1"/>
  <c r="K66" i="2"/>
  <c r="L66" i="2" s="1"/>
  <c r="K87" i="2"/>
  <c r="L87" i="2" s="1"/>
  <c r="K25" i="2"/>
  <c r="L25" i="2" s="1"/>
  <c r="K45" i="2"/>
  <c r="L45" i="2" s="1"/>
  <c r="K96" i="2"/>
  <c r="L96" i="2" s="1"/>
  <c r="M96" i="2" s="1"/>
  <c r="K34" i="2"/>
  <c r="L34" i="2" s="1"/>
  <c r="K75" i="2"/>
  <c r="L75" i="2" s="1"/>
  <c r="M75" i="2" s="1"/>
  <c r="K54" i="2"/>
  <c r="L54" i="2" s="1"/>
  <c r="M15" i="2"/>
  <c r="J100" i="2"/>
  <c r="K91" i="2"/>
  <c r="L91" i="2" s="1"/>
  <c r="K29" i="2"/>
  <c r="L29" i="2" s="1"/>
  <c r="K70" i="2"/>
  <c r="L70" i="2" s="1"/>
  <c r="K49" i="2"/>
  <c r="L49" i="2" s="1"/>
  <c r="K100" i="2" l="1"/>
  <c r="L100" i="2" s="1"/>
  <c r="L101" i="2" s="1"/>
  <c r="K79" i="2"/>
  <c r="L64" i="2"/>
  <c r="K38" i="2"/>
  <c r="L38" i="2" s="1"/>
  <c r="J101" i="2"/>
  <c r="K58" i="2"/>
  <c r="K59" i="2" s="1"/>
  <c r="L58" i="2" l="1"/>
  <c r="L59" i="2" s="1"/>
  <c r="K80" i="2"/>
  <c r="L79" i="2"/>
  <c r="L80" i="2" s="1"/>
  <c r="K101" i="2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<sst xmlns="http://schemas.openxmlformats.org/spreadsheetml/2006/main" count="1622" uniqueCount="379">
  <si>
    <t>Carbamazepine</t>
  </si>
  <si>
    <t>Epilepsy</t>
  </si>
  <si>
    <t>200mg</t>
  </si>
  <si>
    <t>Cardio</t>
  </si>
  <si>
    <t>Losartan / HCT</t>
  </si>
  <si>
    <t>Atrovastatin</t>
  </si>
  <si>
    <t>10mg</t>
  </si>
  <si>
    <t>20mg</t>
  </si>
  <si>
    <t>40mg</t>
  </si>
  <si>
    <t>Perindopril/Amlodipine</t>
  </si>
  <si>
    <t>Enalapril</t>
  </si>
  <si>
    <t>Losartan</t>
  </si>
  <si>
    <t>100mg</t>
  </si>
  <si>
    <t>Bisoprolol</t>
  </si>
  <si>
    <t>5mg</t>
  </si>
  <si>
    <t>Gliclazide</t>
  </si>
  <si>
    <t>60mg</t>
  </si>
  <si>
    <t>Salmeterol/Fluticasone</t>
  </si>
  <si>
    <t>Diabet</t>
  </si>
  <si>
    <t>Respiratory</t>
  </si>
  <si>
    <t>Furosemide</t>
  </si>
  <si>
    <t>Parcinson</t>
  </si>
  <si>
    <t>Levodopa/Carbidopa</t>
  </si>
  <si>
    <t>INN</t>
  </si>
  <si>
    <t>STRENGTH</t>
  </si>
  <si>
    <t>დეფიციტური მედიკამენტები</t>
  </si>
  <si>
    <t>საქართველოში რეგისტრირებული მედიკამენტები</t>
  </si>
  <si>
    <t>50mg/12.5mg</t>
  </si>
  <si>
    <t>TRADE NAME</t>
  </si>
  <si>
    <t>Losartan HCT Dexcel® 50/12,25 mg</t>
  </si>
  <si>
    <t>FORM</t>
  </si>
  <si>
    <t>F/C TAB</t>
  </si>
  <si>
    <t>NUMERUS</t>
  </si>
  <si>
    <t>MANUFACTURER</t>
  </si>
  <si>
    <t xml:space="preserve">Dexcel® Pharma GmbH </t>
  </si>
  <si>
    <t>COUNTRY</t>
  </si>
  <si>
    <t>Germany</t>
  </si>
  <si>
    <t>CoLosar-Denk 50/12.5</t>
  </si>
  <si>
    <t>DENK PHARMA GmbH &amp; Co. KG</t>
  </si>
  <si>
    <t>Lorista® H</t>
  </si>
  <si>
    <t xml:space="preserve">KRKA d.d., Novo mesto </t>
  </si>
  <si>
    <t>Slovenia</t>
  </si>
  <si>
    <t>Lozatenz</t>
  </si>
  <si>
    <t xml:space="preserve">Bluepharma – Industria Farmaceutica, S.A. </t>
  </si>
  <si>
    <t>Portugal</t>
  </si>
  <si>
    <t>Losartan Plus</t>
  </si>
  <si>
    <t xml:space="preserve">«Lekpharm» JLLC </t>
  </si>
  <si>
    <t>Republic of Belarus</t>
  </si>
  <si>
    <t>LOZAP® plus</t>
  </si>
  <si>
    <t xml:space="preserve">ZENTIVA k.s. </t>
  </si>
  <si>
    <t>Czechia</t>
  </si>
  <si>
    <t>APO-ATORVASTATIN</t>
  </si>
  <si>
    <t>Biger</t>
  </si>
  <si>
    <t>Atrox® 10</t>
  </si>
  <si>
    <t>Atorvastatin Calcium Tablets</t>
  </si>
  <si>
    <t>Atorem 10</t>
  </si>
  <si>
    <t>Liprimar®</t>
  </si>
  <si>
    <t>Torvazin®</t>
  </si>
  <si>
    <t>ATEROZ®</t>
  </si>
  <si>
    <t>ATORVASTATIN-HUMANITY</t>
  </si>
  <si>
    <t>VASATOR</t>
  </si>
  <si>
    <t>Amvastan</t>
  </si>
  <si>
    <t>LITORVA® 10</t>
  </si>
  <si>
    <t>Atoris®</t>
  </si>
  <si>
    <t>ATV™-10</t>
  </si>
  <si>
    <t>TORVITIN®</t>
  </si>
  <si>
    <t>ESCOLAN-SANOVEL</t>
  </si>
  <si>
    <t>Atorvastatin</t>
  </si>
  <si>
    <t>Stavra 10mg</t>
  </si>
  <si>
    <t>RATIZOL 10</t>
  </si>
  <si>
    <t>ATEROKS™</t>
  </si>
  <si>
    <t>Lipar Tablet 10mg</t>
  </si>
  <si>
    <t>Lambrinex</t>
  </si>
  <si>
    <t xml:space="preserve">ლიტორვა 10 </t>
  </si>
  <si>
    <t xml:space="preserve">APOTEX Inc </t>
  </si>
  <si>
    <t xml:space="preserve">RAFARM SA </t>
  </si>
  <si>
    <t xml:space="preserve">BIOFARM Sp. z o.o. </t>
  </si>
  <si>
    <t xml:space="preserve">Apotex Inc </t>
  </si>
  <si>
    <t xml:space="preserve">MSN Laboratories Private Limited </t>
  </si>
  <si>
    <t xml:space="preserve">EGIS Pharmaceuticals Plc </t>
  </si>
  <si>
    <t xml:space="preserve">BILIM  ILAC  SANAYI  VE  TICARET A.S. </t>
  </si>
  <si>
    <t xml:space="preserve">MEPRO PHARMACEUTICALS PVT. LTD. </t>
  </si>
  <si>
    <t xml:space="preserve">Edge Pharma Private Limited </t>
  </si>
  <si>
    <t xml:space="preserve">World Medicine Ilac Sanayi ve Tic. A.S. </t>
  </si>
  <si>
    <t xml:space="preserve">Dexcel Ltd </t>
  </si>
  <si>
    <t xml:space="preserve">Zee Laboratories </t>
  </si>
  <si>
    <t xml:space="preserve">GM Pharmaceuticals Ltd </t>
  </si>
  <si>
    <t xml:space="preserve">Sanovel Ilac Sanayi ve Ticaret A.S </t>
  </si>
  <si>
    <t xml:space="preserve">CP Pharmaceuticals Ltd </t>
  </si>
  <si>
    <t xml:space="preserve">Alkaloid AD Skopje </t>
  </si>
  <si>
    <t xml:space="preserve">ALI RAIF ILAC SAN. A.S. </t>
  </si>
  <si>
    <t xml:space="preserve">KOLMAR KOREA CO., LTD. </t>
  </si>
  <si>
    <t xml:space="preserve">SUPROBION Sp. z o.o. </t>
  </si>
  <si>
    <t>Canada</t>
  </si>
  <si>
    <t>Greece</t>
  </si>
  <si>
    <t>Poland</t>
  </si>
  <si>
    <t>USA</t>
  </si>
  <si>
    <t>India</t>
  </si>
  <si>
    <t>Hungary</t>
  </si>
  <si>
    <t>Turkey</t>
  </si>
  <si>
    <t>Israel</t>
  </si>
  <si>
    <t>Georgia</t>
  </si>
  <si>
    <t>United Kingdom</t>
  </si>
  <si>
    <t xml:space="preserve">Macedonia </t>
  </si>
  <si>
    <t>Korea</t>
  </si>
  <si>
    <t>TAB</t>
  </si>
  <si>
    <t>(14X2)</t>
  </si>
  <si>
    <t>(14X6)</t>
  </si>
  <si>
    <t>(10X3)</t>
  </si>
  <si>
    <t>(10X10)</t>
  </si>
  <si>
    <t>Atrox® 20</t>
  </si>
  <si>
    <t>Atorem 20</t>
  </si>
  <si>
    <t>LIPIDONORM</t>
  </si>
  <si>
    <t xml:space="preserve">GAMA LTD </t>
  </si>
  <si>
    <t xml:space="preserve">BILIM ILAC SANAYI VE TICARET A.S. </t>
  </si>
  <si>
    <t>LITORVA® 20</t>
  </si>
  <si>
    <t>Vozolip Genericon</t>
  </si>
  <si>
    <t>Bulgaria</t>
  </si>
  <si>
    <t>Assutor 20</t>
  </si>
  <si>
    <t xml:space="preserve">BioMatrix Healthcare Pvt. Ltd </t>
  </si>
  <si>
    <t xml:space="preserve">RUE „BELMEDPREPARATY“ </t>
  </si>
  <si>
    <t>Great Britain</t>
  </si>
  <si>
    <t>Stavra 20mg</t>
  </si>
  <si>
    <t>RATIZOL 20</t>
  </si>
  <si>
    <t>Lipar Tablet 20mg</t>
  </si>
  <si>
    <t>(10X2)</t>
  </si>
  <si>
    <t>Pfizer Manufacturing Deutschland GmbH</t>
  </si>
  <si>
    <t>GE Pharmaceuticals Ltd</t>
  </si>
  <si>
    <t>AVERSI-RATIONAL Ltd</t>
  </si>
  <si>
    <t>Atorem 40</t>
  </si>
  <si>
    <t>LITORVA® 40</t>
  </si>
  <si>
    <t xml:space="preserve">WORLD MEDICINE ILAC SAN. VE TIC. A.S </t>
  </si>
  <si>
    <t xml:space="preserve">KRKA d.d. Novo mesto </t>
  </si>
  <si>
    <t>RATIZOL 40</t>
  </si>
  <si>
    <t>Stavra 40mg</t>
  </si>
  <si>
    <t>(15X2)</t>
  </si>
  <si>
    <t xml:space="preserve">Pfizer Manufacturing Deutschland GmbH </t>
  </si>
  <si>
    <t xml:space="preserve">APO-BISOPROLOL  </t>
  </si>
  <si>
    <t>Bisoprolol Dexcel® 5 mg</t>
  </si>
  <si>
    <t xml:space="preserve">DEXCEL LTD </t>
  </si>
  <si>
    <t>Corectin 5</t>
  </si>
  <si>
    <t>Concor® 5mg</t>
  </si>
  <si>
    <t xml:space="preserve">Merck KGaA </t>
  </si>
  <si>
    <t>Bisoprolol NORMON 5mg</t>
  </si>
  <si>
    <t xml:space="preserve">LABORATORIOS NORMON, S.A. </t>
  </si>
  <si>
    <t>Spain</t>
  </si>
  <si>
    <t>Bimaksil™</t>
  </si>
  <si>
    <t xml:space="preserve">ROEMMERS S.A.I.C.F </t>
  </si>
  <si>
    <t>Argentina</t>
  </si>
  <si>
    <t>Sopralol</t>
  </si>
  <si>
    <t xml:space="preserve">WORLD MEDICINE ILAC SAN. VE TIC. A.S. </t>
  </si>
  <si>
    <t>BISOPROLOL-NANO</t>
  </si>
  <si>
    <t>BISOMOR</t>
  </si>
  <si>
    <t>EMCOR® 5</t>
  </si>
  <si>
    <t xml:space="preserve">Lek S.A. </t>
  </si>
  <si>
    <t>Rizoprol</t>
  </si>
  <si>
    <t xml:space="preserve">World Medicine Ilac San. ve Tic. A.S. </t>
  </si>
  <si>
    <t xml:space="preserve">Biofarm Sp. Z o.o. </t>
  </si>
  <si>
    <t>Belanj</t>
  </si>
  <si>
    <t xml:space="preserve">REPLEK FARM Ltd. Skopje </t>
  </si>
  <si>
    <t>Republic of Macedonia</t>
  </si>
  <si>
    <t>Bisogamma® 5 mg</t>
  </si>
  <si>
    <t xml:space="preserve">S.C. Magistra C&amp;C S.R.L. </t>
  </si>
  <si>
    <t>Romania</t>
  </si>
  <si>
    <t>BISOPROLOL-ASTRAPHARM</t>
  </si>
  <si>
    <t xml:space="preserve">«Astrapharm» LLC </t>
  </si>
  <si>
    <t>Ukraine</t>
  </si>
  <si>
    <t>Tyrez®</t>
  </si>
  <si>
    <t xml:space="preserve">ALKALOID-INT d.o.o. </t>
  </si>
  <si>
    <t>BISOPROLOL</t>
  </si>
  <si>
    <t xml:space="preserve">«Borisovskiy zavod medicinskikh preparatov» OJSC </t>
  </si>
  <si>
    <t>BIDOP®</t>
  </si>
  <si>
    <t>Russia</t>
  </si>
  <si>
    <t>AVECOR 5</t>
  </si>
  <si>
    <t>Sobycor®</t>
  </si>
  <si>
    <t xml:space="preserve">KRKA, tovarna zdravil, d.d. Novo mesto </t>
  </si>
  <si>
    <t>BISOPROLOL LEK®</t>
  </si>
  <si>
    <t>(1X30)</t>
  </si>
  <si>
    <t>(25X2)</t>
  </si>
  <si>
    <t>GEDEON RICHTER-RUS JSC</t>
  </si>
  <si>
    <t>AVERSI-RATIONAL LTD</t>
  </si>
  <si>
    <t>Lek S.A. Strykow</t>
  </si>
  <si>
    <t>Enalapril Atid® 10mg</t>
  </si>
  <si>
    <t>ENALAPRIL</t>
  </si>
  <si>
    <t xml:space="preserve">„Borisovskiy zavod medicinskikh preparatov” OJSC </t>
  </si>
  <si>
    <t>Republic Of Belarus</t>
  </si>
  <si>
    <t>ENALADEX 10mg</t>
  </si>
  <si>
    <t>ENALAPRIL-HUMANITY</t>
  </si>
  <si>
    <t xml:space="preserve">UNIMAX LABORATORIES </t>
  </si>
  <si>
    <t>Renitec® 10mg</t>
  </si>
  <si>
    <t xml:space="preserve">MERCK SHARP &amp; DOHME BV </t>
  </si>
  <si>
    <t>The Netherlands</t>
  </si>
  <si>
    <t>Berlipril® 10</t>
  </si>
  <si>
    <t>Enap®</t>
  </si>
  <si>
    <t>ENALPRIL NEO</t>
  </si>
  <si>
    <t xml:space="preserve">NEOPHARMI  LTD </t>
  </si>
  <si>
    <t>Enalapril Laropharm 10mg</t>
  </si>
  <si>
    <t xml:space="preserve">S.C. Laropharm S.R.L. </t>
  </si>
  <si>
    <t>Ena-Denk 10</t>
  </si>
  <si>
    <t xml:space="preserve">Denk Pharma GmbH &amp; Co. KG </t>
  </si>
  <si>
    <t xml:space="preserve">Berlin - Chemie AG </t>
  </si>
  <si>
    <t>FUROSEMIDE Tablets, USP</t>
  </si>
  <si>
    <t xml:space="preserve">Ipca Laboratories Limited </t>
  </si>
  <si>
    <t>FUROSEMIDE SOPHARMA 40 mg</t>
  </si>
  <si>
    <t xml:space="preserve">SOPHARMA AD </t>
  </si>
  <si>
    <t>Furosemide Tablets, USP</t>
  </si>
  <si>
    <t xml:space="preserve">Mylan Pharmaceuticals Inc. </t>
  </si>
  <si>
    <t>Lasix®</t>
  </si>
  <si>
    <t xml:space="preserve">Sanofi India Limited </t>
  </si>
  <si>
    <t xml:space="preserve">Ozon LTD </t>
  </si>
  <si>
    <t>Federation of Russia</t>
  </si>
  <si>
    <t>Furosemide 40mg</t>
  </si>
  <si>
    <t>Furanthril® Tabletten 40</t>
  </si>
  <si>
    <t xml:space="preserve">medphano Arzneimittel GmbH </t>
  </si>
  <si>
    <t>FUROSEMID</t>
  </si>
  <si>
    <t xml:space="preserve">„BORISOVSKIY ZAVOD MEDICINSKIKH PREPARATOV” OJSC </t>
  </si>
  <si>
    <t>FUROSEMIDE</t>
  </si>
  <si>
    <t xml:space="preserve">Experimental plant «GNCLS» LTD </t>
  </si>
  <si>
    <t xml:space="preserve">YILING PHARMACEUTICAL LIMITED </t>
  </si>
  <si>
    <t xml:space="preserve">Irbitsky Chemical-Pharmaceutical Factory OJSC </t>
  </si>
  <si>
    <t>(10X5)</t>
  </si>
  <si>
    <t>Salutas Pharma GmbH</t>
  </si>
  <si>
    <t>China</t>
  </si>
  <si>
    <t>Lozanel®</t>
  </si>
  <si>
    <t>Losar-Denk 100</t>
  </si>
  <si>
    <t>Lorista®</t>
  </si>
  <si>
    <t>LOZAP®</t>
  </si>
  <si>
    <t>Slovak Republic</t>
  </si>
  <si>
    <t>AMRADIPIN</t>
  </si>
  <si>
    <t>Amlessa®</t>
  </si>
  <si>
    <t xml:space="preserve">KRKA, d.d., Novo mesto </t>
  </si>
  <si>
    <t>PRESTAL-5-HUMANITY</t>
  </si>
  <si>
    <t xml:space="preserve">Celogen Generics Private Limited </t>
  </si>
  <si>
    <t>PRESTANCE 5mg/5mg</t>
  </si>
  <si>
    <t xml:space="preserve">Servier (Ireland) Industries Ltd </t>
  </si>
  <si>
    <t xml:space="preserve">Ireland </t>
  </si>
  <si>
    <t>4mg/5mg
or/and
5mg/5mg</t>
  </si>
  <si>
    <t>Peram</t>
  </si>
  <si>
    <t xml:space="preserve">Argis Ilac. San. ve Tic. A.S. </t>
  </si>
  <si>
    <t>PRESTAL-XL-HUMANITY</t>
  </si>
  <si>
    <t>PRESTANCE 10mg/10mg</t>
  </si>
  <si>
    <t>8mg/10mg
or/and
10mg/10mg</t>
  </si>
  <si>
    <t>Gliclazide MB</t>
  </si>
  <si>
    <t xml:space="preserve">Lekpharm JLLC </t>
  </si>
  <si>
    <t>GLICLAZIDE-HUMANITY</t>
  </si>
  <si>
    <t xml:space="preserve">WINDLAS HEALHCARE PVT. LTD. </t>
  </si>
  <si>
    <t>DIABETON® MR 60mg</t>
  </si>
  <si>
    <t xml:space="preserve">Les Laboratoires Servier Industrie </t>
  </si>
  <si>
    <t>France</t>
  </si>
  <si>
    <t>APO-GLICLAZIDE MR</t>
  </si>
  <si>
    <t xml:space="preserve">Apotex Inc. </t>
  </si>
  <si>
    <t>Dianorm MR</t>
  </si>
  <si>
    <t>GLUCOTON® MR</t>
  </si>
  <si>
    <t>INSUTON</t>
  </si>
  <si>
    <t>(10X6)</t>
  </si>
  <si>
    <t>GM Pharmaceuticals Ltd</t>
  </si>
  <si>
    <t>AirFlusal ® Forspiro®  50/250</t>
  </si>
  <si>
    <t>Seretide™ Accuhaler™/Diskus™</t>
  </si>
  <si>
    <t xml:space="preserve">Glaxo Wellcome Production </t>
  </si>
  <si>
    <t>Saflutin</t>
  </si>
  <si>
    <t xml:space="preserve">Celon Pharma S.A. </t>
  </si>
  <si>
    <t>METAFLUTINE-HUMANITY</t>
  </si>
  <si>
    <t xml:space="preserve">Biodeal Pharmaceuticals Pvt. Ltd. </t>
  </si>
  <si>
    <t>CYPLOS-ARVOHALER 50/250mcg</t>
  </si>
  <si>
    <t xml:space="preserve">Arven Ilac Sanayi ve Ticaret A.S. </t>
  </si>
  <si>
    <t>50mcg/250mcg</t>
  </si>
  <si>
    <t>INHAL</t>
  </si>
  <si>
    <t>60 Dosage</t>
  </si>
  <si>
    <t>30 Dosage</t>
  </si>
  <si>
    <t>Aeropharm Gmbh (Sandoz)</t>
  </si>
  <si>
    <t>50mcg/500mcg</t>
  </si>
  <si>
    <t>AirFlusal ® Forspiro®  50/500</t>
  </si>
  <si>
    <t>Seretide™Accuhaler™/Diskus™</t>
  </si>
  <si>
    <t>Rolenium®</t>
  </si>
  <si>
    <t xml:space="preserve">ELPEN Pharmaceutical Co. Inc. </t>
  </si>
  <si>
    <t>CYPLOS-ARVOHALER 50/500mcg</t>
  </si>
  <si>
    <t>CNS</t>
  </si>
  <si>
    <t>Carbamazepine Tablets, USP</t>
  </si>
  <si>
    <t xml:space="preserve">TORRENT PHARMACEUTICALS LTD </t>
  </si>
  <si>
    <t>NEIROLEPSIN</t>
  </si>
  <si>
    <t>CAMAZEPAN-HUMANITY</t>
  </si>
  <si>
    <t xml:space="preserve">North China Pharmaceutical Co., Ltd. </t>
  </si>
  <si>
    <t>Finlepsin 200mg</t>
  </si>
  <si>
    <t xml:space="preserve">Teva Operations Poland Sp. z o.o. </t>
  </si>
  <si>
    <t>MELEPSIN</t>
  </si>
  <si>
    <t xml:space="preserve">SEDICO Pharmaceutical Co. </t>
  </si>
  <si>
    <t>Egypt</t>
  </si>
  <si>
    <t xml:space="preserve">S.C. SLAVIA PHARM S.R.L. </t>
  </si>
  <si>
    <t>GAMALEPHSIN</t>
  </si>
  <si>
    <t xml:space="preserve">GAMA  LTD </t>
  </si>
  <si>
    <t>Tegretol®</t>
  </si>
  <si>
    <t xml:space="preserve">Novartis Pharma S.p.A </t>
  </si>
  <si>
    <t>Italy</t>
  </si>
  <si>
    <t xml:space="preserve">Novartis Pharma S.p.A. </t>
  </si>
  <si>
    <t>CARBAMAZEPIN</t>
  </si>
  <si>
    <t xml:space="preserve">„ARPIMED“ LLC </t>
  </si>
  <si>
    <t>Republic of Armenia</t>
  </si>
  <si>
    <t xml:space="preserve">„GAMA“ Ltd </t>
  </si>
  <si>
    <t>CONVURAT-AVERSI</t>
  </si>
  <si>
    <t xml:space="preserve">«Sintez» OJSC </t>
  </si>
  <si>
    <t>(10X4)</t>
  </si>
  <si>
    <t>Carbidopa and Levodopa Tablets, USP</t>
  </si>
  <si>
    <t xml:space="preserve">Sun Pharmaceutical  Industries Ltd. </t>
  </si>
  <si>
    <t>Drasvan</t>
  </si>
  <si>
    <t xml:space="preserve">Replek Farm Ltd Skopje </t>
  </si>
  <si>
    <t>Macedonia</t>
  </si>
  <si>
    <t>NAKOM®</t>
  </si>
  <si>
    <t xml:space="preserve">Lek Pharmaceuticals d.d. </t>
  </si>
  <si>
    <t>ANTIPARKIN</t>
  </si>
  <si>
    <t>Levocom 250mg/25mg</t>
  </si>
  <si>
    <t xml:space="preserve">«Pharma Start» LTD </t>
  </si>
  <si>
    <t>LEVOMED®</t>
  </si>
  <si>
    <t xml:space="preserve">MEDOCHEMIE LTD. </t>
  </si>
  <si>
    <t>Cyprus</t>
  </si>
  <si>
    <t>250mg/25mg</t>
  </si>
  <si>
    <t>THER
AREA</t>
  </si>
  <si>
    <t>ტენდერში გამარჯვებული მედიკამენტები / ერთეულის ფასი</t>
  </si>
  <si>
    <t>GEL</t>
  </si>
  <si>
    <t>USD</t>
  </si>
  <si>
    <t>Saneca Pharmaceuticals a. s. (Sanofi)</t>
  </si>
  <si>
    <t>188-ე დადგენილებით და ტენდერში გამარჯვებული მედიკამენტებით გაფილტრული ცხრილი პოტენციური პარტნიორების გამოსავლენად</t>
  </si>
  <si>
    <t xml:space="preserve">RETAIL
MARGE </t>
  </si>
  <si>
    <t>TENDER
MARGE</t>
  </si>
  <si>
    <t>4mg/5mg or/and 5mg/5mg</t>
  </si>
  <si>
    <t>8mg/10mg or/and 10mg/10mg</t>
  </si>
  <si>
    <t>რაოდენობა</t>
  </si>
  <si>
    <t>ბენეფიციართა მატება თვეების მიხედვით (1)</t>
  </si>
  <si>
    <t>ბენეფიციართა მატება თვეების მიხედვით (2)</t>
  </si>
  <si>
    <t>ბენეფიციართა მატება თვეების მიხედვით (3)</t>
  </si>
  <si>
    <t>ბენეფიციართა მატება თვეების მიხედვით (4)</t>
  </si>
  <si>
    <t>ბენეფიციართა მატება თვეების მიხედვით (5)</t>
  </si>
  <si>
    <t>ბენეფიციართა მატება თვეების მიხედვით (6)</t>
  </si>
  <si>
    <r>
      <t xml:space="preserve">ბენეფიციართა რაოდენობა
</t>
    </r>
    <r>
      <rPr>
        <b/>
        <sz val="8"/>
        <color theme="0"/>
        <rFont val="Calibri Light"/>
        <family val="2"/>
      </rPr>
      <t>(MoH-ის ცხრილის მიხედვით)</t>
    </r>
  </si>
  <si>
    <r>
      <t>RETAIL PRICE
(</t>
    </r>
    <r>
      <rPr>
        <b/>
        <sz val="10"/>
        <color theme="0"/>
        <rFont val="Calibri Light"/>
        <family val="2"/>
      </rPr>
      <t>with 20% Pharmacy Discount)</t>
    </r>
  </si>
  <si>
    <r>
      <t>Tegretol</t>
    </r>
    <r>
      <rPr>
        <b/>
        <sz val="10"/>
        <color rgb="FF002060"/>
        <rFont val="Calibri Light"/>
        <family val="2"/>
      </rPr>
      <t>®</t>
    </r>
    <r>
      <rPr>
        <b/>
        <sz val="8"/>
        <color rgb="FF002060"/>
        <rFont val="Calibri Light"/>
        <family val="2"/>
      </rPr>
      <t xml:space="preserve"> CR</t>
    </r>
  </si>
  <si>
    <t>დაფარული წილი</t>
  </si>
  <si>
    <t>იდეალური პოტენციალი პრევალენტობით</t>
  </si>
  <si>
    <t>N/I</t>
  </si>
  <si>
    <t>GEO</t>
  </si>
  <si>
    <t>PREDICTED/SIMULATED IMPORT NET PRICE (2015-2019)</t>
  </si>
  <si>
    <t>Rate</t>
  </si>
  <si>
    <t xml:space="preserve">Medphano Arzneimittel GmbH </t>
  </si>
  <si>
    <t>UNIT PRICE in GEL</t>
  </si>
  <si>
    <t>2019 TENDER PRICE in GEL</t>
  </si>
  <si>
    <t>2019 MIN RETAIL PRICE in GEL</t>
  </si>
  <si>
    <t>2019 TENDER COST in GEL (1)</t>
  </si>
  <si>
    <t>2019 TENDER COST in GEL (2)</t>
  </si>
  <si>
    <t>2019 TENDER COST in GEL (3)</t>
  </si>
  <si>
    <t>2019 TENDER COST in GEL (4)</t>
  </si>
  <si>
    <t>2019 TENDER COST in GEL (5)</t>
  </si>
  <si>
    <t>2019 TENDER COST in GEL (6)</t>
  </si>
  <si>
    <t>GMP</t>
  </si>
  <si>
    <t>KRKA</t>
  </si>
  <si>
    <t>vs TENDER SUM</t>
  </si>
  <si>
    <t>პირდაპირი მოლაპარაკებით კომპანიებთან, გამარტივებული შესყიდვით</t>
  </si>
  <si>
    <t>2019 MIN IMPORT PRICE in GEL</t>
  </si>
  <si>
    <t>2019 MIN RETAIL COST in GEL (1)</t>
  </si>
  <si>
    <t>2019 MIN RETAIL COST in GEL (2)</t>
  </si>
  <si>
    <t>2019 MIN RETAIL COST in GEL (3)</t>
  </si>
  <si>
    <t>2019 MIN RETAIL COST in GEL (4)</t>
  </si>
  <si>
    <t>2019 MIN RETAIL COST in GEL (5)</t>
  </si>
  <si>
    <t>2019 MIN RETAIL COST in GEL (6)</t>
  </si>
  <si>
    <t>2019 MAX RETAIL COST in GEL (1)</t>
  </si>
  <si>
    <t>2019 MAX RETAIL PRICE in GEL</t>
  </si>
  <si>
    <t>2019 MAX RETAIL COST in GEL (2)</t>
  </si>
  <si>
    <t>2019 MAX RETAIL COST in GEL (3)</t>
  </si>
  <si>
    <t>2019 MAX RETAIL COST in GEL (4)</t>
  </si>
  <si>
    <t>2019 MAX RETAIL COST in GEL (5)</t>
  </si>
  <si>
    <t>2019 MAX RETAIL COST in GEL (6)</t>
  </si>
  <si>
    <t>2019 MIN IMPORT COST in GEL (1)</t>
  </si>
  <si>
    <t>2019 MIN IMPORT COST in GEL (2)</t>
  </si>
  <si>
    <t>2019 MIN IMPORT COST in GEL (3)</t>
  </si>
  <si>
    <t>2019 MIN IMPORT COST in GEL (4)</t>
  </si>
  <si>
    <t>2019 MIN IMPORT COST in GEL (5)</t>
  </si>
  <si>
    <t>2019 MIN IMPORT COST in GEL (6)</t>
  </si>
  <si>
    <t>აფთიაქებში ანაზღაურება ნებისმიერი მედიკამენტის, მაქსიმალური ფასით დაანგარიშება (ოღონდ -20% გათვალისწინებული)</t>
  </si>
  <si>
    <t>აფთიაქებში ანაზღაურება კონკრეტული მედიკამენტის, რომელსაც აქვს მინიმალური ფასი (-20% გათვალისწინებულია)</t>
  </si>
  <si>
    <t xml:space="preserve">Pfizer Manufacturing </t>
  </si>
  <si>
    <t>vs TENDER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</si>
</sst>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&quot;$&quot;#,##0.00"/>
    <numFmt numFmtId="166" formatCode="[$GEL]\ #,##0.00"/>
    <numFmt numFmtId="167" formatCode="[$GEL]\ #,##0.0000"/>
    <numFmt numFmtId="168" formatCode="[$GEL]\ #,##0"/>
  </numFmts>
  <fonts count="2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 Light"/>
      <family val="2"/>
    </font>
    <font>
      <b/>
      <sz val="8"/>
      <color theme="0"/>
      <name val="Calibri Light"/>
      <family val="2"/>
    </font>
    <font>
      <sz val="11"/>
      <color rgb="FF002060"/>
      <name val="Calibri Light"/>
      <family val="2"/>
    </font>
    <font>
      <sz val="12"/>
      <color theme="1"/>
      <name val="Calibri Light"/>
      <family val="2"/>
    </font>
    <font>
      <b/>
      <sz val="12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rgb="FF002060"/>
      <name val="Calibri Light"/>
      <family val="2"/>
    </font>
    <font>
      <b/>
      <sz val="10"/>
      <color rgb="FF002060"/>
      <name val="Calibri Light"/>
      <family val="2"/>
    </font>
    <font>
      <b/>
      <sz val="8"/>
      <color rgb="FF002060"/>
      <name val="Calibri Light"/>
      <family val="2"/>
    </font>
    <font>
      <b/>
      <sz val="8"/>
      <color theme="0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b/>
      <sz val="11"/>
      <color rgb="FF002060"/>
      <name val="Calibri Light"/>
      <family val="2"/>
      <scheme val="major"/>
    </font>
    <font>
      <sz val="11"/>
      <color rgb="FF002060"/>
      <name val="Calibri"/>
      <family val="2"/>
      <scheme val="minor"/>
    </font>
    <font>
      <b/>
      <i/>
      <u/>
      <sz val="11"/>
      <color rgb="FF002060"/>
      <name val="Calibri Light"/>
      <family val="2"/>
      <scheme val="major"/>
    </font>
    <font>
      <sz val="10"/>
      <color rgb="FF002060"/>
      <name val="Calibri Light"/>
      <family val="2"/>
    </font>
    <font>
      <b/>
      <sz val="11"/>
      <color rgb="FFFF0000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sz val="10"/>
      <color rgb="FFFF0000"/>
      <name val="Calibri Light"/>
      <family val="2"/>
    </font>
    <font>
      <b/>
      <i/>
      <sz val="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2060"/>
      </bottom>
      <diagonal/>
    </border>
    <border>
      <left/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/>
      <top style="medium">
        <color rgb="FF002060"/>
      </top>
      <bottom/>
      <diagonal/>
    </border>
    <border>
      <left/>
      <right style="medium">
        <color theme="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theme="0"/>
      </left>
      <right/>
      <top style="medium">
        <color rgb="FF002060"/>
      </top>
      <bottom style="thin">
        <color theme="0"/>
      </bottom>
      <diagonal/>
    </border>
    <border>
      <left/>
      <right/>
      <top style="medium">
        <color rgb="FF00206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rgb="FF00206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rgb="FF00206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rgb="FF00206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theme="0"/>
      </bottom>
      <diagonal/>
    </border>
    <border>
      <left/>
      <right style="medium">
        <color rgb="FF002060"/>
      </right>
      <top/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002060"/>
      </right>
      <top style="medium">
        <color theme="0"/>
      </top>
      <bottom style="medium">
        <color theme="0"/>
      </bottom>
      <diagonal/>
    </border>
    <border>
      <left style="medium">
        <color rgb="FF002060"/>
      </left>
      <right/>
      <top style="medium">
        <color theme="0"/>
      </top>
      <bottom/>
      <diagonal/>
    </border>
    <border>
      <left/>
      <right style="medium">
        <color rgb="FF002060"/>
      </right>
      <top style="medium">
        <color theme="0"/>
      </top>
      <bottom/>
      <diagonal/>
    </border>
    <border>
      <left style="medium">
        <color rgb="FF00206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0"/>
      </right>
      <top/>
      <bottom style="medium">
        <color rgb="FF00206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rgb="FF002060"/>
      </top>
      <bottom/>
      <diagonal/>
    </border>
    <border>
      <left style="thin">
        <color theme="0"/>
      </left>
      <right style="medium">
        <color rgb="FF002060"/>
      </right>
      <top style="medium">
        <color rgb="FF00206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206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n">
        <color rgb="FF002060"/>
      </top>
      <bottom/>
      <diagonal/>
    </border>
    <border>
      <left style="medium">
        <color theme="0"/>
      </left>
      <right style="medium">
        <color rgb="FF002060"/>
      </right>
      <top style="medium">
        <color rgb="FF002060"/>
      </top>
      <bottom/>
      <diagonal/>
    </border>
    <border>
      <left style="medium">
        <color theme="0"/>
      </left>
      <right style="medium">
        <color rgb="FF002060"/>
      </right>
      <top/>
      <bottom/>
      <diagonal/>
    </border>
  </borders>
  <cellStyleXfs count="1">
    <xf numFmtId="0" fontId="0" fillId="0" borderId="0"/>
  </cellStyleXfs>
  <cellXfs count="394">
    <xf numFmtId="0" fontId="0" fillId="0" borderId="0" xfId="0"/>
    <xf numFmtId="0" fontId="1" fillId="0" borderId="0" xfId="0" applyFont="1"/>
    <xf numFmtId="0" fontId="3" fillId="7" borderId="11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9" fontId="3" fillId="7" borderId="79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3" fillId="6" borderId="10" xfId="0" applyFont="1" applyFill="1" applyBorder="1" applyAlignment="1">
      <alignment horizontal="left" vertical="center"/>
    </xf>
    <xf numFmtId="0" fontId="6" fillId="0" borderId="0" xfId="0" applyFont="1"/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center" vertical="center" wrapText="1"/>
    </xf>
    <xf numFmtId="0" fontId="9" fillId="0" borderId="21" xfId="0" applyFont="1" applyBorder="1"/>
    <xf numFmtId="0" fontId="9" fillId="0" borderId="22" xfId="0" applyFont="1" applyBorder="1"/>
    <xf numFmtId="0" fontId="9" fillId="0" borderId="31" xfId="0" applyFont="1" applyBorder="1"/>
    <xf numFmtId="164" fontId="9" fillId="0" borderId="15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31" xfId="0" applyNumberFormat="1" applyFont="1" applyBorder="1"/>
    <xf numFmtId="164" fontId="9" fillId="0" borderId="16" xfId="0" applyNumberFormat="1" applyFont="1" applyBorder="1"/>
    <xf numFmtId="0" fontId="9" fillId="8" borderId="15" xfId="0" applyFont="1" applyFill="1" applyBorder="1"/>
    <xf numFmtId="0" fontId="9" fillId="8" borderId="22" xfId="0" applyFont="1" applyFill="1" applyBorder="1"/>
    <xf numFmtId="0" fontId="9" fillId="8" borderId="31" xfId="0" applyFont="1" applyFill="1" applyBorder="1"/>
    <xf numFmtId="0" fontId="9" fillId="0" borderId="13" xfId="0" applyFont="1" applyBorder="1"/>
    <xf numFmtId="0" fontId="9" fillId="0" borderId="8" xfId="0" applyFont="1" applyBorder="1"/>
    <xf numFmtId="0" fontId="9" fillId="0" borderId="32" xfId="0" applyFont="1" applyBorder="1"/>
    <xf numFmtId="164" fontId="9" fillId="0" borderId="17" xfId="0" applyNumberFormat="1" applyFont="1" applyBorder="1"/>
    <xf numFmtId="164" fontId="9" fillId="0" borderId="13" xfId="0" applyNumberFormat="1" applyFont="1" applyBorder="1"/>
    <xf numFmtId="164" fontId="9" fillId="0" borderId="8" xfId="0" applyNumberFormat="1" applyFont="1" applyBorder="1"/>
    <xf numFmtId="164" fontId="9" fillId="0" borderId="32" xfId="0" applyNumberFormat="1" applyFont="1" applyBorder="1"/>
    <xf numFmtId="164" fontId="9" fillId="0" borderId="18" xfId="0" applyNumberFormat="1" applyFont="1" applyBorder="1"/>
    <xf numFmtId="0" fontId="9" fillId="8" borderId="17" xfId="0" applyFont="1" applyFill="1" applyBorder="1"/>
    <xf numFmtId="0" fontId="9" fillId="8" borderId="8" xfId="0" applyFont="1" applyFill="1" applyBorder="1"/>
    <xf numFmtId="0" fontId="9" fillId="8" borderId="32" xfId="0" applyFont="1" applyFill="1" applyBorder="1"/>
    <xf numFmtId="0" fontId="9" fillId="0" borderId="17" xfId="0" applyFont="1" applyBorder="1"/>
    <xf numFmtId="0" fontId="9" fillId="0" borderId="23" xfId="0" applyFont="1" applyBorder="1"/>
    <xf numFmtId="0" fontId="9" fillId="0" borderId="24" xfId="0" applyFont="1" applyBorder="1"/>
    <xf numFmtId="0" fontId="9" fillId="0" borderId="20" xfId="0" applyFont="1" applyBorder="1"/>
    <xf numFmtId="164" fontId="9" fillId="0" borderId="19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164" fontId="9" fillId="0" borderId="33" xfId="0" applyNumberFormat="1" applyFont="1" applyBorder="1"/>
    <xf numFmtId="164" fontId="9" fillId="0" borderId="20" xfId="0" applyNumberFormat="1" applyFont="1" applyBorder="1"/>
    <xf numFmtId="0" fontId="9" fillId="8" borderId="19" xfId="0" applyFont="1" applyFill="1" applyBorder="1"/>
    <xf numFmtId="0" fontId="9" fillId="8" borderId="24" xfId="0" applyFont="1" applyFill="1" applyBorder="1"/>
    <xf numFmtId="0" fontId="9" fillId="0" borderId="26" xfId="0" applyFont="1" applyBorder="1"/>
    <xf numFmtId="0" fontId="9" fillId="0" borderId="14" xfId="0" applyFont="1" applyBorder="1"/>
    <xf numFmtId="0" fontId="9" fillId="0" borderId="35" xfId="0" applyFont="1" applyBorder="1"/>
    <xf numFmtId="164" fontId="9" fillId="0" borderId="30" xfId="0" applyNumberFormat="1" applyFont="1" applyBorder="1"/>
    <xf numFmtId="164" fontId="9" fillId="0" borderId="26" xfId="0" applyNumberFormat="1" applyFont="1" applyBorder="1"/>
    <xf numFmtId="164" fontId="9" fillId="0" borderId="14" xfId="0" applyNumberFormat="1" applyFont="1" applyBorder="1"/>
    <xf numFmtId="164" fontId="9" fillId="0" borderId="35" xfId="0" applyNumberFormat="1" applyFont="1" applyBorder="1"/>
    <xf numFmtId="164" fontId="9" fillId="0" borderId="25" xfId="0" applyNumberFormat="1" applyFont="1" applyBorder="1"/>
    <xf numFmtId="0" fontId="9" fillId="8" borderId="26" xfId="0" applyFont="1" applyFill="1" applyBorder="1"/>
    <xf numFmtId="0" fontId="9" fillId="8" borderId="14" xfId="0" applyFont="1" applyFill="1" applyBorder="1"/>
    <xf numFmtId="0" fontId="9" fillId="8" borderId="35" xfId="0" applyFont="1" applyFill="1" applyBorder="1"/>
    <xf numFmtId="0" fontId="9" fillId="8" borderId="13" xfId="0" applyFont="1" applyFill="1" applyBorder="1"/>
    <xf numFmtId="0" fontId="9" fillId="0" borderId="33" xfId="0" applyFont="1" applyBorder="1"/>
    <xf numFmtId="0" fontId="9" fillId="2" borderId="13" xfId="0" applyFont="1" applyFill="1" applyBorder="1"/>
    <xf numFmtId="0" fontId="9" fillId="2" borderId="8" xfId="0" applyFont="1" applyFill="1" applyBorder="1"/>
    <xf numFmtId="0" fontId="9" fillId="2" borderId="32" xfId="0" applyFont="1" applyFill="1" applyBorder="1"/>
    <xf numFmtId="0" fontId="9" fillId="8" borderId="23" xfId="0" applyFont="1" applyFill="1" applyBorder="1"/>
    <xf numFmtId="0" fontId="9" fillId="8" borderId="33" xfId="0" applyFont="1" applyFill="1" applyBorder="1"/>
    <xf numFmtId="0" fontId="9" fillId="8" borderId="21" xfId="0" applyFont="1" applyFill="1" applyBorder="1"/>
    <xf numFmtId="0" fontId="9" fillId="0" borderId="22" xfId="0" applyFont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8" borderId="24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3" fontId="5" fillId="0" borderId="27" xfId="0" applyNumberFormat="1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5" fillId="0" borderId="29" xfId="0" applyNumberFormat="1" applyFont="1" applyBorder="1" applyAlignment="1">
      <alignment horizontal="center" vertical="center"/>
    </xf>
    <xf numFmtId="3" fontId="5" fillId="0" borderId="76" xfId="0" applyNumberFormat="1" applyFont="1" applyBorder="1" applyAlignment="1">
      <alignment horizontal="center" vertical="center"/>
    </xf>
    <xf numFmtId="3" fontId="5" fillId="0" borderId="75" xfId="0" applyNumberFormat="1" applyFont="1" applyBorder="1" applyAlignment="1">
      <alignment horizontal="center" vertical="center"/>
    </xf>
    <xf numFmtId="3" fontId="5" fillId="0" borderId="81" xfId="0" applyNumberFormat="1" applyFont="1" applyBorder="1" applyAlignment="1">
      <alignment horizontal="center" vertical="center"/>
    </xf>
    <xf numFmtId="3" fontId="5" fillId="0" borderId="82" xfId="0" applyNumberFormat="1" applyFont="1" applyBorder="1" applyAlignment="1">
      <alignment horizontal="center" vertical="center"/>
    </xf>
    <xf numFmtId="3" fontId="5" fillId="0" borderId="83" xfId="0" applyNumberFormat="1" applyFont="1" applyBorder="1" applyAlignment="1">
      <alignment horizontal="center" vertical="center"/>
    </xf>
    <xf numFmtId="3" fontId="5" fillId="0" borderId="84" xfId="0" applyNumberFormat="1" applyFont="1" applyBorder="1" applyAlignment="1">
      <alignment horizontal="center" vertical="center"/>
    </xf>
    <xf numFmtId="3" fontId="5" fillId="0" borderId="85" xfId="0" applyNumberFormat="1" applyFont="1" applyBorder="1" applyAlignment="1">
      <alignment horizontal="center" vertical="center"/>
    </xf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166" fontId="9" fillId="0" borderId="15" xfId="0" applyNumberFormat="1" applyFont="1" applyBorder="1"/>
    <xf numFmtId="166" fontId="9" fillId="0" borderId="17" xfId="0" applyNumberFormat="1" applyFont="1" applyBorder="1"/>
    <xf numFmtId="166" fontId="9" fillId="0" borderId="19" xfId="0" applyNumberFormat="1" applyFont="1" applyBorder="1"/>
    <xf numFmtId="166" fontId="9" fillId="8" borderId="15" xfId="0" applyNumberFormat="1" applyFont="1" applyFill="1" applyBorder="1"/>
    <xf numFmtId="166" fontId="9" fillId="8" borderId="17" xfId="0" applyNumberFormat="1" applyFont="1" applyFill="1" applyBorder="1"/>
    <xf numFmtId="0" fontId="7" fillId="7" borderId="93" xfId="0" applyFont="1" applyFill="1" applyBorder="1" applyAlignment="1">
      <alignment horizontal="center" vertical="center" wrapText="1"/>
    </xf>
    <xf numFmtId="0" fontId="7" fillId="7" borderId="94" xfId="0" applyFont="1" applyFill="1" applyBorder="1" applyAlignment="1">
      <alignment horizontal="center" vertical="center" wrapText="1"/>
    </xf>
    <xf numFmtId="2" fontId="7" fillId="7" borderId="7" xfId="0" applyNumberFormat="1" applyFont="1" applyFill="1" applyBorder="1" applyAlignment="1">
      <alignment horizontal="left" vertical="center" wrapText="1"/>
    </xf>
    <xf numFmtId="0" fontId="7" fillId="7" borderId="40" xfId="0" applyFont="1" applyFill="1" applyBorder="1" applyAlignment="1">
      <alignment horizontal="right" vertical="center" wrapText="1"/>
    </xf>
    <xf numFmtId="166" fontId="9" fillId="8" borderId="8" xfId="0" applyNumberFormat="1" applyFont="1" applyFill="1" applyBorder="1"/>
    <xf numFmtId="166" fontId="9" fillId="0" borderId="8" xfId="0" applyNumberFormat="1" applyFont="1" applyBorder="1"/>
    <xf numFmtId="0" fontId="9" fillId="0" borderId="88" xfId="0" applyFont="1" applyBorder="1"/>
    <xf numFmtId="0" fontId="9" fillId="0" borderId="89" xfId="0" applyFont="1" applyBorder="1"/>
    <xf numFmtId="0" fontId="9" fillId="0" borderId="90" xfId="0" applyFont="1" applyBorder="1"/>
    <xf numFmtId="165" fontId="9" fillId="0" borderId="8" xfId="0" applyNumberFormat="1" applyFont="1" applyBorder="1"/>
    <xf numFmtId="165" fontId="9" fillId="3" borderId="8" xfId="0" applyNumberFormat="1" applyFont="1" applyFill="1" applyBorder="1" applyAlignment="1">
      <alignment horizontal="center" vertical="center"/>
    </xf>
    <xf numFmtId="165" fontId="9" fillId="0" borderId="22" xfId="0" applyNumberFormat="1" applyFont="1" applyBorder="1"/>
    <xf numFmtId="167" fontId="9" fillId="0" borderId="16" xfId="0" applyNumberFormat="1" applyFont="1" applyBorder="1"/>
    <xf numFmtId="166" fontId="9" fillId="3" borderId="18" xfId="0" applyNumberFormat="1" applyFont="1" applyFill="1" applyBorder="1" applyAlignment="1">
      <alignment horizontal="center" vertical="center"/>
    </xf>
    <xf numFmtId="166" fontId="9" fillId="0" borderId="18" xfId="0" applyNumberFormat="1" applyFont="1" applyBorder="1"/>
    <xf numFmtId="167" fontId="9" fillId="0" borderId="18" xfId="0" applyNumberFormat="1" applyFont="1" applyBorder="1"/>
    <xf numFmtId="166" fontId="9" fillId="3" borderId="17" xfId="0" applyNumberFormat="1" applyFont="1" applyFill="1" applyBorder="1"/>
    <xf numFmtId="165" fontId="9" fillId="8" borderId="8" xfId="0" applyNumberFormat="1" applyFont="1" applyFill="1" applyBorder="1"/>
    <xf numFmtId="167" fontId="9" fillId="8" borderId="18" xfId="0" applyNumberFormat="1" applyFont="1" applyFill="1" applyBorder="1"/>
    <xf numFmtId="165" fontId="9" fillId="8" borderId="22" xfId="0" applyNumberFormat="1" applyFont="1" applyFill="1" applyBorder="1"/>
    <xf numFmtId="167" fontId="9" fillId="8" borderId="16" xfId="0" applyNumberFormat="1" applyFont="1" applyFill="1" applyBorder="1"/>
    <xf numFmtId="166" fontId="9" fillId="3" borderId="15" xfId="0" applyNumberFormat="1" applyFont="1" applyFill="1" applyBorder="1"/>
    <xf numFmtId="166" fontId="9" fillId="3" borderId="95" xfId="0" applyNumberFormat="1" applyFont="1" applyFill="1" applyBorder="1"/>
    <xf numFmtId="166" fontId="9" fillId="3" borderId="8" xfId="0" applyNumberFormat="1" applyFont="1" applyFill="1" applyBorder="1"/>
    <xf numFmtId="165" fontId="9" fillId="3" borderId="96" xfId="0" applyNumberFormat="1" applyFont="1" applyFill="1" applyBorder="1" applyAlignment="1">
      <alignment horizontal="center" vertical="center"/>
    </xf>
    <xf numFmtId="166" fontId="9" fillId="3" borderId="98" xfId="0" applyNumberFormat="1" applyFont="1" applyFill="1" applyBorder="1" applyAlignment="1">
      <alignment horizontal="center" vertical="center"/>
    </xf>
    <xf numFmtId="165" fontId="9" fillId="9" borderId="8" xfId="0" applyNumberFormat="1" applyFont="1" applyFill="1" applyBorder="1" applyAlignment="1">
      <alignment horizontal="center" vertical="center"/>
    </xf>
    <xf numFmtId="166" fontId="9" fillId="8" borderId="18" xfId="0" applyNumberFormat="1" applyFont="1" applyFill="1" applyBorder="1" applyAlignment="1">
      <alignment horizontal="center" vertical="center"/>
    </xf>
    <xf numFmtId="165" fontId="9" fillId="3" borderId="22" xfId="0" applyNumberFormat="1" applyFont="1" applyFill="1" applyBorder="1" applyAlignment="1">
      <alignment horizontal="center" vertical="center"/>
    </xf>
    <xf numFmtId="166" fontId="9" fillId="3" borderId="16" xfId="0" applyNumberFormat="1" applyFont="1" applyFill="1" applyBorder="1" applyAlignment="1">
      <alignment horizontal="center" vertical="center"/>
    </xf>
    <xf numFmtId="166" fontId="9" fillId="3" borderId="18" xfId="0" applyNumberFormat="1" applyFont="1" applyFill="1" applyBorder="1"/>
    <xf numFmtId="165" fontId="9" fillId="0" borderId="24" xfId="0" applyNumberFormat="1" applyFont="1" applyBorder="1"/>
    <xf numFmtId="167" fontId="9" fillId="0" borderId="20" xfId="0" applyNumberFormat="1" applyFont="1" applyBorder="1"/>
    <xf numFmtId="166" fontId="9" fillId="8" borderId="18" xfId="0" applyNumberFormat="1" applyFont="1" applyFill="1" applyBorder="1"/>
    <xf numFmtId="167" fontId="9" fillId="8" borderId="20" xfId="0" applyNumberFormat="1" applyFont="1" applyFill="1" applyBorder="1"/>
    <xf numFmtId="166" fontId="9" fillId="8" borderId="95" xfId="0" applyNumberFormat="1" applyFont="1" applyFill="1" applyBorder="1"/>
    <xf numFmtId="165" fontId="9" fillId="8" borderId="96" xfId="0" applyNumberFormat="1" applyFont="1" applyFill="1" applyBorder="1"/>
    <xf numFmtId="167" fontId="9" fillId="8" borderId="98" xfId="0" applyNumberFormat="1" applyFont="1" applyFill="1" applyBorder="1"/>
    <xf numFmtId="166" fontId="9" fillId="0" borderId="22" xfId="0" applyNumberFormat="1" applyFont="1" applyBorder="1"/>
    <xf numFmtId="166" fontId="9" fillId="0" borderId="24" xfId="0" applyNumberFormat="1" applyFont="1" applyBorder="1"/>
    <xf numFmtId="166" fontId="9" fillId="8" borderId="22" xfId="0" applyNumberFormat="1" applyFont="1" applyFill="1" applyBorder="1"/>
    <xf numFmtId="166" fontId="9" fillId="8" borderId="96" xfId="0" applyNumberFormat="1" applyFont="1" applyFill="1" applyBorder="1"/>
    <xf numFmtId="166" fontId="9" fillId="0" borderId="16" xfId="0" applyNumberFormat="1" applyFont="1" applyBorder="1"/>
    <xf numFmtId="166" fontId="9" fillId="0" borderId="95" xfId="0" applyNumberFormat="1" applyFont="1" applyBorder="1"/>
    <xf numFmtId="166" fontId="9" fillId="0" borderId="96" xfId="0" applyNumberFormat="1" applyFont="1" applyBorder="1"/>
    <xf numFmtId="165" fontId="9" fillId="0" borderId="96" xfId="0" applyNumberFormat="1" applyFont="1" applyBorder="1"/>
    <xf numFmtId="166" fontId="9" fillId="0" borderId="98" xfId="0" applyNumberFormat="1" applyFont="1" applyBorder="1"/>
    <xf numFmtId="166" fontId="9" fillId="3" borderId="22" xfId="0" applyNumberFormat="1" applyFont="1" applyFill="1" applyBorder="1"/>
    <xf numFmtId="166" fontId="9" fillId="3" borderId="16" xfId="0" applyNumberFormat="1" applyFont="1" applyFill="1" applyBorder="1"/>
    <xf numFmtId="165" fontId="9" fillId="9" borderId="22" xfId="0" applyNumberFormat="1" applyFont="1" applyFill="1" applyBorder="1" applyAlignment="1">
      <alignment horizontal="center" vertical="center"/>
    </xf>
    <xf numFmtId="167" fontId="9" fillId="0" borderId="98" xfId="0" applyNumberFormat="1" applyFont="1" applyBorder="1"/>
    <xf numFmtId="167" fontId="9" fillId="3" borderId="18" xfId="0" applyNumberFormat="1" applyFont="1" applyFill="1" applyBorder="1"/>
    <xf numFmtId="3" fontId="13" fillId="0" borderId="8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3" fillId="6" borderId="41" xfId="0" applyFont="1" applyFill="1" applyBorder="1" applyAlignment="1">
      <alignment horizontal="left" vertical="center"/>
    </xf>
    <xf numFmtId="0" fontId="5" fillId="0" borderId="106" xfId="0" applyFont="1" applyBorder="1" applyAlignment="1">
      <alignment vertical="center"/>
    </xf>
    <xf numFmtId="0" fontId="5" fillId="0" borderId="103" xfId="0" applyFont="1" applyBorder="1" applyAlignment="1">
      <alignment vertical="center"/>
    </xf>
    <xf numFmtId="167" fontId="5" fillId="0" borderId="76" xfId="0" applyNumberFormat="1" applyFont="1" applyBorder="1" applyAlignment="1">
      <alignment horizontal="center" vertical="center"/>
    </xf>
    <xf numFmtId="167" fontId="5" fillId="0" borderId="75" xfId="0" applyNumberFormat="1" applyFont="1" applyBorder="1" applyAlignment="1">
      <alignment horizontal="center" vertical="center"/>
    </xf>
    <xf numFmtId="167" fontId="5" fillId="0" borderId="81" xfId="0" applyNumberFormat="1" applyFont="1" applyBorder="1" applyAlignment="1">
      <alignment horizontal="center" vertical="center"/>
    </xf>
    <xf numFmtId="167" fontId="5" fillId="0" borderId="82" xfId="0" applyNumberFormat="1" applyFont="1" applyBorder="1" applyAlignment="1">
      <alignment horizontal="center" vertical="center"/>
    </xf>
    <xf numFmtId="167" fontId="5" fillId="0" borderId="83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3" fontId="1" fillId="2" borderId="0" xfId="0" applyNumberFormat="1" applyFont="1" applyFill="1"/>
    <xf numFmtId="167" fontId="5" fillId="0" borderId="81" xfId="0" applyNumberFormat="1" applyFont="1" applyBorder="1" applyAlignment="1">
      <alignment horizontal="right" vertical="center"/>
    </xf>
    <xf numFmtId="168" fontId="5" fillId="0" borderId="27" xfId="0" applyNumberFormat="1" applyFont="1" applyBorder="1" applyAlignment="1">
      <alignment horizontal="right" vertical="center"/>
    </xf>
    <xf numFmtId="167" fontId="5" fillId="0" borderId="82" xfId="0" applyNumberFormat="1" applyFont="1" applyBorder="1" applyAlignment="1">
      <alignment horizontal="right" vertical="center"/>
    </xf>
    <xf numFmtId="168" fontId="5" fillId="0" borderId="28" xfId="0" applyNumberFormat="1" applyFont="1" applyBorder="1" applyAlignment="1">
      <alignment horizontal="right" vertical="center"/>
    </xf>
    <xf numFmtId="167" fontId="5" fillId="0" borderId="83" xfId="0" applyNumberFormat="1" applyFont="1" applyBorder="1" applyAlignment="1">
      <alignment horizontal="right" vertical="center"/>
    </xf>
    <xf numFmtId="168" fontId="5" fillId="0" borderId="29" xfId="0" applyNumberFormat="1" applyFont="1" applyBorder="1" applyAlignment="1">
      <alignment horizontal="right" vertical="center"/>
    </xf>
    <xf numFmtId="167" fontId="5" fillId="0" borderId="76" xfId="0" applyNumberFormat="1" applyFont="1" applyBorder="1" applyAlignment="1">
      <alignment horizontal="right" vertical="center"/>
    </xf>
    <xf numFmtId="168" fontId="5" fillId="0" borderId="99" xfId="0" applyNumberFormat="1" applyFont="1" applyBorder="1" applyAlignment="1">
      <alignment horizontal="right" vertical="center"/>
    </xf>
    <xf numFmtId="167" fontId="5" fillId="0" borderId="75" xfId="0" applyNumberFormat="1" applyFont="1" applyBorder="1" applyAlignment="1">
      <alignment horizontal="right" vertical="center"/>
    </xf>
    <xf numFmtId="168" fontId="5" fillId="0" borderId="101" xfId="0" applyNumberFormat="1" applyFont="1" applyBorder="1" applyAlignment="1">
      <alignment horizontal="right" vertical="center"/>
    </xf>
    <xf numFmtId="168" fontId="5" fillId="0" borderId="102" xfId="0" applyNumberFormat="1" applyFont="1" applyBorder="1" applyAlignment="1">
      <alignment horizontal="right" vertical="center"/>
    </xf>
    <xf numFmtId="168" fontId="5" fillId="0" borderId="75" xfId="0" applyNumberFormat="1" applyFont="1" applyBorder="1" applyAlignment="1">
      <alignment horizontal="right" vertical="center"/>
    </xf>
    <xf numFmtId="168" fontId="14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right"/>
    </xf>
    <xf numFmtId="168" fontId="14" fillId="2" borderId="0" xfId="0" applyNumberFormat="1" applyFont="1" applyFill="1"/>
    <xf numFmtId="0" fontId="17" fillId="8" borderId="8" xfId="0" applyFont="1" applyFill="1" applyBorder="1"/>
    <xf numFmtId="10" fontId="18" fillId="2" borderId="0" xfId="0" applyNumberFormat="1" applyFont="1" applyFill="1"/>
    <xf numFmtId="0" fontId="18" fillId="2" borderId="0" xfId="0" applyFont="1" applyFill="1" applyAlignment="1">
      <alignment horizontal="center" vertical="center"/>
    </xf>
    <xf numFmtId="0" fontId="15" fillId="2" borderId="0" xfId="0" applyFont="1" applyFill="1"/>
    <xf numFmtId="0" fontId="3" fillId="7" borderId="115" xfId="0" applyFont="1" applyFill="1" applyBorder="1" applyAlignment="1">
      <alignment horizontal="center" vertical="center" wrapText="1"/>
    </xf>
    <xf numFmtId="0" fontId="3" fillId="7" borderId="116" xfId="0" applyFont="1" applyFill="1" applyBorder="1" applyAlignment="1">
      <alignment horizontal="center" vertical="center" wrapText="1"/>
    </xf>
    <xf numFmtId="3" fontId="5" fillId="0" borderId="88" xfId="0" applyNumberFormat="1" applyFont="1" applyBorder="1" applyAlignment="1">
      <alignment horizontal="center" vertical="center"/>
    </xf>
    <xf numFmtId="3" fontId="5" fillId="0" borderId="89" xfId="0" applyNumberFormat="1" applyFont="1" applyBorder="1" applyAlignment="1">
      <alignment horizontal="center" vertical="center"/>
    </xf>
    <xf numFmtId="3" fontId="5" fillId="0" borderId="90" xfId="0" applyNumberFormat="1" applyFont="1" applyBorder="1" applyAlignment="1">
      <alignment horizontal="center" vertical="center"/>
    </xf>
    <xf numFmtId="3" fontId="5" fillId="0" borderId="117" xfId="0" applyNumberFormat="1" applyFont="1" applyBorder="1" applyAlignment="1">
      <alignment horizontal="center" vertical="center"/>
    </xf>
    <xf numFmtId="3" fontId="5" fillId="0" borderId="118" xfId="0" applyNumberFormat="1" applyFont="1" applyBorder="1" applyAlignment="1">
      <alignment horizontal="center" vertical="center"/>
    </xf>
    <xf numFmtId="10" fontId="13" fillId="0" borderId="103" xfId="0" applyNumberFormat="1" applyFont="1" applyBorder="1" applyAlignment="1">
      <alignment horizontal="center" vertical="center"/>
    </xf>
    <xf numFmtId="3" fontId="13" fillId="0" borderId="106" xfId="0" applyNumberFormat="1" applyFont="1" applyBorder="1" applyAlignment="1">
      <alignment horizontal="center" vertical="center"/>
    </xf>
    <xf numFmtId="3" fontId="13" fillId="0" borderId="62" xfId="0" applyNumberFormat="1" applyFont="1" applyBorder="1" applyAlignment="1">
      <alignment horizontal="center" vertical="center"/>
    </xf>
    <xf numFmtId="10" fontId="13" fillId="0" borderId="105" xfId="0" applyNumberFormat="1" applyFont="1" applyBorder="1" applyAlignment="1">
      <alignment horizontal="center" vertical="center"/>
    </xf>
    <xf numFmtId="164" fontId="9" fillId="10" borderId="17" xfId="0" applyNumberFormat="1" applyFont="1" applyFill="1" applyBorder="1"/>
    <xf numFmtId="164" fontId="9" fillId="10" borderId="13" xfId="0" applyNumberFormat="1" applyFont="1" applyFill="1" applyBorder="1"/>
    <xf numFmtId="164" fontId="9" fillId="10" borderId="8" xfId="0" applyNumberFormat="1" applyFont="1" applyFill="1" applyBorder="1"/>
    <xf numFmtId="164" fontId="9" fillId="10" borderId="32" xfId="0" applyNumberFormat="1" applyFont="1" applyFill="1" applyBorder="1"/>
    <xf numFmtId="164" fontId="9" fillId="10" borderId="18" xfId="0" applyNumberFormat="1" applyFont="1" applyFill="1" applyBorder="1"/>
    <xf numFmtId="164" fontId="9" fillId="10" borderId="19" xfId="0" applyNumberFormat="1" applyFont="1" applyFill="1" applyBorder="1"/>
    <xf numFmtId="164" fontId="9" fillId="10" borderId="23" xfId="0" applyNumberFormat="1" applyFont="1" applyFill="1" applyBorder="1"/>
    <xf numFmtId="164" fontId="9" fillId="10" borderId="24" xfId="0" applyNumberFormat="1" applyFont="1" applyFill="1" applyBorder="1"/>
    <xf numFmtId="164" fontId="9" fillId="10" borderId="33" xfId="0" applyNumberFormat="1" applyFont="1" applyFill="1" applyBorder="1"/>
    <xf numFmtId="164" fontId="9" fillId="10" borderId="20" xfId="0" applyNumberFormat="1" applyFont="1" applyFill="1" applyBorder="1"/>
    <xf numFmtId="164" fontId="9" fillId="10" borderId="15" xfId="0" applyNumberFormat="1" applyFont="1" applyFill="1" applyBorder="1"/>
    <xf numFmtId="164" fontId="9" fillId="10" borderId="21" xfId="0" applyNumberFormat="1" applyFont="1" applyFill="1" applyBorder="1"/>
    <xf numFmtId="164" fontId="9" fillId="10" borderId="22" xfId="0" applyNumberFormat="1" applyFont="1" applyFill="1" applyBorder="1"/>
    <xf numFmtId="164" fontId="9" fillId="10" borderId="31" xfId="0" applyNumberFormat="1" applyFont="1" applyFill="1" applyBorder="1"/>
    <xf numFmtId="164" fontId="9" fillId="10" borderId="16" xfId="0" applyNumberFormat="1" applyFont="1" applyFill="1" applyBorder="1"/>
    <xf numFmtId="164" fontId="9" fillId="10" borderId="30" xfId="0" applyNumberFormat="1" applyFont="1" applyFill="1" applyBorder="1"/>
    <xf numFmtId="164" fontId="9" fillId="10" borderId="26" xfId="0" applyNumberFormat="1" applyFont="1" applyFill="1" applyBorder="1"/>
    <xf numFmtId="164" fontId="9" fillId="10" borderId="14" xfId="0" applyNumberFormat="1" applyFont="1" applyFill="1" applyBorder="1"/>
    <xf numFmtId="164" fontId="9" fillId="10" borderId="35" xfId="0" applyNumberFormat="1" applyFont="1" applyFill="1" applyBorder="1"/>
    <xf numFmtId="164" fontId="9" fillId="10" borderId="25" xfId="0" applyNumberFormat="1" applyFont="1" applyFill="1" applyBorder="1"/>
    <xf numFmtId="10" fontId="9" fillId="8" borderId="27" xfId="0" applyNumberFormat="1" applyFont="1" applyFill="1" applyBorder="1"/>
    <xf numFmtId="10" fontId="9" fillId="8" borderId="28" xfId="0" applyNumberFormat="1" applyFont="1" applyFill="1" applyBorder="1"/>
    <xf numFmtId="167" fontId="9" fillId="8" borderId="32" xfId="0" applyNumberFormat="1" applyFont="1" applyFill="1" applyBorder="1"/>
    <xf numFmtId="10" fontId="9" fillId="8" borderId="89" xfId="0" applyNumberFormat="1" applyFont="1" applyFill="1" applyBorder="1"/>
    <xf numFmtId="167" fontId="9" fillId="8" borderId="31" xfId="0" applyNumberFormat="1" applyFont="1" applyFill="1" applyBorder="1"/>
    <xf numFmtId="166" fontId="9" fillId="3" borderId="32" xfId="0" applyNumberFormat="1" applyFont="1" applyFill="1" applyBorder="1" applyAlignment="1">
      <alignment horizontal="center" vertical="center"/>
    </xf>
    <xf numFmtId="166" fontId="9" fillId="0" borderId="32" xfId="0" applyNumberFormat="1" applyFont="1" applyBorder="1"/>
    <xf numFmtId="166" fontId="9" fillId="3" borderId="97" xfId="0" applyNumberFormat="1" applyFont="1" applyFill="1" applyBorder="1" applyAlignment="1">
      <alignment horizontal="center" vertical="center"/>
    </xf>
    <xf numFmtId="10" fontId="9" fillId="8" borderId="81" xfId="0" applyNumberFormat="1" applyFont="1" applyFill="1" applyBorder="1"/>
    <xf numFmtId="0" fontId="9" fillId="0" borderId="82" xfId="0" applyFont="1" applyBorder="1"/>
    <xf numFmtId="0" fontId="9" fillId="0" borderId="119" xfId="0" applyFont="1" applyBorder="1"/>
    <xf numFmtId="10" fontId="9" fillId="8" borderId="17" xfId="0" applyNumberFormat="1" applyFont="1" applyFill="1" applyBorder="1"/>
    <xf numFmtId="0" fontId="9" fillId="8" borderId="16" xfId="0" applyFont="1" applyFill="1" applyBorder="1"/>
    <xf numFmtId="0" fontId="9" fillId="8" borderId="18" xfId="0" applyFont="1" applyFill="1" applyBorder="1"/>
    <xf numFmtId="0" fontId="9" fillId="0" borderId="18" xfId="0" applyFont="1" applyBorder="1"/>
    <xf numFmtId="10" fontId="9" fillId="8" borderId="100" xfId="0" applyNumberFormat="1" applyFont="1" applyFill="1" applyBorder="1"/>
    <xf numFmtId="10" fontId="9" fillId="3" borderId="17" xfId="0" applyNumberFormat="1" applyFont="1" applyFill="1" applyBorder="1"/>
    <xf numFmtId="10" fontId="9" fillId="3" borderId="28" xfId="0" applyNumberFormat="1" applyFont="1" applyFill="1" applyBorder="1"/>
    <xf numFmtId="0" fontId="9" fillId="3" borderId="89" xfId="0" applyFont="1" applyFill="1" applyBorder="1"/>
    <xf numFmtId="0" fontId="9" fillId="3" borderId="28" xfId="0" applyFont="1" applyFill="1" applyBorder="1"/>
    <xf numFmtId="0" fontId="9" fillId="3" borderId="82" xfId="0" applyFont="1" applyFill="1" applyBorder="1"/>
    <xf numFmtId="0" fontId="9" fillId="3" borderId="83" xfId="0" applyFont="1" applyFill="1" applyBorder="1"/>
    <xf numFmtId="0" fontId="9" fillId="3" borderId="29" xfId="0" applyFont="1" applyFill="1" applyBorder="1"/>
    <xf numFmtId="0" fontId="9" fillId="3" borderId="90" xfId="0" applyFont="1" applyFill="1" applyBorder="1"/>
    <xf numFmtId="0" fontId="9" fillId="3" borderId="88" xfId="0" applyFont="1" applyFill="1" applyBorder="1"/>
    <xf numFmtId="0" fontId="9" fillId="3" borderId="27" xfId="0" applyFont="1" applyFill="1" applyBorder="1"/>
    <xf numFmtId="10" fontId="9" fillId="3" borderId="100" xfId="0" applyNumberFormat="1" applyFont="1" applyFill="1" applyBorder="1"/>
    <xf numFmtId="10" fontId="9" fillId="3" borderId="81" xfId="0" applyNumberFormat="1" applyFont="1" applyFill="1" applyBorder="1"/>
    <xf numFmtId="10" fontId="9" fillId="3" borderId="27" xfId="0" applyNumberFormat="1" applyFont="1" applyFill="1" applyBorder="1"/>
    <xf numFmtId="165" fontId="9" fillId="3" borderId="8" xfId="0" applyNumberFormat="1" applyFont="1" applyFill="1" applyBorder="1"/>
    <xf numFmtId="165" fontId="9" fillId="3" borderId="96" xfId="0" applyNumberFormat="1" applyFont="1" applyFill="1" applyBorder="1"/>
    <xf numFmtId="165" fontId="9" fillId="3" borderId="22" xfId="0" applyNumberFormat="1" applyFont="1" applyFill="1" applyBorder="1"/>
    <xf numFmtId="166" fontId="9" fillId="8" borderId="31" xfId="0" applyNumberFormat="1" applyFont="1" applyFill="1" applyBorder="1"/>
    <xf numFmtId="166" fontId="9" fillId="3" borderId="32" xfId="0" applyNumberFormat="1" applyFont="1" applyFill="1" applyBorder="1"/>
    <xf numFmtId="166" fontId="9" fillId="8" borderId="32" xfId="0" applyNumberFormat="1" applyFont="1" applyFill="1" applyBorder="1"/>
    <xf numFmtId="166" fontId="9" fillId="3" borderId="97" xfId="0" applyNumberFormat="1" applyFont="1" applyFill="1" applyBorder="1"/>
    <xf numFmtId="166" fontId="9" fillId="3" borderId="31" xfId="0" applyNumberFormat="1" applyFont="1" applyFill="1" applyBorder="1"/>
    <xf numFmtId="166" fontId="9" fillId="8" borderId="97" xfId="0" applyNumberFormat="1" applyFont="1" applyFill="1" applyBorder="1"/>
    <xf numFmtId="10" fontId="9" fillId="8" borderId="95" xfId="0" applyNumberFormat="1" applyFont="1" applyFill="1" applyBorder="1"/>
    <xf numFmtId="10" fontId="9" fillId="8" borderId="15" xfId="0" applyNumberFormat="1" applyFont="1" applyFill="1" applyBorder="1"/>
    <xf numFmtId="10" fontId="9" fillId="8" borderId="19" xfId="0" applyNumberFormat="1" applyFont="1" applyFill="1" applyBorder="1"/>
    <xf numFmtId="10" fontId="9" fillId="8" borderId="29" xfId="0" applyNumberFormat="1" applyFont="1" applyFill="1" applyBorder="1"/>
    <xf numFmtId="0" fontId="20" fillId="8" borderId="8" xfId="0" applyFont="1" applyFill="1" applyBorder="1"/>
    <xf numFmtId="10" fontId="21" fillId="2" borderId="0" xfId="0" applyNumberFormat="1" applyFont="1" applyFill="1"/>
    <xf numFmtId="10" fontId="21" fillId="2" borderId="0" xfId="0" applyNumberFormat="1" applyFont="1" applyFill="1" applyAlignment="1">
      <alignment horizontal="right"/>
    </xf>
    <xf numFmtId="0" fontId="9" fillId="0" borderId="2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 textRotation="90"/>
    </xf>
    <xf numFmtId="0" fontId="7" fillId="6" borderId="54" xfId="0" applyFont="1" applyFill="1" applyBorder="1" applyAlignment="1">
      <alignment horizontal="center" vertical="center" textRotation="90"/>
    </xf>
    <xf numFmtId="0" fontId="7" fillId="6" borderId="43" xfId="0" applyFont="1" applyFill="1" applyBorder="1" applyAlignment="1">
      <alignment horizontal="center" vertical="center" textRotation="90"/>
    </xf>
    <xf numFmtId="0" fontId="7" fillId="6" borderId="6" xfId="0" applyFont="1" applyFill="1" applyBorder="1" applyAlignment="1">
      <alignment horizontal="center" vertical="center" textRotation="90"/>
    </xf>
    <xf numFmtId="0" fontId="7" fillId="6" borderId="41" xfId="0" applyFont="1" applyFill="1" applyBorder="1" applyAlignment="1">
      <alignment horizontal="center" vertical="center" textRotation="90"/>
    </xf>
    <xf numFmtId="0" fontId="7" fillId="7" borderId="44" xfId="0" applyFont="1" applyFill="1" applyBorder="1" applyAlignment="1">
      <alignment horizontal="center" vertical="center" wrapText="1"/>
    </xf>
    <xf numFmtId="0" fontId="7" fillId="7" borderId="45" xfId="0" applyFont="1" applyFill="1" applyBorder="1" applyAlignment="1">
      <alignment horizontal="center" vertical="center"/>
    </xf>
    <xf numFmtId="0" fontId="7" fillId="7" borderId="5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/>
    </xf>
    <xf numFmtId="0" fontId="7" fillId="7" borderId="57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textRotation="90"/>
    </xf>
    <xf numFmtId="0" fontId="7" fillId="3" borderId="44" xfId="0" applyFont="1" applyFill="1" applyBorder="1" applyAlignment="1">
      <alignment horizontal="center" vertical="center" textRotation="90"/>
    </xf>
    <xf numFmtId="0" fontId="7" fillId="3" borderId="45" xfId="0" applyFont="1" applyFill="1" applyBorder="1" applyAlignment="1">
      <alignment horizontal="center" vertical="center" textRotation="90"/>
    </xf>
    <xf numFmtId="0" fontId="7" fillId="3" borderId="54" xfId="0" applyFont="1" applyFill="1" applyBorder="1" applyAlignment="1">
      <alignment horizontal="center" vertical="center" textRotation="90"/>
    </xf>
    <xf numFmtId="0" fontId="7" fillId="3" borderId="6" xfId="0" applyFont="1" applyFill="1" applyBorder="1" applyAlignment="1">
      <alignment horizontal="center" vertical="center" textRotation="90"/>
    </xf>
    <xf numFmtId="0" fontId="7" fillId="3" borderId="55" xfId="0" applyFont="1" applyFill="1" applyBorder="1" applyAlignment="1">
      <alignment horizontal="center" vertical="center" textRotation="90"/>
    </xf>
    <xf numFmtId="0" fontId="7" fillId="3" borderId="9" xfId="0" applyFont="1" applyFill="1" applyBorder="1" applyAlignment="1">
      <alignment horizontal="center" vertical="center" textRotation="90"/>
    </xf>
    <xf numFmtId="0" fontId="7" fillId="4" borderId="56" xfId="0" applyFont="1" applyFill="1" applyBorder="1" applyAlignment="1">
      <alignment horizontal="center" vertical="center" textRotation="90"/>
    </xf>
    <xf numFmtId="0" fontId="7" fillId="4" borderId="10" xfId="0" applyFont="1" applyFill="1" applyBorder="1" applyAlignment="1">
      <alignment horizontal="center" vertical="center" textRotation="90"/>
    </xf>
    <xf numFmtId="0" fontId="7" fillId="4" borderId="54" xfId="0" applyFont="1" applyFill="1" applyBorder="1" applyAlignment="1">
      <alignment horizontal="center" vertical="center" textRotation="90"/>
    </xf>
    <xf numFmtId="0" fontId="7" fillId="4" borderId="6" xfId="0" applyFont="1" applyFill="1" applyBorder="1" applyAlignment="1">
      <alignment horizontal="center" vertical="center" textRotation="90"/>
    </xf>
    <xf numFmtId="0" fontId="7" fillId="4" borderId="55" xfId="0" applyFont="1" applyFill="1" applyBorder="1" applyAlignment="1">
      <alignment horizontal="center" vertical="center" textRotation="90"/>
    </xf>
    <xf numFmtId="0" fontId="7" fillId="4" borderId="9" xfId="0" applyFont="1" applyFill="1" applyBorder="1" applyAlignment="1">
      <alignment horizontal="center" vertical="center" textRotation="90"/>
    </xf>
    <xf numFmtId="0" fontId="7" fillId="5" borderId="56" xfId="0" applyFont="1" applyFill="1" applyBorder="1" applyAlignment="1">
      <alignment horizontal="center" vertical="center" textRotation="90"/>
    </xf>
    <xf numFmtId="0" fontId="7" fillId="5" borderId="10" xfId="0" applyFont="1" applyFill="1" applyBorder="1" applyAlignment="1">
      <alignment horizontal="center" vertical="center" textRotation="90"/>
    </xf>
    <xf numFmtId="0" fontId="7" fillId="5" borderId="54" xfId="0" applyFont="1" applyFill="1" applyBorder="1" applyAlignment="1">
      <alignment horizontal="center" vertical="center" textRotation="90"/>
    </xf>
    <xf numFmtId="0" fontId="7" fillId="5" borderId="6" xfId="0" applyFont="1" applyFill="1" applyBorder="1" applyAlignment="1">
      <alignment horizontal="center" vertical="center" textRotation="90"/>
    </xf>
    <xf numFmtId="0" fontId="7" fillId="5" borderId="55" xfId="0" applyFont="1" applyFill="1" applyBorder="1" applyAlignment="1">
      <alignment horizontal="center" vertical="center" textRotation="90"/>
    </xf>
    <xf numFmtId="0" fontId="7" fillId="5" borderId="9" xfId="0" applyFont="1" applyFill="1" applyBorder="1" applyAlignment="1">
      <alignment horizontal="center" vertical="center" textRotation="90"/>
    </xf>
    <xf numFmtId="0" fontId="7" fillId="7" borderId="41" xfId="0" applyFont="1" applyFill="1" applyBorder="1" applyAlignment="1">
      <alignment horizontal="center" vertical="center" wrapText="1"/>
    </xf>
    <xf numFmtId="0" fontId="7" fillId="7" borderId="4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center" vertical="center" wrapText="1"/>
    </xf>
    <xf numFmtId="0" fontId="3" fillId="7" borderId="50" xfId="0" applyFont="1" applyFill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7" fillId="7" borderId="86" xfId="0" applyFont="1" applyFill="1" applyBorder="1" applyAlignment="1">
      <alignment horizontal="center" vertical="center" wrapText="1"/>
    </xf>
    <xf numFmtId="0" fontId="7" fillId="7" borderId="87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9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51" xfId="0" applyFont="1" applyFill="1" applyBorder="1" applyAlignment="1">
      <alignment horizontal="center" wrapText="1"/>
    </xf>
    <xf numFmtId="0" fontId="7" fillId="7" borderId="52" xfId="0" applyFont="1" applyFill="1" applyBorder="1" applyAlignment="1">
      <alignment horizontal="center" wrapText="1"/>
    </xf>
    <xf numFmtId="0" fontId="7" fillId="7" borderId="53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91" xfId="0" applyFont="1" applyFill="1" applyBorder="1" applyAlignment="1">
      <alignment horizontal="center" vertical="center" wrapText="1"/>
    </xf>
    <xf numFmtId="0" fontId="7" fillId="7" borderId="92" xfId="0" applyFont="1" applyFill="1" applyBorder="1" applyAlignment="1">
      <alignment horizontal="center" vertical="center" wrapText="1"/>
    </xf>
    <xf numFmtId="0" fontId="7" fillId="7" borderId="78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7" fillId="7" borderId="74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77" xfId="0" applyFont="1" applyFill="1" applyBorder="1" applyAlignment="1">
      <alignment horizontal="center" vertical="center" wrapText="1"/>
    </xf>
    <xf numFmtId="10" fontId="19" fillId="2" borderId="48" xfId="0" applyNumberFormat="1" applyFont="1" applyFill="1" applyBorder="1" applyAlignment="1">
      <alignment horizontal="center" vertical="center"/>
    </xf>
    <xf numFmtId="10" fontId="19" fillId="2" borderId="0" xfId="0" applyNumberFormat="1" applyFont="1" applyFill="1" applyAlignment="1">
      <alignment horizontal="center" vertical="center"/>
    </xf>
    <xf numFmtId="0" fontId="3" fillId="4" borderId="69" xfId="0" applyFont="1" applyFill="1" applyBorder="1" applyAlignment="1">
      <alignment horizontal="center" vertical="center"/>
    </xf>
    <xf numFmtId="0" fontId="3" fillId="4" borderId="70" xfId="0" applyFont="1" applyFill="1" applyBorder="1" applyAlignment="1">
      <alignment horizontal="center" vertical="center"/>
    </xf>
    <xf numFmtId="0" fontId="3" fillId="5" borderId="71" xfId="0" applyFont="1" applyFill="1" applyBorder="1" applyAlignment="1">
      <alignment horizontal="center" vertical="center"/>
    </xf>
    <xf numFmtId="0" fontId="3" fillId="5" borderId="72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5" fillId="0" borderId="60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3" fillId="6" borderId="73" xfId="0" applyFont="1" applyFill="1" applyBorder="1" applyAlignment="1">
      <alignment horizontal="center" vertical="center"/>
    </xf>
    <xf numFmtId="0" fontId="3" fillId="6" borderId="107" xfId="0" applyFont="1" applyFill="1" applyBorder="1" applyAlignment="1">
      <alignment horizontal="center" vertical="center"/>
    </xf>
    <xf numFmtId="168" fontId="16" fillId="2" borderId="0" xfId="0" applyNumberFormat="1" applyFont="1" applyFill="1" applyAlignment="1">
      <alignment horizontal="center"/>
    </xf>
    <xf numFmtId="0" fontId="3" fillId="7" borderId="46" xfId="0" applyFont="1" applyFill="1" applyBorder="1" applyAlignment="1">
      <alignment horizontal="center" vertical="center" wrapText="1"/>
    </xf>
    <xf numFmtId="0" fontId="3" fillId="7" borderId="74" xfId="0" applyFont="1" applyFill="1" applyBorder="1" applyAlignment="1">
      <alignment horizontal="center" vertical="center" wrapText="1"/>
    </xf>
    <xf numFmtId="0" fontId="3" fillId="7" borderId="120" xfId="0" applyFont="1" applyFill="1" applyBorder="1" applyAlignment="1">
      <alignment horizontal="center" vertical="center" wrapText="1"/>
    </xf>
    <xf numFmtId="0" fontId="3" fillId="7" borderId="121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5" fillId="0" borderId="61" xfId="0" applyFont="1" applyBorder="1" applyAlignment="1">
      <alignment horizontal="left" vertical="center"/>
    </xf>
    <xf numFmtId="0" fontId="3" fillId="7" borderId="44" xfId="0" applyFont="1" applyFill="1" applyBorder="1" applyAlignment="1">
      <alignment horizontal="center" vertical="center" wrapText="1"/>
    </xf>
    <xf numFmtId="0" fontId="3" fillId="7" borderId="45" xfId="0" applyFont="1" applyFill="1" applyBorder="1" applyAlignment="1">
      <alignment horizontal="center" vertical="center"/>
    </xf>
    <xf numFmtId="0" fontId="3" fillId="7" borderId="54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10" fontId="13" fillId="0" borderId="18" xfId="0" applyNumberFormat="1" applyFont="1" applyBorder="1" applyAlignment="1">
      <alignment horizontal="center" vertical="center"/>
    </xf>
    <xf numFmtId="10" fontId="13" fillId="0" borderId="20" xfId="0" applyNumberFormat="1" applyFont="1" applyBorder="1" applyAlignment="1">
      <alignment horizontal="center" vertical="center"/>
    </xf>
    <xf numFmtId="3" fontId="13" fillId="0" borderId="60" xfId="0" applyNumberFormat="1" applyFont="1" applyBorder="1" applyAlignment="1">
      <alignment horizontal="center" vertical="center"/>
    </xf>
    <xf numFmtId="3" fontId="13" fillId="0" borderId="62" xfId="0" applyNumberFormat="1" applyFont="1" applyBorder="1" applyAlignment="1">
      <alignment horizontal="center" vertical="center"/>
    </xf>
    <xf numFmtId="10" fontId="13" fillId="0" borderId="104" xfId="0" applyNumberFormat="1" applyFont="1" applyBorder="1" applyAlignment="1">
      <alignment horizontal="center" vertical="center"/>
    </xf>
    <xf numFmtId="10" fontId="13" fillId="0" borderId="105" xfId="0" applyNumberFormat="1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3" fillId="4" borderId="109" xfId="0" applyFont="1" applyFill="1" applyBorder="1" applyAlignment="1">
      <alignment horizontal="center" vertical="center"/>
    </xf>
    <xf numFmtId="0" fontId="3" fillId="5" borderId="110" xfId="0" applyFont="1" applyFill="1" applyBorder="1" applyAlignment="1">
      <alignment horizontal="center" vertical="center"/>
    </xf>
    <xf numFmtId="0" fontId="3" fillId="5" borderId="108" xfId="0" applyFont="1" applyFill="1" applyBorder="1" applyAlignment="1">
      <alignment horizontal="center" vertical="center"/>
    </xf>
    <xf numFmtId="0" fontId="3" fillId="7" borderId="111" xfId="0" applyFont="1" applyFill="1" applyBorder="1" applyAlignment="1">
      <alignment horizontal="center" vertical="center" wrapText="1"/>
    </xf>
    <xf numFmtId="0" fontId="3" fillId="7" borderId="80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2" fillId="7" borderId="113" xfId="0" applyFont="1" applyFill="1" applyBorder="1" applyAlignment="1">
      <alignment horizontal="center" vertical="center" wrapText="1"/>
    </xf>
    <xf numFmtId="0" fontId="12" fillId="7" borderId="11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51" xfId="0" applyFont="1" applyFill="1" applyBorder="1" applyAlignment="1">
      <alignment horizontal="center" vertical="center" wrapText="1"/>
    </xf>
    <xf numFmtId="0" fontId="12" fillId="7" borderId="1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12</v>
    <v>AB5</v>
  </rv>
</rvData>
</file>

<file path=xl/richData/rdrichvaluestructure.xml><?xml version="1.0" encoding="utf-8"?>
<rvStructures xmlns="http://schemas.microsoft.com/office/spreadsheetml/2017/richdata" count="1">
  <s t="_error">
    <k n="errorType" t="i"/>
    <k n="field" t="s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5"/>
  <sheetViews>
    <sheetView zoomScale="70" zoomScaleNormal="70" workbookViewId="0">
      <selection activeCell="U178" sqref="U178"/>
    </sheetView>
  </sheetViews>
  <sheetFormatPr defaultColWidth="11.25" defaultRowHeight="15.75" x14ac:dyDescent="0.25"/>
  <cols>
    <col min="1" max="2" width="3.75" style="7" bestFit="1" customWidth="1"/>
    <col min="3" max="3" width="19.75" style="7" bestFit="1" customWidth="1"/>
    <col min="4" max="4" width="13.5" style="7" bestFit="1" customWidth="1"/>
    <col min="5" max="5" width="31.375" style="7" bestFit="1" customWidth="1"/>
    <col min="6" max="6" width="12.75" style="7" bestFit="1" customWidth="1"/>
    <col min="7" max="7" width="5" style="7" bestFit="1" customWidth="1"/>
    <col min="8" max="8" width="9.25" style="7" bestFit="1" customWidth="1"/>
    <col min="9" max="9" width="48.75" style="7" bestFit="1" customWidth="1"/>
    <col min="10" max="10" width="19.25" style="7" bestFit="1" customWidth="1"/>
    <col min="11" max="16" width="8.75" style="7" customWidth="1"/>
    <col min="17" max="17" width="29.5" style="7" bestFit="1" customWidth="1"/>
    <col min="18" max="18" width="12.75" style="7" bestFit="1" customWidth="1"/>
    <col min="19" max="19" width="5" style="7" bestFit="1" customWidth="1"/>
    <col min="20" max="20" width="9.25" style="7" bestFit="1" customWidth="1"/>
    <col min="21" max="21" width="35.875" style="7" bestFit="1" customWidth="1"/>
    <col min="22" max="22" width="19.25" style="7" bestFit="1" customWidth="1"/>
    <col min="23" max="28" width="10.75" style="7" customWidth="1"/>
    <col min="29" max="16384" width="11.25" style="7"/>
  </cols>
  <sheetData>
    <row r="1" spans="1:30" ht="16.5" thickBot="1" x14ac:dyDescent="0.3"/>
    <row r="2" spans="1:30" ht="33" customHeight="1" thickBot="1" x14ac:dyDescent="0.3">
      <c r="A2" s="275" t="s">
        <v>315</v>
      </c>
      <c r="B2" s="276"/>
      <c r="C2" s="308" t="s">
        <v>25</v>
      </c>
      <c r="D2" s="309"/>
      <c r="E2" s="308" t="s">
        <v>26</v>
      </c>
      <c r="F2" s="312"/>
      <c r="G2" s="312"/>
      <c r="H2" s="312"/>
      <c r="I2" s="312"/>
      <c r="J2" s="312"/>
      <c r="K2" s="306" t="s">
        <v>316</v>
      </c>
      <c r="L2" s="307"/>
      <c r="M2" s="307"/>
      <c r="N2" s="307"/>
      <c r="O2" s="307"/>
      <c r="P2" s="307"/>
      <c r="Q2" s="322" t="s">
        <v>320</v>
      </c>
      <c r="R2" s="323"/>
      <c r="S2" s="323"/>
      <c r="T2" s="323"/>
      <c r="U2" s="323"/>
      <c r="V2" s="324"/>
      <c r="W2" s="332" t="s">
        <v>333</v>
      </c>
      <c r="X2" s="333"/>
      <c r="Y2" s="334"/>
      <c r="Z2" s="327" t="s">
        <v>339</v>
      </c>
      <c r="AA2" s="328"/>
      <c r="AB2" s="329"/>
      <c r="AC2" s="316" t="s">
        <v>321</v>
      </c>
      <c r="AD2" s="318" t="s">
        <v>322</v>
      </c>
    </row>
    <row r="3" spans="1:30" ht="16.149999999999999" customHeight="1" thickBot="1" x14ac:dyDescent="0.3">
      <c r="A3" s="277"/>
      <c r="B3" s="278"/>
      <c r="C3" s="310"/>
      <c r="D3" s="311"/>
      <c r="E3" s="310"/>
      <c r="F3" s="313"/>
      <c r="G3" s="313"/>
      <c r="H3" s="313"/>
      <c r="I3" s="313"/>
      <c r="J3" s="313"/>
      <c r="K3" s="314">
        <v>2017</v>
      </c>
      <c r="L3" s="315"/>
      <c r="M3" s="304">
        <v>2018</v>
      </c>
      <c r="N3" s="315"/>
      <c r="O3" s="304">
        <v>2019</v>
      </c>
      <c r="P3" s="305"/>
      <c r="Q3" s="325" t="s">
        <v>28</v>
      </c>
      <c r="R3" s="302" t="s">
        <v>30</v>
      </c>
      <c r="S3" s="302" t="s">
        <v>32</v>
      </c>
      <c r="T3" s="302"/>
      <c r="U3" s="302" t="s">
        <v>33</v>
      </c>
      <c r="V3" s="320" t="s">
        <v>35</v>
      </c>
      <c r="W3" s="95" t="s">
        <v>340</v>
      </c>
      <c r="X3" s="94">
        <v>3</v>
      </c>
      <c r="Y3" s="330" t="s">
        <v>342</v>
      </c>
      <c r="Z3" s="95" t="s">
        <v>340</v>
      </c>
      <c r="AA3" s="94">
        <v>3</v>
      </c>
      <c r="AB3" s="330" t="s">
        <v>342</v>
      </c>
      <c r="AC3" s="316"/>
      <c r="AD3" s="318"/>
    </row>
    <row r="4" spans="1:30" ht="16.5" thickBot="1" x14ac:dyDescent="0.3">
      <c r="A4" s="279"/>
      <c r="B4" s="280"/>
      <c r="C4" s="8" t="s">
        <v>23</v>
      </c>
      <c r="D4" s="9" t="s">
        <v>24</v>
      </c>
      <c r="E4" s="8" t="s">
        <v>28</v>
      </c>
      <c r="F4" s="10" t="s">
        <v>30</v>
      </c>
      <c r="G4" s="300" t="s">
        <v>32</v>
      </c>
      <c r="H4" s="301"/>
      <c r="I4" s="10" t="s">
        <v>33</v>
      </c>
      <c r="J4" s="11" t="s">
        <v>35</v>
      </c>
      <c r="K4" s="8" t="s">
        <v>317</v>
      </c>
      <c r="L4" s="12" t="s">
        <v>318</v>
      </c>
      <c r="M4" s="10" t="s">
        <v>317</v>
      </c>
      <c r="N4" s="10" t="s">
        <v>318</v>
      </c>
      <c r="O4" s="10" t="s">
        <v>317</v>
      </c>
      <c r="P4" s="11" t="s">
        <v>318</v>
      </c>
      <c r="Q4" s="326"/>
      <c r="R4" s="303"/>
      <c r="S4" s="303"/>
      <c r="T4" s="303"/>
      <c r="U4" s="303"/>
      <c r="V4" s="321"/>
      <c r="W4" s="92" t="s">
        <v>317</v>
      </c>
      <c r="X4" s="93" t="s">
        <v>318</v>
      </c>
      <c r="Y4" s="331"/>
      <c r="Z4" s="92" t="s">
        <v>317</v>
      </c>
      <c r="AA4" s="93" t="s">
        <v>318</v>
      </c>
      <c r="AB4" s="331"/>
      <c r="AC4" s="317"/>
      <c r="AD4" s="319"/>
    </row>
    <row r="5" spans="1:30" x14ac:dyDescent="0.25">
      <c r="A5" s="282" t="s">
        <v>3</v>
      </c>
      <c r="B5" s="283"/>
      <c r="C5" s="259" t="s">
        <v>5</v>
      </c>
      <c r="D5" s="262" t="s">
        <v>6</v>
      </c>
      <c r="E5" s="13" t="s">
        <v>51</v>
      </c>
      <c r="F5" s="14" t="s">
        <v>105</v>
      </c>
      <c r="G5" s="14">
        <v>100</v>
      </c>
      <c r="H5" s="14"/>
      <c r="I5" s="14" t="s">
        <v>74</v>
      </c>
      <c r="J5" s="15" t="s">
        <v>93</v>
      </c>
      <c r="K5" s="16"/>
      <c r="L5" s="17"/>
      <c r="M5" s="18"/>
      <c r="N5" s="19"/>
      <c r="O5" s="19"/>
      <c r="P5" s="20"/>
      <c r="Q5" s="21" t="s">
        <v>51</v>
      </c>
      <c r="R5" s="22" t="s">
        <v>105</v>
      </c>
      <c r="S5" s="22">
        <v>100</v>
      </c>
      <c r="T5" s="22"/>
      <c r="U5" s="22" t="s">
        <v>74</v>
      </c>
      <c r="V5" s="23" t="s">
        <v>93</v>
      </c>
      <c r="W5" s="90">
        <v>28.5</v>
      </c>
      <c r="X5" s="111">
        <f>W5/$AA$3</f>
        <v>9.5</v>
      </c>
      <c r="Y5" s="243">
        <f>W5/S5</f>
        <v>0.28499999999999998</v>
      </c>
      <c r="Z5" s="90">
        <f>AA5*$AA$3</f>
        <v>13.694999999999999</v>
      </c>
      <c r="AA5" s="111">
        <f>5.5*0.83</f>
        <v>4.5649999999999995</v>
      </c>
      <c r="AB5" s="215">
        <f>Z5/S5</f>
        <v>0.13694999999999999</v>
      </c>
      <c r="AC5" s="219">
        <f>(Y5-AB5)/AB5</f>
        <v>1.0810514786418401</v>
      </c>
      <c r="AD5" s="211">
        <f>($M$23-AB5)/AB5</f>
        <v>-0.2332968236582694</v>
      </c>
    </row>
    <row r="6" spans="1:30" x14ac:dyDescent="0.25">
      <c r="A6" s="284"/>
      <c r="B6" s="285"/>
      <c r="C6" s="260"/>
      <c r="D6" s="257"/>
      <c r="E6" s="24" t="s">
        <v>52</v>
      </c>
      <c r="F6" s="25" t="s">
        <v>31</v>
      </c>
      <c r="G6" s="25">
        <v>14</v>
      </c>
      <c r="H6" s="25"/>
      <c r="I6" s="25" t="s">
        <v>75</v>
      </c>
      <c r="J6" s="26" t="s">
        <v>94</v>
      </c>
      <c r="K6" s="27"/>
      <c r="L6" s="28"/>
      <c r="M6" s="29"/>
      <c r="N6" s="30"/>
      <c r="O6" s="30"/>
      <c r="P6" s="31"/>
      <c r="Q6" s="32" t="s">
        <v>52</v>
      </c>
      <c r="R6" s="33" t="s">
        <v>31</v>
      </c>
      <c r="S6" s="33">
        <v>14</v>
      </c>
      <c r="T6" s="33"/>
      <c r="U6" s="33" t="s">
        <v>75</v>
      </c>
      <c r="V6" s="34" t="s">
        <v>94</v>
      </c>
      <c r="W6" s="108"/>
      <c r="X6" s="240">
        <f t="shared" ref="X6:X67" si="0">W6/$AA$3</f>
        <v>0</v>
      </c>
      <c r="Y6" s="244">
        <f t="shared" ref="Y6:Y67" si="1">W6/S6</f>
        <v>0</v>
      </c>
      <c r="Z6" s="108"/>
      <c r="AA6" s="102" t="s">
        <v>337</v>
      </c>
      <c r="AB6" s="216"/>
      <c r="AC6" s="231"/>
      <c r="AD6" s="230"/>
    </row>
    <row r="7" spans="1:30" x14ac:dyDescent="0.25">
      <c r="A7" s="284"/>
      <c r="B7" s="285"/>
      <c r="C7" s="260"/>
      <c r="D7" s="257"/>
      <c r="E7" s="24" t="s">
        <v>53</v>
      </c>
      <c r="F7" s="25" t="s">
        <v>31</v>
      </c>
      <c r="G7" s="25">
        <v>30</v>
      </c>
      <c r="H7" s="25"/>
      <c r="I7" s="25" t="s">
        <v>76</v>
      </c>
      <c r="J7" s="26" t="s">
        <v>95</v>
      </c>
      <c r="K7" s="27"/>
      <c r="L7" s="28"/>
      <c r="M7" s="29"/>
      <c r="N7" s="30"/>
      <c r="O7" s="30"/>
      <c r="P7" s="31"/>
      <c r="Q7" s="32" t="s">
        <v>53</v>
      </c>
      <c r="R7" s="33" t="s">
        <v>31</v>
      </c>
      <c r="S7" s="33">
        <v>30</v>
      </c>
      <c r="T7" s="33"/>
      <c r="U7" s="33" t="s">
        <v>76</v>
      </c>
      <c r="V7" s="34" t="s">
        <v>95</v>
      </c>
      <c r="W7" s="108"/>
      <c r="X7" s="240">
        <f t="shared" si="0"/>
        <v>0</v>
      </c>
      <c r="Y7" s="244">
        <f t="shared" si="1"/>
        <v>0</v>
      </c>
      <c r="Z7" s="108"/>
      <c r="AA7" s="102" t="s">
        <v>337</v>
      </c>
      <c r="AB7" s="216"/>
      <c r="AC7" s="231"/>
      <c r="AD7" s="230"/>
    </row>
    <row r="8" spans="1:30" x14ac:dyDescent="0.25">
      <c r="A8" s="284"/>
      <c r="B8" s="285"/>
      <c r="C8" s="260"/>
      <c r="D8" s="257"/>
      <c r="E8" s="24" t="s">
        <v>54</v>
      </c>
      <c r="F8" s="25" t="s">
        <v>31</v>
      </c>
      <c r="G8" s="25">
        <v>1000</v>
      </c>
      <c r="H8" s="25"/>
      <c r="I8" s="25" t="s">
        <v>77</v>
      </c>
      <c r="J8" s="26" t="s">
        <v>96</v>
      </c>
      <c r="K8" s="27"/>
      <c r="L8" s="28"/>
      <c r="M8" s="29"/>
      <c r="N8" s="30"/>
      <c r="O8" s="30"/>
      <c r="P8" s="31"/>
      <c r="Q8" s="32" t="s">
        <v>54</v>
      </c>
      <c r="R8" s="33" t="s">
        <v>31</v>
      </c>
      <c r="S8" s="33">
        <v>1000</v>
      </c>
      <c r="T8" s="33"/>
      <c r="U8" s="33" t="s">
        <v>77</v>
      </c>
      <c r="V8" s="34" t="s">
        <v>96</v>
      </c>
      <c r="W8" s="108"/>
      <c r="X8" s="240">
        <f t="shared" si="0"/>
        <v>0</v>
      </c>
      <c r="Y8" s="244">
        <f t="shared" si="1"/>
        <v>0</v>
      </c>
      <c r="Z8" s="108"/>
      <c r="AA8" s="102" t="s">
        <v>337</v>
      </c>
      <c r="AB8" s="216"/>
      <c r="AC8" s="231"/>
      <c r="AD8" s="230"/>
    </row>
    <row r="9" spans="1:30" x14ac:dyDescent="0.25">
      <c r="A9" s="284"/>
      <c r="B9" s="285"/>
      <c r="C9" s="260"/>
      <c r="D9" s="257"/>
      <c r="E9" s="24" t="s">
        <v>54</v>
      </c>
      <c r="F9" s="25" t="s">
        <v>31</v>
      </c>
      <c r="G9" s="25">
        <v>90</v>
      </c>
      <c r="H9" s="25"/>
      <c r="I9" s="25" t="s">
        <v>77</v>
      </c>
      <c r="J9" s="26" t="s">
        <v>93</v>
      </c>
      <c r="K9" s="27"/>
      <c r="L9" s="28"/>
      <c r="M9" s="29"/>
      <c r="N9" s="30"/>
      <c r="O9" s="29"/>
      <c r="P9" s="31"/>
      <c r="Q9" s="32" t="s">
        <v>54</v>
      </c>
      <c r="R9" s="33" t="s">
        <v>31</v>
      </c>
      <c r="S9" s="33">
        <v>90</v>
      </c>
      <c r="T9" s="33"/>
      <c r="U9" s="33" t="s">
        <v>77</v>
      </c>
      <c r="V9" s="34" t="s">
        <v>93</v>
      </c>
      <c r="W9" s="108"/>
      <c r="X9" s="240">
        <f t="shared" si="0"/>
        <v>0</v>
      </c>
      <c r="Y9" s="244">
        <f t="shared" si="1"/>
        <v>0</v>
      </c>
      <c r="Z9" s="108"/>
      <c r="AA9" s="102" t="s">
        <v>337</v>
      </c>
      <c r="AB9" s="216"/>
      <c r="AC9" s="231"/>
      <c r="AD9" s="230"/>
    </row>
    <row r="10" spans="1:30" x14ac:dyDescent="0.25">
      <c r="A10" s="284"/>
      <c r="B10" s="285"/>
      <c r="C10" s="260"/>
      <c r="D10" s="257"/>
      <c r="E10" s="24" t="s">
        <v>55</v>
      </c>
      <c r="F10" s="25" t="s">
        <v>31</v>
      </c>
      <c r="G10" s="25">
        <v>30</v>
      </c>
      <c r="H10" s="25" t="s">
        <v>108</v>
      </c>
      <c r="I10" s="25" t="s">
        <v>78</v>
      </c>
      <c r="J10" s="26" t="s">
        <v>97</v>
      </c>
      <c r="K10" s="27"/>
      <c r="L10" s="28"/>
      <c r="M10" s="29"/>
      <c r="N10" s="30"/>
      <c r="O10" s="30"/>
      <c r="P10" s="31"/>
      <c r="Q10" s="35"/>
      <c r="R10" s="25"/>
      <c r="S10" s="25"/>
      <c r="T10" s="25"/>
      <c r="U10" s="25"/>
      <c r="V10" s="26"/>
      <c r="W10" s="88"/>
      <c r="X10" s="101"/>
      <c r="Y10" s="217"/>
      <c r="Z10" s="88"/>
      <c r="AA10" s="101"/>
      <c r="AB10" s="217"/>
      <c r="AC10" s="221"/>
      <c r="AD10" s="85"/>
    </row>
    <row r="11" spans="1:30" x14ac:dyDescent="0.25">
      <c r="A11" s="284"/>
      <c r="B11" s="285"/>
      <c r="C11" s="260"/>
      <c r="D11" s="257"/>
      <c r="E11" s="24" t="s">
        <v>56</v>
      </c>
      <c r="F11" s="25" t="s">
        <v>31</v>
      </c>
      <c r="G11" s="25">
        <v>100</v>
      </c>
      <c r="H11" s="25"/>
      <c r="I11" s="25" t="s">
        <v>126</v>
      </c>
      <c r="J11" s="26" t="s">
        <v>36</v>
      </c>
      <c r="K11" s="27"/>
      <c r="L11" s="28"/>
      <c r="M11" s="29"/>
      <c r="N11" s="30"/>
      <c r="O11" s="30"/>
      <c r="P11" s="31"/>
      <c r="Q11" s="32" t="s">
        <v>56</v>
      </c>
      <c r="R11" s="33" t="s">
        <v>31</v>
      </c>
      <c r="S11" s="33">
        <v>100</v>
      </c>
      <c r="T11" s="33"/>
      <c r="U11" s="33" t="s">
        <v>126</v>
      </c>
      <c r="V11" s="34" t="s">
        <v>36</v>
      </c>
      <c r="W11" s="91">
        <v>102.32</v>
      </c>
      <c r="X11" s="109">
        <f t="shared" si="0"/>
        <v>34.106666666666662</v>
      </c>
      <c r="Y11" s="245">
        <f t="shared" si="1"/>
        <v>1.0231999999999999</v>
      </c>
      <c r="Z11" s="91">
        <f>AA11*$AA$3</f>
        <v>61.602599999999995</v>
      </c>
      <c r="AA11" s="109">
        <f>24.74*0.83</f>
        <v>20.534199999999998</v>
      </c>
      <c r="AB11" s="213">
        <f>Z11/S11</f>
        <v>0.61602599999999996</v>
      </c>
      <c r="AC11" s="222">
        <f>(Y11-AB11)/AB11</f>
        <v>0.66096885521065663</v>
      </c>
      <c r="AD11" s="214">
        <f>($M$23-AB11)/AB11</f>
        <v>-0.82955264875183843</v>
      </c>
    </row>
    <row r="12" spans="1:30" x14ac:dyDescent="0.25">
      <c r="A12" s="284"/>
      <c r="B12" s="285"/>
      <c r="C12" s="260"/>
      <c r="D12" s="257"/>
      <c r="E12" s="24" t="s">
        <v>57</v>
      </c>
      <c r="F12" s="25" t="s">
        <v>31</v>
      </c>
      <c r="G12" s="25">
        <v>30</v>
      </c>
      <c r="H12" s="25"/>
      <c r="I12" s="25" t="s">
        <v>79</v>
      </c>
      <c r="J12" s="26" t="s">
        <v>98</v>
      </c>
      <c r="K12" s="27"/>
      <c r="L12" s="28"/>
      <c r="M12" s="29"/>
      <c r="N12" s="30"/>
      <c r="O12" s="30"/>
      <c r="P12" s="31"/>
      <c r="Q12" s="32" t="s">
        <v>57</v>
      </c>
      <c r="R12" s="33" t="s">
        <v>31</v>
      </c>
      <c r="S12" s="33">
        <v>30</v>
      </c>
      <c r="T12" s="33"/>
      <c r="U12" s="33" t="s">
        <v>79</v>
      </c>
      <c r="V12" s="34" t="s">
        <v>98</v>
      </c>
      <c r="W12" s="108"/>
      <c r="X12" s="240">
        <f t="shared" si="0"/>
        <v>0</v>
      </c>
      <c r="Y12" s="244">
        <f t="shared" si="1"/>
        <v>0</v>
      </c>
      <c r="Z12" s="108"/>
      <c r="AA12" s="102" t="s">
        <v>337</v>
      </c>
      <c r="AB12" s="216"/>
      <c r="AC12" s="231"/>
      <c r="AD12" s="230"/>
    </row>
    <row r="13" spans="1:30" x14ac:dyDescent="0.25">
      <c r="A13" s="284"/>
      <c r="B13" s="285"/>
      <c r="C13" s="260"/>
      <c r="D13" s="257"/>
      <c r="E13" s="24" t="s">
        <v>58</v>
      </c>
      <c r="F13" s="25" t="s">
        <v>31</v>
      </c>
      <c r="G13" s="25">
        <v>30</v>
      </c>
      <c r="H13" s="25"/>
      <c r="I13" s="25" t="s">
        <v>80</v>
      </c>
      <c r="J13" s="26" t="s">
        <v>99</v>
      </c>
      <c r="K13" s="27"/>
      <c r="L13" s="28"/>
      <c r="M13" s="29"/>
      <c r="N13" s="30"/>
      <c r="O13" s="30"/>
      <c r="P13" s="31"/>
      <c r="Q13" s="35"/>
      <c r="R13" s="25"/>
      <c r="S13" s="25"/>
      <c r="T13" s="25"/>
      <c r="U13" s="25"/>
      <c r="V13" s="26"/>
      <c r="W13" s="88"/>
      <c r="X13" s="101"/>
      <c r="Y13" s="217"/>
      <c r="Z13" s="88"/>
      <c r="AA13" s="101"/>
      <c r="AB13" s="217"/>
      <c r="AC13" s="220"/>
      <c r="AD13" s="85"/>
    </row>
    <row r="14" spans="1:30" x14ac:dyDescent="0.25">
      <c r="A14" s="284"/>
      <c r="B14" s="285"/>
      <c r="C14" s="260"/>
      <c r="D14" s="257"/>
      <c r="E14" s="24" t="s">
        <v>59</v>
      </c>
      <c r="F14" s="25" t="s">
        <v>31</v>
      </c>
      <c r="G14" s="25">
        <v>100</v>
      </c>
      <c r="H14" s="25" t="s">
        <v>109</v>
      </c>
      <c r="I14" s="25" t="s">
        <v>81</v>
      </c>
      <c r="J14" s="26" t="s">
        <v>97</v>
      </c>
      <c r="K14" s="27"/>
      <c r="L14" s="28"/>
      <c r="M14" s="29"/>
      <c r="N14" s="30"/>
      <c r="O14" s="30"/>
      <c r="P14" s="31"/>
      <c r="Q14" s="35"/>
      <c r="R14" s="25"/>
      <c r="S14" s="25"/>
      <c r="T14" s="25"/>
      <c r="U14" s="25"/>
      <c r="V14" s="26"/>
      <c r="W14" s="88"/>
      <c r="X14" s="101"/>
      <c r="Y14" s="217"/>
      <c r="Z14" s="88"/>
      <c r="AA14" s="101"/>
      <c r="AB14" s="217"/>
      <c r="AC14" s="220"/>
      <c r="AD14" s="85"/>
    </row>
    <row r="15" spans="1:30" x14ac:dyDescent="0.25">
      <c r="A15" s="284"/>
      <c r="B15" s="285"/>
      <c r="C15" s="260"/>
      <c r="D15" s="257"/>
      <c r="E15" s="24" t="s">
        <v>60</v>
      </c>
      <c r="F15" s="25" t="s">
        <v>31</v>
      </c>
      <c r="G15" s="25">
        <v>30</v>
      </c>
      <c r="H15" s="25" t="s">
        <v>108</v>
      </c>
      <c r="I15" s="25" t="s">
        <v>82</v>
      </c>
      <c r="J15" s="26" t="s">
        <v>97</v>
      </c>
      <c r="K15" s="27"/>
      <c r="L15" s="28"/>
      <c r="M15" s="29"/>
      <c r="N15" s="30"/>
      <c r="O15" s="30"/>
      <c r="P15" s="31"/>
      <c r="Q15" s="35"/>
      <c r="R15" s="25"/>
      <c r="S15" s="25"/>
      <c r="T15" s="25"/>
      <c r="U15" s="25"/>
      <c r="V15" s="26"/>
      <c r="W15" s="88"/>
      <c r="X15" s="101"/>
      <c r="Y15" s="217"/>
      <c r="Z15" s="88"/>
      <c r="AA15" s="101"/>
      <c r="AB15" s="217"/>
      <c r="AC15" s="220"/>
      <c r="AD15" s="85"/>
    </row>
    <row r="16" spans="1:30" x14ac:dyDescent="0.25">
      <c r="A16" s="284"/>
      <c r="B16" s="285"/>
      <c r="C16" s="260"/>
      <c r="D16" s="257"/>
      <c r="E16" s="24" t="s">
        <v>61</v>
      </c>
      <c r="F16" s="25" t="s">
        <v>31</v>
      </c>
      <c r="G16" s="25">
        <v>30</v>
      </c>
      <c r="H16" s="25" t="s">
        <v>108</v>
      </c>
      <c r="I16" s="25" t="s">
        <v>83</v>
      </c>
      <c r="J16" s="26" t="s">
        <v>99</v>
      </c>
      <c r="K16" s="27"/>
      <c r="L16" s="28"/>
      <c r="M16" s="29"/>
      <c r="N16" s="30"/>
      <c r="O16" s="30"/>
      <c r="P16" s="31"/>
      <c r="Q16" s="35"/>
      <c r="R16" s="25"/>
      <c r="S16" s="25"/>
      <c r="T16" s="25"/>
      <c r="U16" s="25"/>
      <c r="V16" s="26"/>
      <c r="W16" s="88"/>
      <c r="X16" s="101"/>
      <c r="Y16" s="217"/>
      <c r="Z16" s="88"/>
      <c r="AA16" s="101"/>
      <c r="AB16" s="217"/>
      <c r="AC16" s="220"/>
      <c r="AD16" s="85"/>
    </row>
    <row r="17" spans="1:30" x14ac:dyDescent="0.25">
      <c r="A17" s="284"/>
      <c r="B17" s="285"/>
      <c r="C17" s="260"/>
      <c r="D17" s="257"/>
      <c r="E17" s="24" t="s">
        <v>62</v>
      </c>
      <c r="F17" s="25" t="s">
        <v>31</v>
      </c>
      <c r="G17" s="25">
        <v>30</v>
      </c>
      <c r="H17" s="25"/>
      <c r="I17" s="25" t="s">
        <v>84</v>
      </c>
      <c r="J17" s="26" t="s">
        <v>100</v>
      </c>
      <c r="K17" s="27"/>
      <c r="L17" s="28"/>
      <c r="M17" s="29"/>
      <c r="N17" s="30"/>
      <c r="O17" s="30"/>
      <c r="P17" s="31"/>
      <c r="Q17" s="32" t="s">
        <v>62</v>
      </c>
      <c r="R17" s="33" t="s">
        <v>73</v>
      </c>
      <c r="S17" s="33">
        <v>30</v>
      </c>
      <c r="T17" s="33"/>
      <c r="U17" s="33" t="s">
        <v>84</v>
      </c>
      <c r="V17" s="34" t="s">
        <v>100</v>
      </c>
      <c r="W17" s="91"/>
      <c r="X17" s="109">
        <f t="shared" si="0"/>
        <v>0</v>
      </c>
      <c r="Y17" s="245">
        <f t="shared" si="1"/>
        <v>0</v>
      </c>
      <c r="Z17" s="91">
        <f>AA17*$AA$3</f>
        <v>5.2040999999999995</v>
      </c>
      <c r="AA17" s="109">
        <f>2.09*0.83</f>
        <v>1.7346999999999999</v>
      </c>
      <c r="AB17" s="213">
        <f>Z17/S17</f>
        <v>0.17346999999999999</v>
      </c>
      <c r="AC17" s="227"/>
      <c r="AD17" s="228"/>
    </row>
    <row r="18" spans="1:30" x14ac:dyDescent="0.25">
      <c r="A18" s="284"/>
      <c r="B18" s="285"/>
      <c r="C18" s="260"/>
      <c r="D18" s="257"/>
      <c r="E18" s="24" t="s">
        <v>63</v>
      </c>
      <c r="F18" s="25" t="s">
        <v>31</v>
      </c>
      <c r="G18" s="25">
        <v>30</v>
      </c>
      <c r="H18" s="25"/>
      <c r="I18" s="25" t="s">
        <v>40</v>
      </c>
      <c r="J18" s="26" t="s">
        <v>41</v>
      </c>
      <c r="K18" s="27"/>
      <c r="L18" s="28"/>
      <c r="M18" s="29"/>
      <c r="N18" s="30"/>
      <c r="O18" s="30"/>
      <c r="P18" s="31"/>
      <c r="Q18" s="32" t="s">
        <v>63</v>
      </c>
      <c r="R18" s="33" t="s">
        <v>31</v>
      </c>
      <c r="S18" s="33">
        <v>30</v>
      </c>
      <c r="T18" s="33"/>
      <c r="U18" s="33" t="s">
        <v>40</v>
      </c>
      <c r="V18" s="34" t="s">
        <v>41</v>
      </c>
      <c r="W18" s="91">
        <v>7.8</v>
      </c>
      <c r="X18" s="109">
        <f t="shared" si="0"/>
        <v>2.6</v>
      </c>
      <c r="Y18" s="245">
        <f t="shared" si="1"/>
        <v>0.26</v>
      </c>
      <c r="Z18" s="91">
        <f>AA18*$AA$3</f>
        <v>7.4699999999999989</v>
      </c>
      <c r="AA18" s="109">
        <f>3*0.83</f>
        <v>2.4899999999999998</v>
      </c>
      <c r="AB18" s="213">
        <f>Z18/S18</f>
        <v>0.24899999999999997</v>
      </c>
      <c r="AC18" s="222">
        <f>(Y18-AB18)/AB18</f>
        <v>4.4176706827309391E-2</v>
      </c>
      <c r="AD18" s="212">
        <f t="shared" ref="AD18" si="2">($M$23-AB18)/AB18</f>
        <v>-0.57831325301204806</v>
      </c>
    </row>
    <row r="19" spans="1:30" x14ac:dyDescent="0.25">
      <c r="A19" s="284"/>
      <c r="B19" s="285"/>
      <c r="C19" s="260"/>
      <c r="D19" s="257"/>
      <c r="E19" s="24" t="s">
        <v>64</v>
      </c>
      <c r="F19" s="25" t="s">
        <v>31</v>
      </c>
      <c r="G19" s="25">
        <v>30</v>
      </c>
      <c r="H19" s="25" t="s">
        <v>108</v>
      </c>
      <c r="I19" s="25" t="s">
        <v>85</v>
      </c>
      <c r="J19" s="26" t="s">
        <v>97</v>
      </c>
      <c r="K19" s="27"/>
      <c r="L19" s="28"/>
      <c r="M19" s="29"/>
      <c r="N19" s="30"/>
      <c r="O19" s="30"/>
      <c r="P19" s="31"/>
      <c r="Q19" s="35"/>
      <c r="R19" s="25"/>
      <c r="S19" s="25"/>
      <c r="T19" s="25"/>
      <c r="U19" s="25"/>
      <c r="V19" s="26"/>
      <c r="W19" s="88"/>
      <c r="X19" s="101"/>
      <c r="Y19" s="217"/>
      <c r="Z19" s="88"/>
      <c r="AA19" s="101"/>
      <c r="AB19" s="217"/>
      <c r="AC19" s="220"/>
      <c r="AD19" s="85"/>
    </row>
    <row r="20" spans="1:30" x14ac:dyDescent="0.25">
      <c r="A20" s="284"/>
      <c r="B20" s="285"/>
      <c r="C20" s="260"/>
      <c r="D20" s="257"/>
      <c r="E20" s="24" t="s">
        <v>65</v>
      </c>
      <c r="F20" s="25" t="s">
        <v>31</v>
      </c>
      <c r="G20" s="25">
        <v>20</v>
      </c>
      <c r="H20" s="25"/>
      <c r="I20" s="25" t="s">
        <v>86</v>
      </c>
      <c r="J20" s="26" t="s">
        <v>101</v>
      </c>
      <c r="K20" s="27"/>
      <c r="L20" s="28"/>
      <c r="M20" s="29"/>
      <c r="N20" s="30"/>
      <c r="O20" s="30"/>
      <c r="P20" s="31"/>
      <c r="Q20" s="35"/>
      <c r="R20" s="25"/>
      <c r="S20" s="25"/>
      <c r="T20" s="25"/>
      <c r="U20" s="25"/>
      <c r="V20" s="26"/>
      <c r="W20" s="88"/>
      <c r="X20" s="101"/>
      <c r="Y20" s="217"/>
      <c r="Z20" s="88"/>
      <c r="AA20" s="101"/>
      <c r="AB20" s="217"/>
      <c r="AC20" s="220"/>
      <c r="AD20" s="85"/>
    </row>
    <row r="21" spans="1:30" x14ac:dyDescent="0.25">
      <c r="A21" s="284"/>
      <c r="B21" s="285"/>
      <c r="C21" s="260"/>
      <c r="D21" s="257"/>
      <c r="E21" s="24" t="s">
        <v>56</v>
      </c>
      <c r="F21" s="25" t="s">
        <v>31</v>
      </c>
      <c r="G21" s="25">
        <v>30</v>
      </c>
      <c r="H21" s="25" t="s">
        <v>108</v>
      </c>
      <c r="I21" s="25" t="s">
        <v>126</v>
      </c>
      <c r="J21" s="26" t="s">
        <v>36</v>
      </c>
      <c r="K21" s="27"/>
      <c r="L21" s="28"/>
      <c r="M21" s="29"/>
      <c r="N21" s="30"/>
      <c r="O21" s="30"/>
      <c r="P21" s="31"/>
      <c r="Q21" s="32" t="s">
        <v>56</v>
      </c>
      <c r="R21" s="33" t="s">
        <v>31</v>
      </c>
      <c r="S21" s="33">
        <v>30</v>
      </c>
      <c r="T21" s="33" t="s">
        <v>108</v>
      </c>
      <c r="U21" s="33" t="s">
        <v>126</v>
      </c>
      <c r="V21" s="34" t="s">
        <v>36</v>
      </c>
      <c r="W21" s="108"/>
      <c r="X21" s="240">
        <f t="shared" si="0"/>
        <v>0</v>
      </c>
      <c r="Y21" s="244">
        <f t="shared" si="1"/>
        <v>0</v>
      </c>
      <c r="Z21" s="108"/>
      <c r="AA21" s="102" t="s">
        <v>337</v>
      </c>
      <c r="AB21" s="216"/>
      <c r="AC21" s="231"/>
      <c r="AD21" s="230"/>
    </row>
    <row r="22" spans="1:30" x14ac:dyDescent="0.25">
      <c r="A22" s="284"/>
      <c r="B22" s="285"/>
      <c r="C22" s="260"/>
      <c r="D22" s="257"/>
      <c r="E22" s="24" t="s">
        <v>66</v>
      </c>
      <c r="F22" s="25" t="s">
        <v>105</v>
      </c>
      <c r="G22" s="25">
        <v>30</v>
      </c>
      <c r="H22" s="25" t="s">
        <v>108</v>
      </c>
      <c r="I22" s="25" t="s">
        <v>87</v>
      </c>
      <c r="J22" s="26" t="s">
        <v>99</v>
      </c>
      <c r="K22" s="27"/>
      <c r="L22" s="28"/>
      <c r="M22" s="29"/>
      <c r="N22" s="30"/>
      <c r="O22" s="30"/>
      <c r="P22" s="31"/>
      <c r="Q22" s="35"/>
      <c r="R22" s="25"/>
      <c r="S22" s="25"/>
      <c r="T22" s="25"/>
      <c r="U22" s="25"/>
      <c r="V22" s="26"/>
      <c r="W22" s="88"/>
      <c r="X22" s="101"/>
      <c r="Y22" s="217"/>
      <c r="Z22" s="88"/>
      <c r="AA22" s="101"/>
      <c r="AB22" s="217"/>
      <c r="AC22" s="220"/>
      <c r="AD22" s="85"/>
    </row>
    <row r="23" spans="1:30" x14ac:dyDescent="0.25">
      <c r="A23" s="284"/>
      <c r="B23" s="285"/>
      <c r="C23" s="260"/>
      <c r="D23" s="257"/>
      <c r="E23" s="24" t="s">
        <v>67</v>
      </c>
      <c r="F23" s="25" t="s">
        <v>31</v>
      </c>
      <c r="G23" s="25">
        <v>28</v>
      </c>
      <c r="H23" s="25"/>
      <c r="I23" s="25" t="s">
        <v>88</v>
      </c>
      <c r="J23" s="26" t="s">
        <v>102</v>
      </c>
      <c r="K23" s="191"/>
      <c r="L23" s="192"/>
      <c r="M23" s="193">
        <v>0.105</v>
      </c>
      <c r="N23" s="194"/>
      <c r="O23" s="194"/>
      <c r="P23" s="195"/>
      <c r="Q23" s="32" t="s">
        <v>67</v>
      </c>
      <c r="R23" s="33" t="s">
        <v>31</v>
      </c>
      <c r="S23" s="33">
        <v>28</v>
      </c>
      <c r="T23" s="33"/>
      <c r="U23" s="33" t="s">
        <v>88</v>
      </c>
      <c r="V23" s="34" t="s">
        <v>102</v>
      </c>
      <c r="W23" s="91"/>
      <c r="X23" s="109">
        <f t="shared" si="0"/>
        <v>0</v>
      </c>
      <c r="Y23" s="245">
        <f t="shared" si="1"/>
        <v>0</v>
      </c>
      <c r="Z23" s="91">
        <f>AA23*$AA$3</f>
        <v>1.7429999999999999</v>
      </c>
      <c r="AA23" s="109">
        <f>0.7*0.83</f>
        <v>0.58099999999999996</v>
      </c>
      <c r="AB23" s="213">
        <f>Z23/S23</f>
        <v>6.2249999999999993E-2</v>
      </c>
      <c r="AC23" s="227"/>
      <c r="AD23" s="228"/>
    </row>
    <row r="24" spans="1:30" x14ac:dyDescent="0.25">
      <c r="A24" s="284"/>
      <c r="B24" s="285"/>
      <c r="C24" s="260"/>
      <c r="D24" s="257"/>
      <c r="E24" s="24" t="s">
        <v>68</v>
      </c>
      <c r="F24" s="25" t="s">
        <v>31</v>
      </c>
      <c r="G24" s="25">
        <v>30</v>
      </c>
      <c r="H24" s="25" t="s">
        <v>108</v>
      </c>
      <c r="I24" s="25" t="s">
        <v>89</v>
      </c>
      <c r="J24" s="26" t="s">
        <v>103</v>
      </c>
      <c r="K24" s="27"/>
      <c r="L24" s="28"/>
      <c r="M24" s="29"/>
      <c r="N24" s="30"/>
      <c r="O24" s="30"/>
      <c r="P24" s="31"/>
      <c r="Q24" s="32" t="s">
        <v>68</v>
      </c>
      <c r="R24" s="33" t="s">
        <v>31</v>
      </c>
      <c r="S24" s="33">
        <v>30</v>
      </c>
      <c r="T24" s="33" t="s">
        <v>108</v>
      </c>
      <c r="U24" s="33" t="s">
        <v>89</v>
      </c>
      <c r="V24" s="34" t="s">
        <v>103</v>
      </c>
      <c r="W24" s="91"/>
      <c r="X24" s="109">
        <f t="shared" si="0"/>
        <v>0</v>
      </c>
      <c r="Y24" s="245">
        <f t="shared" si="1"/>
        <v>0</v>
      </c>
      <c r="Z24" s="91">
        <f>AA24*$AA$3</f>
        <v>2.7888000000000002</v>
      </c>
      <c r="AA24" s="109">
        <f>1.12*0.83</f>
        <v>0.92960000000000009</v>
      </c>
      <c r="AB24" s="213">
        <f>Z24/S24</f>
        <v>9.2960000000000001E-2</v>
      </c>
      <c r="AC24" s="227"/>
      <c r="AD24" s="228"/>
    </row>
    <row r="25" spans="1:30" x14ac:dyDescent="0.25">
      <c r="A25" s="284"/>
      <c r="B25" s="285"/>
      <c r="C25" s="260"/>
      <c r="D25" s="257"/>
      <c r="E25" s="24" t="s">
        <v>69</v>
      </c>
      <c r="F25" s="25" t="s">
        <v>31</v>
      </c>
      <c r="G25" s="25">
        <v>30</v>
      </c>
      <c r="H25" s="25" t="s">
        <v>108</v>
      </c>
      <c r="I25" s="25" t="s">
        <v>128</v>
      </c>
      <c r="J25" s="26" t="s">
        <v>101</v>
      </c>
      <c r="K25" s="27"/>
      <c r="L25" s="28"/>
      <c r="M25" s="29"/>
      <c r="N25" s="30"/>
      <c r="O25" s="30"/>
      <c r="P25" s="31"/>
      <c r="Q25" s="35"/>
      <c r="R25" s="25"/>
      <c r="S25" s="25"/>
      <c r="T25" s="25"/>
      <c r="U25" s="25"/>
      <c r="V25" s="26"/>
      <c r="W25" s="88"/>
      <c r="X25" s="101"/>
      <c r="Y25" s="217"/>
      <c r="Z25" s="88"/>
      <c r="AA25" s="101"/>
      <c r="AB25" s="217"/>
      <c r="AC25" s="220"/>
      <c r="AD25" s="85"/>
    </row>
    <row r="26" spans="1:30" x14ac:dyDescent="0.25">
      <c r="A26" s="284"/>
      <c r="B26" s="285"/>
      <c r="C26" s="260"/>
      <c r="D26" s="257"/>
      <c r="E26" s="24" t="s">
        <v>70</v>
      </c>
      <c r="F26" s="25" t="s">
        <v>31</v>
      </c>
      <c r="G26" s="25">
        <v>30</v>
      </c>
      <c r="H26" s="25"/>
      <c r="I26" s="25" t="s">
        <v>90</v>
      </c>
      <c r="J26" s="26" t="s">
        <v>99</v>
      </c>
      <c r="K26" s="27"/>
      <c r="L26" s="28"/>
      <c r="M26" s="29"/>
      <c r="N26" s="30"/>
      <c r="O26" s="30"/>
      <c r="P26" s="31"/>
      <c r="Q26" s="35"/>
      <c r="R26" s="25"/>
      <c r="S26" s="25"/>
      <c r="T26" s="25"/>
      <c r="U26" s="25"/>
      <c r="V26" s="26"/>
      <c r="W26" s="88"/>
      <c r="X26" s="101"/>
      <c r="Y26" s="217"/>
      <c r="Z26" s="88"/>
      <c r="AA26" s="101"/>
      <c r="AB26" s="217"/>
      <c r="AC26" s="220"/>
      <c r="AD26" s="85"/>
    </row>
    <row r="27" spans="1:30" x14ac:dyDescent="0.25">
      <c r="A27" s="284"/>
      <c r="B27" s="285"/>
      <c r="C27" s="260"/>
      <c r="D27" s="257"/>
      <c r="E27" s="24" t="s">
        <v>71</v>
      </c>
      <c r="F27" s="25" t="s">
        <v>31</v>
      </c>
      <c r="G27" s="25">
        <v>100</v>
      </c>
      <c r="H27" s="25"/>
      <c r="I27" s="25" t="s">
        <v>91</v>
      </c>
      <c r="J27" s="26" t="s">
        <v>104</v>
      </c>
      <c r="K27" s="27"/>
      <c r="L27" s="28"/>
      <c r="M27" s="29"/>
      <c r="N27" s="30"/>
      <c r="O27" s="30"/>
      <c r="P27" s="31"/>
      <c r="Q27" s="32" t="s">
        <v>71</v>
      </c>
      <c r="R27" s="33" t="s">
        <v>31</v>
      </c>
      <c r="S27" s="33">
        <v>100</v>
      </c>
      <c r="T27" s="33"/>
      <c r="U27" s="33" t="s">
        <v>91</v>
      </c>
      <c r="V27" s="34" t="s">
        <v>104</v>
      </c>
      <c r="W27" s="108"/>
      <c r="X27" s="240">
        <f t="shared" si="0"/>
        <v>0</v>
      </c>
      <c r="Y27" s="244">
        <f t="shared" si="1"/>
        <v>0</v>
      </c>
      <c r="Z27" s="108"/>
      <c r="AA27" s="102" t="s">
        <v>337</v>
      </c>
      <c r="AB27" s="216"/>
      <c r="AC27" s="231"/>
      <c r="AD27" s="230"/>
    </row>
    <row r="28" spans="1:30" ht="16.5" thickBot="1" x14ac:dyDescent="0.3">
      <c r="A28" s="284"/>
      <c r="B28" s="285"/>
      <c r="C28" s="260"/>
      <c r="D28" s="258"/>
      <c r="E28" s="36" t="s">
        <v>72</v>
      </c>
      <c r="F28" s="37" t="s">
        <v>31</v>
      </c>
      <c r="G28" s="37">
        <v>30</v>
      </c>
      <c r="H28" s="37"/>
      <c r="I28" s="37" t="s">
        <v>92</v>
      </c>
      <c r="J28" s="38" t="s">
        <v>95</v>
      </c>
      <c r="K28" s="39"/>
      <c r="L28" s="40"/>
      <c r="M28" s="41"/>
      <c r="N28" s="42"/>
      <c r="O28" s="42"/>
      <c r="P28" s="43"/>
      <c r="Q28" s="44" t="s">
        <v>72</v>
      </c>
      <c r="R28" s="45" t="s">
        <v>31</v>
      </c>
      <c r="S28" s="45">
        <v>30</v>
      </c>
      <c r="T28" s="45"/>
      <c r="U28" s="45" t="s">
        <v>92</v>
      </c>
      <c r="V28" s="63" t="s">
        <v>95</v>
      </c>
      <c r="W28" s="114"/>
      <c r="X28" s="241">
        <f t="shared" si="0"/>
        <v>0</v>
      </c>
      <c r="Y28" s="246">
        <f t="shared" si="1"/>
        <v>0</v>
      </c>
      <c r="Z28" s="114"/>
      <c r="AA28" s="116" t="s">
        <v>337</v>
      </c>
      <c r="AB28" s="218"/>
      <c r="AC28" s="232"/>
      <c r="AD28" s="233"/>
    </row>
    <row r="29" spans="1:30" x14ac:dyDescent="0.25">
      <c r="A29" s="284"/>
      <c r="B29" s="285"/>
      <c r="C29" s="260"/>
      <c r="D29" s="256" t="s">
        <v>7</v>
      </c>
      <c r="E29" s="46" t="s">
        <v>51</v>
      </c>
      <c r="F29" s="47" t="s">
        <v>105</v>
      </c>
      <c r="G29" s="47">
        <v>100</v>
      </c>
      <c r="H29" s="47"/>
      <c r="I29" s="47" t="s">
        <v>74</v>
      </c>
      <c r="J29" s="48" t="s">
        <v>93</v>
      </c>
      <c r="K29" s="49"/>
      <c r="L29" s="50"/>
      <c r="M29" s="51"/>
      <c r="N29" s="52"/>
      <c r="O29" s="52"/>
      <c r="P29" s="53"/>
      <c r="Q29" s="21" t="s">
        <v>51</v>
      </c>
      <c r="R29" s="22" t="s">
        <v>105</v>
      </c>
      <c r="S29" s="22">
        <v>100</v>
      </c>
      <c r="T29" s="22"/>
      <c r="U29" s="22" t="s">
        <v>74</v>
      </c>
      <c r="V29" s="223" t="s">
        <v>93</v>
      </c>
      <c r="W29" s="90">
        <v>38.32</v>
      </c>
      <c r="X29" s="111">
        <f t="shared" si="0"/>
        <v>12.773333333333333</v>
      </c>
      <c r="Y29" s="243">
        <f t="shared" si="1"/>
        <v>0.38319999999999999</v>
      </c>
      <c r="Z29" s="90">
        <f>AA29*$AA$3</f>
        <v>18.674999999999997</v>
      </c>
      <c r="AA29" s="111">
        <f>7.5*0.83</f>
        <v>6.2249999999999996</v>
      </c>
      <c r="AB29" s="112">
        <f>Z29/S29</f>
        <v>0.18674999999999997</v>
      </c>
      <c r="AC29" s="219">
        <f>(Y29-AB29)/AB29</f>
        <v>1.0519410977242305</v>
      </c>
      <c r="AD29" s="212">
        <f>($M$45-AB29)/AB29</f>
        <v>-0.5180722891566264</v>
      </c>
    </row>
    <row r="30" spans="1:30" x14ac:dyDescent="0.25">
      <c r="A30" s="284"/>
      <c r="B30" s="285"/>
      <c r="C30" s="260"/>
      <c r="D30" s="257"/>
      <c r="E30" s="24" t="s">
        <v>52</v>
      </c>
      <c r="F30" s="25" t="s">
        <v>31</v>
      </c>
      <c r="G30" s="25">
        <v>14</v>
      </c>
      <c r="H30" s="25"/>
      <c r="I30" s="25" t="s">
        <v>75</v>
      </c>
      <c r="J30" s="26" t="s">
        <v>94</v>
      </c>
      <c r="K30" s="27"/>
      <c r="L30" s="28"/>
      <c r="M30" s="29"/>
      <c r="N30" s="30"/>
      <c r="O30" s="30"/>
      <c r="P30" s="31"/>
      <c r="Q30" s="32" t="s">
        <v>52</v>
      </c>
      <c r="R30" s="33" t="s">
        <v>31</v>
      </c>
      <c r="S30" s="33">
        <v>14</v>
      </c>
      <c r="T30" s="33"/>
      <c r="U30" s="33" t="s">
        <v>75</v>
      </c>
      <c r="V30" s="224" t="s">
        <v>94</v>
      </c>
      <c r="W30" s="108"/>
      <c r="X30" s="240">
        <f t="shared" si="0"/>
        <v>0</v>
      </c>
      <c r="Y30" s="244">
        <f t="shared" si="1"/>
        <v>0</v>
      </c>
      <c r="Z30" s="108"/>
      <c r="AA30" s="102" t="s">
        <v>337</v>
      </c>
      <c r="AB30" s="105"/>
      <c r="AC30" s="229"/>
      <c r="AD30" s="230"/>
    </row>
    <row r="31" spans="1:30" x14ac:dyDescent="0.25">
      <c r="A31" s="284"/>
      <c r="B31" s="285"/>
      <c r="C31" s="260"/>
      <c r="D31" s="257"/>
      <c r="E31" s="24" t="s">
        <v>110</v>
      </c>
      <c r="F31" s="25" t="s">
        <v>31</v>
      </c>
      <c r="G31" s="25">
        <v>30</v>
      </c>
      <c r="H31" s="25"/>
      <c r="I31" s="25" t="s">
        <v>76</v>
      </c>
      <c r="J31" s="26" t="s">
        <v>95</v>
      </c>
      <c r="K31" s="27"/>
      <c r="L31" s="28"/>
      <c r="M31" s="29"/>
      <c r="N31" s="30"/>
      <c r="O31" s="30"/>
      <c r="P31" s="31"/>
      <c r="Q31" s="32" t="s">
        <v>110</v>
      </c>
      <c r="R31" s="33" t="s">
        <v>31</v>
      </c>
      <c r="S31" s="33">
        <v>30</v>
      </c>
      <c r="T31" s="33"/>
      <c r="U31" s="33" t="s">
        <v>76</v>
      </c>
      <c r="V31" s="224" t="s">
        <v>95</v>
      </c>
      <c r="W31" s="108"/>
      <c r="X31" s="240">
        <f t="shared" si="0"/>
        <v>0</v>
      </c>
      <c r="Y31" s="244">
        <f t="shared" si="1"/>
        <v>0</v>
      </c>
      <c r="Z31" s="108"/>
      <c r="AA31" s="102" t="s">
        <v>337</v>
      </c>
      <c r="AB31" s="105"/>
      <c r="AC31" s="229"/>
      <c r="AD31" s="230"/>
    </row>
    <row r="32" spans="1:30" x14ac:dyDescent="0.25">
      <c r="A32" s="284"/>
      <c r="B32" s="285"/>
      <c r="C32" s="260"/>
      <c r="D32" s="257"/>
      <c r="E32" s="24" t="s">
        <v>54</v>
      </c>
      <c r="F32" s="25" t="s">
        <v>31</v>
      </c>
      <c r="G32" s="25">
        <v>1000</v>
      </c>
      <c r="H32" s="25"/>
      <c r="I32" s="25" t="s">
        <v>77</v>
      </c>
      <c r="J32" s="26" t="s">
        <v>96</v>
      </c>
      <c r="K32" s="27"/>
      <c r="L32" s="28"/>
      <c r="M32" s="29"/>
      <c r="N32" s="30"/>
      <c r="O32" s="30"/>
      <c r="P32" s="31"/>
      <c r="Q32" s="32" t="s">
        <v>54</v>
      </c>
      <c r="R32" s="33" t="s">
        <v>31</v>
      </c>
      <c r="S32" s="33">
        <v>1000</v>
      </c>
      <c r="T32" s="33"/>
      <c r="U32" s="33" t="s">
        <v>77</v>
      </c>
      <c r="V32" s="224" t="s">
        <v>96</v>
      </c>
      <c r="W32" s="108"/>
      <c r="X32" s="240">
        <f t="shared" si="0"/>
        <v>0</v>
      </c>
      <c r="Y32" s="244">
        <f t="shared" si="1"/>
        <v>0</v>
      </c>
      <c r="Z32" s="108"/>
      <c r="AA32" s="102" t="s">
        <v>337</v>
      </c>
      <c r="AB32" s="105"/>
      <c r="AC32" s="229"/>
      <c r="AD32" s="230"/>
    </row>
    <row r="33" spans="1:30" x14ac:dyDescent="0.25">
      <c r="A33" s="284"/>
      <c r="B33" s="285"/>
      <c r="C33" s="260"/>
      <c r="D33" s="257"/>
      <c r="E33" s="24" t="s">
        <v>54</v>
      </c>
      <c r="F33" s="25" t="s">
        <v>31</v>
      </c>
      <c r="G33" s="25">
        <v>90</v>
      </c>
      <c r="H33" s="25"/>
      <c r="I33" s="25" t="s">
        <v>77</v>
      </c>
      <c r="J33" s="26" t="s">
        <v>93</v>
      </c>
      <c r="K33" s="27"/>
      <c r="L33" s="28"/>
      <c r="M33" s="29"/>
      <c r="N33" s="30"/>
      <c r="O33" s="30"/>
      <c r="P33" s="31"/>
      <c r="Q33" s="32" t="s">
        <v>54</v>
      </c>
      <c r="R33" s="33" t="s">
        <v>31</v>
      </c>
      <c r="S33" s="33">
        <v>90</v>
      </c>
      <c r="T33" s="33"/>
      <c r="U33" s="33" t="s">
        <v>77</v>
      </c>
      <c r="V33" s="224" t="s">
        <v>93</v>
      </c>
      <c r="W33" s="108"/>
      <c r="X33" s="240">
        <f t="shared" si="0"/>
        <v>0</v>
      </c>
      <c r="Y33" s="244">
        <f t="shared" si="1"/>
        <v>0</v>
      </c>
      <c r="Z33" s="108"/>
      <c r="AA33" s="102" t="s">
        <v>337</v>
      </c>
      <c r="AB33" s="105"/>
      <c r="AC33" s="229"/>
      <c r="AD33" s="230"/>
    </row>
    <row r="34" spans="1:30" x14ac:dyDescent="0.25">
      <c r="A34" s="284"/>
      <c r="B34" s="285"/>
      <c r="C34" s="260"/>
      <c r="D34" s="257"/>
      <c r="E34" s="24" t="s">
        <v>111</v>
      </c>
      <c r="F34" s="25" t="s">
        <v>31</v>
      </c>
      <c r="G34" s="25">
        <v>30</v>
      </c>
      <c r="H34" s="25" t="s">
        <v>108</v>
      </c>
      <c r="I34" s="25" t="s">
        <v>78</v>
      </c>
      <c r="J34" s="26" t="s">
        <v>97</v>
      </c>
      <c r="K34" s="27"/>
      <c r="L34" s="28"/>
      <c r="M34" s="29"/>
      <c r="N34" s="30"/>
      <c r="O34" s="30"/>
      <c r="P34" s="31"/>
      <c r="Q34" s="35"/>
      <c r="R34" s="25"/>
      <c r="S34" s="25"/>
      <c r="T34" s="25"/>
      <c r="U34" s="25"/>
      <c r="V34" s="225"/>
      <c r="W34" s="88"/>
      <c r="X34" s="101"/>
      <c r="Y34" s="217"/>
      <c r="Z34" s="88"/>
      <c r="AA34" s="101"/>
      <c r="AB34" s="106"/>
      <c r="AC34" s="99"/>
      <c r="AD34" s="85"/>
    </row>
    <row r="35" spans="1:30" x14ac:dyDescent="0.25">
      <c r="A35" s="284"/>
      <c r="B35" s="285"/>
      <c r="C35" s="260"/>
      <c r="D35" s="257"/>
      <c r="E35" s="24" t="s">
        <v>112</v>
      </c>
      <c r="F35" s="25" t="s">
        <v>31</v>
      </c>
      <c r="G35" s="25">
        <v>20</v>
      </c>
      <c r="H35" s="25" t="s">
        <v>125</v>
      </c>
      <c r="I35" s="25" t="s">
        <v>113</v>
      </c>
      <c r="J35" s="26" t="s">
        <v>101</v>
      </c>
      <c r="K35" s="27"/>
      <c r="L35" s="28"/>
      <c r="M35" s="29"/>
      <c r="N35" s="30"/>
      <c r="O35" s="30"/>
      <c r="P35" s="31"/>
      <c r="Q35" s="35"/>
      <c r="R35" s="25"/>
      <c r="S35" s="25"/>
      <c r="T35" s="25"/>
      <c r="U35" s="25"/>
      <c r="V35" s="225"/>
      <c r="W35" s="88"/>
      <c r="X35" s="101"/>
      <c r="Y35" s="217"/>
      <c r="Z35" s="88"/>
      <c r="AA35" s="101"/>
      <c r="AB35" s="106"/>
      <c r="AC35" s="99"/>
      <c r="AD35" s="85"/>
    </row>
    <row r="36" spans="1:30" x14ac:dyDescent="0.25">
      <c r="A36" s="284"/>
      <c r="B36" s="285"/>
      <c r="C36" s="260"/>
      <c r="D36" s="257"/>
      <c r="E36" s="24" t="s">
        <v>56</v>
      </c>
      <c r="F36" s="25" t="s">
        <v>31</v>
      </c>
      <c r="G36" s="25">
        <v>100</v>
      </c>
      <c r="H36" s="25"/>
      <c r="I36" s="25" t="s">
        <v>126</v>
      </c>
      <c r="J36" s="26" t="s">
        <v>36</v>
      </c>
      <c r="K36" s="27"/>
      <c r="L36" s="28"/>
      <c r="M36" s="29"/>
      <c r="N36" s="30"/>
      <c r="O36" s="30"/>
      <c r="P36" s="31"/>
      <c r="Q36" s="32" t="s">
        <v>56</v>
      </c>
      <c r="R36" s="33" t="s">
        <v>31</v>
      </c>
      <c r="S36" s="33">
        <v>100</v>
      </c>
      <c r="T36" s="33"/>
      <c r="U36" s="33" t="s">
        <v>126</v>
      </c>
      <c r="V36" s="224" t="s">
        <v>36</v>
      </c>
      <c r="W36" s="91">
        <v>153.72</v>
      </c>
      <c r="X36" s="109">
        <f t="shared" si="0"/>
        <v>51.24</v>
      </c>
      <c r="Y36" s="245">
        <f t="shared" si="1"/>
        <v>1.5371999999999999</v>
      </c>
      <c r="Z36" s="91">
        <f>AA36*$AA$3</f>
        <v>80.153099999999995</v>
      </c>
      <c r="AA36" s="109">
        <f>32.19*0.83</f>
        <v>26.717699999999997</v>
      </c>
      <c r="AB36" s="110">
        <f>Z36/S36</f>
        <v>0.80153099999999999</v>
      </c>
      <c r="AC36" s="222">
        <f>(Y36-AB36)/AB36</f>
        <v>0.91782975330960359</v>
      </c>
      <c r="AD36" s="212">
        <f>($M$45-AB36)/AB36</f>
        <v>-0.88771488563761103</v>
      </c>
    </row>
    <row r="37" spans="1:30" x14ac:dyDescent="0.25">
      <c r="A37" s="284"/>
      <c r="B37" s="285"/>
      <c r="C37" s="260"/>
      <c r="D37" s="257"/>
      <c r="E37" s="24" t="s">
        <v>57</v>
      </c>
      <c r="F37" s="25" t="s">
        <v>31</v>
      </c>
      <c r="G37" s="25">
        <v>30</v>
      </c>
      <c r="H37" s="25"/>
      <c r="I37" s="25" t="s">
        <v>79</v>
      </c>
      <c r="J37" s="26" t="s">
        <v>98</v>
      </c>
      <c r="K37" s="27"/>
      <c r="L37" s="28"/>
      <c r="M37" s="29"/>
      <c r="N37" s="30"/>
      <c r="O37" s="30"/>
      <c r="P37" s="31"/>
      <c r="Q37" s="32" t="s">
        <v>57</v>
      </c>
      <c r="R37" s="33" t="s">
        <v>31</v>
      </c>
      <c r="S37" s="33">
        <v>30</v>
      </c>
      <c r="T37" s="33"/>
      <c r="U37" s="33" t="s">
        <v>79</v>
      </c>
      <c r="V37" s="224" t="s">
        <v>98</v>
      </c>
      <c r="W37" s="108"/>
      <c r="X37" s="240">
        <f t="shared" si="0"/>
        <v>0</v>
      </c>
      <c r="Y37" s="244">
        <f t="shared" si="1"/>
        <v>0</v>
      </c>
      <c r="Z37" s="108"/>
      <c r="AA37" s="102" t="s">
        <v>337</v>
      </c>
      <c r="AB37" s="105"/>
      <c r="AC37" s="229"/>
      <c r="AD37" s="230"/>
    </row>
    <row r="38" spans="1:30" x14ac:dyDescent="0.25">
      <c r="A38" s="284"/>
      <c r="B38" s="285"/>
      <c r="C38" s="260"/>
      <c r="D38" s="257"/>
      <c r="E38" s="24" t="s">
        <v>58</v>
      </c>
      <c r="F38" s="25" t="s">
        <v>31</v>
      </c>
      <c r="G38" s="25">
        <v>30</v>
      </c>
      <c r="H38" s="25"/>
      <c r="I38" s="25" t="s">
        <v>114</v>
      </c>
      <c r="J38" s="26" t="s">
        <v>99</v>
      </c>
      <c r="K38" s="27"/>
      <c r="L38" s="28"/>
      <c r="M38" s="29"/>
      <c r="N38" s="30"/>
      <c r="O38" s="30"/>
      <c r="P38" s="31"/>
      <c r="Q38" s="35"/>
      <c r="R38" s="25"/>
      <c r="S38" s="25"/>
      <c r="T38" s="25"/>
      <c r="U38" s="25"/>
      <c r="V38" s="225"/>
      <c r="W38" s="88"/>
      <c r="X38" s="101"/>
      <c r="Y38" s="217"/>
      <c r="Z38" s="88"/>
      <c r="AA38" s="101"/>
      <c r="AB38" s="106"/>
      <c r="AC38" s="99"/>
      <c r="AD38" s="85"/>
    </row>
    <row r="39" spans="1:30" x14ac:dyDescent="0.25">
      <c r="A39" s="284"/>
      <c r="B39" s="285"/>
      <c r="C39" s="260"/>
      <c r="D39" s="257"/>
      <c r="E39" s="24" t="s">
        <v>59</v>
      </c>
      <c r="F39" s="25" t="s">
        <v>31</v>
      </c>
      <c r="G39" s="25">
        <v>100</v>
      </c>
      <c r="H39" s="25" t="s">
        <v>109</v>
      </c>
      <c r="I39" s="25" t="s">
        <v>81</v>
      </c>
      <c r="J39" s="26" t="s">
        <v>97</v>
      </c>
      <c r="K39" s="27"/>
      <c r="L39" s="28"/>
      <c r="M39" s="29"/>
      <c r="N39" s="30"/>
      <c r="O39" s="30"/>
      <c r="P39" s="31"/>
      <c r="Q39" s="35"/>
      <c r="R39" s="25"/>
      <c r="S39" s="25"/>
      <c r="T39" s="25"/>
      <c r="U39" s="25"/>
      <c r="V39" s="225"/>
      <c r="W39" s="88"/>
      <c r="X39" s="101"/>
      <c r="Y39" s="217"/>
      <c r="Z39" s="88"/>
      <c r="AA39" s="101"/>
      <c r="AB39" s="106"/>
      <c r="AC39" s="99"/>
      <c r="AD39" s="85"/>
    </row>
    <row r="40" spans="1:30" x14ac:dyDescent="0.25">
      <c r="A40" s="284"/>
      <c r="B40" s="285"/>
      <c r="C40" s="260"/>
      <c r="D40" s="257"/>
      <c r="E40" s="24" t="s">
        <v>60</v>
      </c>
      <c r="F40" s="25" t="s">
        <v>31</v>
      </c>
      <c r="G40" s="25">
        <v>30</v>
      </c>
      <c r="H40" s="25" t="s">
        <v>108</v>
      </c>
      <c r="I40" s="25" t="s">
        <v>82</v>
      </c>
      <c r="J40" s="26" t="s">
        <v>97</v>
      </c>
      <c r="K40" s="27"/>
      <c r="L40" s="28"/>
      <c r="M40" s="29"/>
      <c r="N40" s="30"/>
      <c r="O40" s="30"/>
      <c r="P40" s="31"/>
      <c r="Q40" s="35"/>
      <c r="R40" s="25"/>
      <c r="S40" s="25"/>
      <c r="T40" s="25"/>
      <c r="U40" s="25"/>
      <c r="V40" s="225"/>
      <c r="W40" s="88"/>
      <c r="X40" s="101"/>
      <c r="Y40" s="217"/>
      <c r="Z40" s="88"/>
      <c r="AA40" s="101"/>
      <c r="AB40" s="106"/>
      <c r="AC40" s="99"/>
      <c r="AD40" s="85"/>
    </row>
    <row r="41" spans="1:30" x14ac:dyDescent="0.25">
      <c r="A41" s="284"/>
      <c r="B41" s="285"/>
      <c r="C41" s="260"/>
      <c r="D41" s="257"/>
      <c r="E41" s="24" t="s">
        <v>61</v>
      </c>
      <c r="F41" s="25" t="s">
        <v>31</v>
      </c>
      <c r="G41" s="25">
        <v>30</v>
      </c>
      <c r="H41" s="25" t="s">
        <v>108</v>
      </c>
      <c r="I41" s="25" t="s">
        <v>83</v>
      </c>
      <c r="J41" s="26" t="s">
        <v>99</v>
      </c>
      <c r="K41" s="27"/>
      <c r="L41" s="28"/>
      <c r="M41" s="29"/>
      <c r="N41" s="30"/>
      <c r="O41" s="30"/>
      <c r="P41" s="31"/>
      <c r="Q41" s="35"/>
      <c r="R41" s="25"/>
      <c r="S41" s="25"/>
      <c r="T41" s="25"/>
      <c r="U41" s="25"/>
      <c r="V41" s="225"/>
      <c r="W41" s="88"/>
      <c r="X41" s="101"/>
      <c r="Y41" s="217"/>
      <c r="Z41" s="88"/>
      <c r="AA41" s="101"/>
      <c r="AB41" s="106"/>
      <c r="AC41" s="99"/>
      <c r="AD41" s="85"/>
    </row>
    <row r="42" spans="1:30" x14ac:dyDescent="0.25">
      <c r="A42" s="284"/>
      <c r="B42" s="285"/>
      <c r="C42" s="260"/>
      <c r="D42" s="257"/>
      <c r="E42" s="24" t="s">
        <v>115</v>
      </c>
      <c r="F42" s="25" t="s">
        <v>105</v>
      </c>
      <c r="G42" s="25">
        <v>30</v>
      </c>
      <c r="H42" s="25"/>
      <c r="I42" s="25" t="s">
        <v>84</v>
      </c>
      <c r="J42" s="26" t="s">
        <v>100</v>
      </c>
      <c r="K42" s="27"/>
      <c r="L42" s="28"/>
      <c r="M42" s="29"/>
      <c r="N42" s="30"/>
      <c r="O42" s="30"/>
      <c r="P42" s="31"/>
      <c r="Q42" s="32" t="s">
        <v>115</v>
      </c>
      <c r="R42" s="33" t="s">
        <v>105</v>
      </c>
      <c r="S42" s="33">
        <v>30</v>
      </c>
      <c r="T42" s="33"/>
      <c r="U42" s="33" t="s">
        <v>84</v>
      </c>
      <c r="V42" s="224" t="s">
        <v>100</v>
      </c>
      <c r="W42" s="91"/>
      <c r="X42" s="109">
        <f t="shared" si="0"/>
        <v>0</v>
      </c>
      <c r="Y42" s="245">
        <f t="shared" si="1"/>
        <v>0</v>
      </c>
      <c r="Z42" s="91">
        <f>AA42*$AA$3</f>
        <v>6.7478999999999996</v>
      </c>
      <c r="AA42" s="109">
        <f>2.71*0.83</f>
        <v>2.2492999999999999</v>
      </c>
      <c r="AB42" s="110">
        <f>Z42/S42</f>
        <v>0.22492999999999999</v>
      </c>
      <c r="AC42" s="227"/>
      <c r="AD42" s="228"/>
    </row>
    <row r="43" spans="1:30" x14ac:dyDescent="0.25">
      <c r="A43" s="284"/>
      <c r="B43" s="285"/>
      <c r="C43" s="260"/>
      <c r="D43" s="257"/>
      <c r="E43" s="24" t="s">
        <v>63</v>
      </c>
      <c r="F43" s="25" t="s">
        <v>31</v>
      </c>
      <c r="G43" s="25">
        <v>30</v>
      </c>
      <c r="H43" s="25"/>
      <c r="I43" s="25" t="s">
        <v>40</v>
      </c>
      <c r="J43" s="26" t="s">
        <v>41</v>
      </c>
      <c r="K43" s="191">
        <v>0.09</v>
      </c>
      <c r="L43" s="192"/>
      <c r="M43" s="193"/>
      <c r="N43" s="194"/>
      <c r="O43" s="194"/>
      <c r="P43" s="195"/>
      <c r="Q43" s="32" t="s">
        <v>63</v>
      </c>
      <c r="R43" s="33" t="s">
        <v>31</v>
      </c>
      <c r="S43" s="33">
        <v>30</v>
      </c>
      <c r="T43" s="33"/>
      <c r="U43" s="33" t="s">
        <v>40</v>
      </c>
      <c r="V43" s="224" t="s">
        <v>41</v>
      </c>
      <c r="W43" s="91">
        <v>7</v>
      </c>
      <c r="X43" s="109">
        <f t="shared" si="0"/>
        <v>2.3333333333333335</v>
      </c>
      <c r="Y43" s="245">
        <f t="shared" si="1"/>
        <v>0.23333333333333334</v>
      </c>
      <c r="Z43" s="91">
        <f>AA43*$AA$3</f>
        <v>8.2917000000000005</v>
      </c>
      <c r="AA43" s="109">
        <f>3.33*0.83</f>
        <v>2.7639</v>
      </c>
      <c r="AB43" s="110">
        <f>Z43/S43</f>
        <v>0.27639000000000002</v>
      </c>
      <c r="AC43" s="222">
        <f t="shared" ref="AC43:AC45" si="3">(Y43-AB43)/AB43</f>
        <v>-0.15578228831240887</v>
      </c>
      <c r="AD43" s="212">
        <f t="shared" ref="AD43:AD45" si="4">($M$45-AB43)/AB43</f>
        <v>-0.67437316834907202</v>
      </c>
    </row>
    <row r="44" spans="1:30" x14ac:dyDescent="0.25">
      <c r="A44" s="284"/>
      <c r="B44" s="285"/>
      <c r="C44" s="260"/>
      <c r="D44" s="257"/>
      <c r="E44" s="24" t="s">
        <v>116</v>
      </c>
      <c r="F44" s="25" t="s">
        <v>31</v>
      </c>
      <c r="G44" s="25">
        <v>30</v>
      </c>
      <c r="H44" s="25" t="s">
        <v>108</v>
      </c>
      <c r="I44" s="25" t="s">
        <v>127</v>
      </c>
      <c r="J44" s="26" t="s">
        <v>117</v>
      </c>
      <c r="K44" s="27"/>
      <c r="L44" s="28"/>
      <c r="M44" s="29"/>
      <c r="N44" s="30"/>
      <c r="O44" s="30"/>
      <c r="P44" s="31"/>
      <c r="Q44" s="32" t="s">
        <v>116</v>
      </c>
      <c r="R44" s="33" t="s">
        <v>31</v>
      </c>
      <c r="S44" s="33">
        <v>30</v>
      </c>
      <c r="T44" s="33" t="s">
        <v>108</v>
      </c>
      <c r="U44" s="33" t="s">
        <v>127</v>
      </c>
      <c r="V44" s="224" t="s">
        <v>117</v>
      </c>
      <c r="W44" s="91">
        <v>26.4</v>
      </c>
      <c r="X44" s="109">
        <f t="shared" si="0"/>
        <v>8.7999999999999989</v>
      </c>
      <c r="Y44" s="245">
        <f t="shared" si="1"/>
        <v>0.88</v>
      </c>
      <c r="Z44" s="91">
        <f>AA44*$AA$3</f>
        <v>6.9719999999999995</v>
      </c>
      <c r="AA44" s="109">
        <f>2.8*0.83</f>
        <v>2.3239999999999998</v>
      </c>
      <c r="AB44" s="110">
        <f>Z44/S44</f>
        <v>0.2324</v>
      </c>
      <c r="AC44" s="222">
        <f t="shared" si="3"/>
        <v>2.78657487091222</v>
      </c>
      <c r="AD44" s="212">
        <f t="shared" si="4"/>
        <v>-0.61273666092943202</v>
      </c>
    </row>
    <row r="45" spans="1:30" x14ac:dyDescent="0.25">
      <c r="A45" s="284"/>
      <c r="B45" s="285"/>
      <c r="C45" s="260"/>
      <c r="D45" s="257"/>
      <c r="E45" s="24" t="s">
        <v>65</v>
      </c>
      <c r="F45" s="25" t="s">
        <v>31</v>
      </c>
      <c r="G45" s="25">
        <v>20</v>
      </c>
      <c r="H45" s="25"/>
      <c r="I45" s="25" t="s">
        <v>86</v>
      </c>
      <c r="J45" s="26" t="s">
        <v>101</v>
      </c>
      <c r="K45" s="191"/>
      <c r="L45" s="192"/>
      <c r="M45" s="193">
        <v>0.09</v>
      </c>
      <c r="N45" s="194"/>
      <c r="O45" s="194"/>
      <c r="P45" s="195"/>
      <c r="Q45" s="32" t="s">
        <v>65</v>
      </c>
      <c r="R45" s="33" t="s">
        <v>31</v>
      </c>
      <c r="S45" s="33">
        <v>20</v>
      </c>
      <c r="T45" s="33"/>
      <c r="U45" s="33" t="s">
        <v>86</v>
      </c>
      <c r="V45" s="224" t="s">
        <v>101</v>
      </c>
      <c r="W45" s="91">
        <v>9.24</v>
      </c>
      <c r="X45" s="109">
        <f t="shared" si="0"/>
        <v>3.08</v>
      </c>
      <c r="Y45" s="245">
        <f t="shared" si="1"/>
        <v>0.46200000000000002</v>
      </c>
      <c r="Z45" s="91"/>
      <c r="AA45" s="118" t="s">
        <v>338</v>
      </c>
      <c r="AB45" s="119"/>
      <c r="AC45" s="222" t="e">
        <f t="shared" si="3"/>
        <v>#DIV/0!</v>
      </c>
      <c r="AD45" s="212" t="e">
        <f t="shared" si="4"/>
        <v>#DIV/0!</v>
      </c>
    </row>
    <row r="46" spans="1:30" x14ac:dyDescent="0.25">
      <c r="A46" s="284"/>
      <c r="B46" s="285"/>
      <c r="C46" s="260"/>
      <c r="D46" s="257"/>
      <c r="E46" s="24" t="s">
        <v>56</v>
      </c>
      <c r="F46" s="25" t="s">
        <v>31</v>
      </c>
      <c r="G46" s="25">
        <v>30</v>
      </c>
      <c r="H46" s="25" t="s">
        <v>108</v>
      </c>
      <c r="I46" s="25" t="s">
        <v>126</v>
      </c>
      <c r="J46" s="26" t="s">
        <v>36</v>
      </c>
      <c r="K46" s="27"/>
      <c r="L46" s="28"/>
      <c r="M46" s="29"/>
      <c r="N46" s="30"/>
      <c r="O46" s="30"/>
      <c r="P46" s="31"/>
      <c r="Q46" s="32" t="s">
        <v>56</v>
      </c>
      <c r="R46" s="33" t="s">
        <v>31</v>
      </c>
      <c r="S46" s="33">
        <v>30</v>
      </c>
      <c r="T46" s="33" t="s">
        <v>108</v>
      </c>
      <c r="U46" s="33" t="s">
        <v>126</v>
      </c>
      <c r="V46" s="224" t="s">
        <v>36</v>
      </c>
      <c r="W46" s="108"/>
      <c r="X46" s="240">
        <f t="shared" si="0"/>
        <v>0</v>
      </c>
      <c r="Y46" s="244">
        <f t="shared" si="1"/>
        <v>0</v>
      </c>
      <c r="Z46" s="108"/>
      <c r="AA46" s="102" t="s">
        <v>337</v>
      </c>
      <c r="AB46" s="105"/>
      <c r="AC46" s="229"/>
      <c r="AD46" s="230"/>
    </row>
    <row r="47" spans="1:30" x14ac:dyDescent="0.25">
      <c r="A47" s="284"/>
      <c r="B47" s="285"/>
      <c r="C47" s="260"/>
      <c r="D47" s="257"/>
      <c r="E47" s="24" t="s">
        <v>118</v>
      </c>
      <c r="F47" s="25" t="s">
        <v>31</v>
      </c>
      <c r="G47" s="25">
        <v>30</v>
      </c>
      <c r="H47" s="25" t="s">
        <v>108</v>
      </c>
      <c r="I47" s="25" t="s">
        <v>119</v>
      </c>
      <c r="J47" s="26" t="s">
        <v>97</v>
      </c>
      <c r="K47" s="27"/>
      <c r="L47" s="28"/>
      <c r="M47" s="29"/>
      <c r="N47" s="30"/>
      <c r="O47" s="30"/>
      <c r="P47" s="31"/>
      <c r="Q47" s="35"/>
      <c r="R47" s="25"/>
      <c r="S47" s="25"/>
      <c r="T47" s="25"/>
      <c r="U47" s="25"/>
      <c r="V47" s="225"/>
      <c r="W47" s="88"/>
      <c r="X47" s="101"/>
      <c r="Y47" s="217"/>
      <c r="Z47" s="88"/>
      <c r="AA47" s="101"/>
      <c r="AB47" s="106"/>
      <c r="AC47" s="99"/>
      <c r="AD47" s="85"/>
    </row>
    <row r="48" spans="1:30" x14ac:dyDescent="0.25">
      <c r="A48" s="284"/>
      <c r="B48" s="285"/>
      <c r="C48" s="260"/>
      <c r="D48" s="257"/>
      <c r="E48" s="24" t="s">
        <v>66</v>
      </c>
      <c r="F48" s="25" t="s">
        <v>105</v>
      </c>
      <c r="G48" s="25">
        <v>30</v>
      </c>
      <c r="H48" s="25" t="s">
        <v>108</v>
      </c>
      <c r="I48" s="25" t="s">
        <v>87</v>
      </c>
      <c r="J48" s="26" t="s">
        <v>99</v>
      </c>
      <c r="K48" s="27"/>
      <c r="L48" s="28"/>
      <c r="M48" s="29"/>
      <c r="N48" s="30"/>
      <c r="O48" s="30"/>
      <c r="P48" s="31"/>
      <c r="Q48" s="35"/>
      <c r="R48" s="25"/>
      <c r="S48" s="25"/>
      <c r="T48" s="25"/>
      <c r="U48" s="25"/>
      <c r="V48" s="225"/>
      <c r="W48" s="88"/>
      <c r="X48" s="101"/>
      <c r="Y48" s="217"/>
      <c r="Z48" s="88"/>
      <c r="AA48" s="101"/>
      <c r="AB48" s="106"/>
      <c r="AC48" s="99"/>
      <c r="AD48" s="85"/>
    </row>
    <row r="49" spans="1:30" x14ac:dyDescent="0.25">
      <c r="A49" s="284"/>
      <c r="B49" s="285"/>
      <c r="C49" s="260"/>
      <c r="D49" s="257"/>
      <c r="E49" s="24" t="s">
        <v>67</v>
      </c>
      <c r="F49" s="25" t="s">
        <v>31</v>
      </c>
      <c r="G49" s="25">
        <v>30</v>
      </c>
      <c r="H49" s="25" t="s">
        <v>108</v>
      </c>
      <c r="I49" s="25" t="s">
        <v>120</v>
      </c>
      <c r="J49" s="26" t="s">
        <v>47</v>
      </c>
      <c r="K49" s="27"/>
      <c r="L49" s="28"/>
      <c r="M49" s="29"/>
      <c r="N49" s="30"/>
      <c r="O49" s="30"/>
      <c r="P49" s="31"/>
      <c r="Q49" s="35"/>
      <c r="R49" s="25"/>
      <c r="S49" s="25"/>
      <c r="T49" s="25"/>
      <c r="U49" s="25"/>
      <c r="V49" s="225"/>
      <c r="W49" s="88"/>
      <c r="X49" s="101"/>
      <c r="Y49" s="217"/>
      <c r="Z49" s="88"/>
      <c r="AA49" s="101"/>
      <c r="AB49" s="106"/>
      <c r="AC49" s="99"/>
      <c r="AD49" s="85"/>
    </row>
    <row r="50" spans="1:30" x14ac:dyDescent="0.25">
      <c r="A50" s="284"/>
      <c r="B50" s="285"/>
      <c r="C50" s="260"/>
      <c r="D50" s="257"/>
      <c r="E50" s="24" t="s">
        <v>67</v>
      </c>
      <c r="F50" s="25" t="s">
        <v>31</v>
      </c>
      <c r="G50" s="25">
        <v>28</v>
      </c>
      <c r="H50" s="25"/>
      <c r="I50" s="25" t="s">
        <v>88</v>
      </c>
      <c r="J50" s="26" t="s">
        <v>121</v>
      </c>
      <c r="K50" s="27"/>
      <c r="L50" s="28"/>
      <c r="M50" s="29"/>
      <c r="N50" s="30"/>
      <c r="O50" s="30"/>
      <c r="P50" s="31"/>
      <c r="Q50" s="32" t="s">
        <v>67</v>
      </c>
      <c r="R50" s="33" t="s">
        <v>31</v>
      </c>
      <c r="S50" s="33">
        <v>28</v>
      </c>
      <c r="T50" s="33"/>
      <c r="U50" s="33" t="s">
        <v>88</v>
      </c>
      <c r="V50" s="224" t="s">
        <v>121</v>
      </c>
      <c r="W50" s="108"/>
      <c r="X50" s="240">
        <f t="shared" si="0"/>
        <v>0</v>
      </c>
      <c r="Y50" s="244">
        <f t="shared" si="1"/>
        <v>0</v>
      </c>
      <c r="Z50" s="108"/>
      <c r="AA50" s="102" t="s">
        <v>337</v>
      </c>
      <c r="AB50" s="105"/>
      <c r="AC50" s="229"/>
      <c r="AD50" s="230"/>
    </row>
    <row r="51" spans="1:30" x14ac:dyDescent="0.25">
      <c r="A51" s="284"/>
      <c r="B51" s="285"/>
      <c r="C51" s="260"/>
      <c r="D51" s="257"/>
      <c r="E51" s="24" t="s">
        <v>122</v>
      </c>
      <c r="F51" s="25" t="s">
        <v>31</v>
      </c>
      <c r="G51" s="25">
        <v>30</v>
      </c>
      <c r="H51" s="25" t="s">
        <v>108</v>
      </c>
      <c r="I51" s="25" t="s">
        <v>89</v>
      </c>
      <c r="J51" s="26" t="s">
        <v>103</v>
      </c>
      <c r="K51" s="27"/>
      <c r="L51" s="28"/>
      <c r="M51" s="29"/>
      <c r="N51" s="30"/>
      <c r="O51" s="30"/>
      <c r="P51" s="31"/>
      <c r="Q51" s="32" t="s">
        <v>122</v>
      </c>
      <c r="R51" s="33" t="s">
        <v>31</v>
      </c>
      <c r="S51" s="33">
        <v>30</v>
      </c>
      <c r="T51" s="33" t="s">
        <v>108</v>
      </c>
      <c r="U51" s="33" t="s">
        <v>89</v>
      </c>
      <c r="V51" s="224" t="s">
        <v>103</v>
      </c>
      <c r="W51" s="91"/>
      <c r="X51" s="109">
        <f t="shared" si="0"/>
        <v>0</v>
      </c>
      <c r="Y51" s="245">
        <f t="shared" si="1"/>
        <v>0</v>
      </c>
      <c r="Z51" s="91">
        <f>AA51*$AA$3</f>
        <v>4.4820000000000002</v>
      </c>
      <c r="AA51" s="109">
        <f>1.8*0.83</f>
        <v>1.494</v>
      </c>
      <c r="AB51" s="110">
        <f>Z51/S51</f>
        <v>0.14940000000000001</v>
      </c>
      <c r="AC51" s="227"/>
      <c r="AD51" s="228"/>
    </row>
    <row r="52" spans="1:30" x14ac:dyDescent="0.25">
      <c r="A52" s="284"/>
      <c r="B52" s="285"/>
      <c r="C52" s="260"/>
      <c r="D52" s="257"/>
      <c r="E52" s="24" t="s">
        <v>123</v>
      </c>
      <c r="F52" s="25" t="s">
        <v>31</v>
      </c>
      <c r="G52" s="25">
        <v>30</v>
      </c>
      <c r="H52" s="25" t="s">
        <v>108</v>
      </c>
      <c r="I52" s="25" t="s">
        <v>128</v>
      </c>
      <c r="J52" s="26" t="s">
        <v>101</v>
      </c>
      <c r="K52" s="27"/>
      <c r="L52" s="28"/>
      <c r="M52" s="29"/>
      <c r="N52" s="30"/>
      <c r="O52" s="30"/>
      <c r="P52" s="31"/>
      <c r="Q52" s="35"/>
      <c r="R52" s="25"/>
      <c r="S52" s="25"/>
      <c r="T52" s="25"/>
      <c r="U52" s="25"/>
      <c r="V52" s="225"/>
      <c r="W52" s="88"/>
      <c r="X52" s="101"/>
      <c r="Y52" s="217"/>
      <c r="Z52" s="88"/>
      <c r="AA52" s="101"/>
      <c r="AB52" s="106"/>
      <c r="AC52" s="99"/>
      <c r="AD52" s="85"/>
    </row>
    <row r="53" spans="1:30" x14ac:dyDescent="0.25">
      <c r="A53" s="284"/>
      <c r="B53" s="285"/>
      <c r="C53" s="260"/>
      <c r="D53" s="257"/>
      <c r="E53" s="24" t="s">
        <v>70</v>
      </c>
      <c r="F53" s="25" t="s">
        <v>31</v>
      </c>
      <c r="G53" s="25">
        <v>30</v>
      </c>
      <c r="H53" s="25"/>
      <c r="I53" s="25" t="s">
        <v>90</v>
      </c>
      <c r="J53" s="26" t="s">
        <v>99</v>
      </c>
      <c r="K53" s="27"/>
      <c r="L53" s="28"/>
      <c r="M53" s="29"/>
      <c r="N53" s="30"/>
      <c r="O53" s="30"/>
      <c r="P53" s="31"/>
      <c r="Q53" s="35"/>
      <c r="R53" s="25"/>
      <c r="S53" s="25"/>
      <c r="T53" s="25"/>
      <c r="U53" s="25"/>
      <c r="V53" s="225"/>
      <c r="W53" s="88"/>
      <c r="X53" s="101"/>
      <c r="Y53" s="217"/>
      <c r="Z53" s="88"/>
      <c r="AA53" s="101"/>
      <c r="AB53" s="106"/>
      <c r="AC53" s="99"/>
      <c r="AD53" s="85"/>
    </row>
    <row r="54" spans="1:30" x14ac:dyDescent="0.25">
      <c r="A54" s="284"/>
      <c r="B54" s="285"/>
      <c r="C54" s="260"/>
      <c r="D54" s="257"/>
      <c r="E54" s="24" t="s">
        <v>124</v>
      </c>
      <c r="F54" s="25" t="s">
        <v>31</v>
      </c>
      <c r="G54" s="25">
        <v>100</v>
      </c>
      <c r="H54" s="25"/>
      <c r="I54" s="25" t="s">
        <v>91</v>
      </c>
      <c r="J54" s="26" t="s">
        <v>104</v>
      </c>
      <c r="K54" s="27"/>
      <c r="L54" s="28"/>
      <c r="M54" s="29"/>
      <c r="N54" s="30"/>
      <c r="O54" s="30"/>
      <c r="P54" s="31"/>
      <c r="Q54" s="32" t="s">
        <v>124</v>
      </c>
      <c r="R54" s="33" t="s">
        <v>31</v>
      </c>
      <c r="S54" s="33">
        <v>100</v>
      </c>
      <c r="T54" s="33"/>
      <c r="U54" s="33" t="s">
        <v>91</v>
      </c>
      <c r="V54" s="224" t="s">
        <v>104</v>
      </c>
      <c r="W54" s="108"/>
      <c r="X54" s="240">
        <f t="shared" si="0"/>
        <v>0</v>
      </c>
      <c r="Y54" s="244">
        <f t="shared" si="1"/>
        <v>0</v>
      </c>
      <c r="Z54" s="108"/>
      <c r="AA54" s="102" t="s">
        <v>337</v>
      </c>
      <c r="AB54" s="105"/>
      <c r="AC54" s="229"/>
      <c r="AD54" s="230"/>
    </row>
    <row r="55" spans="1:30" ht="16.5" thickBot="1" x14ac:dyDescent="0.3">
      <c r="A55" s="284"/>
      <c r="B55" s="285"/>
      <c r="C55" s="260"/>
      <c r="D55" s="258"/>
      <c r="E55" s="36" t="s">
        <v>72</v>
      </c>
      <c r="F55" s="37" t="s">
        <v>31</v>
      </c>
      <c r="G55" s="37">
        <v>30</v>
      </c>
      <c r="H55" s="37"/>
      <c r="I55" s="37" t="s">
        <v>92</v>
      </c>
      <c r="J55" s="58" t="s">
        <v>95</v>
      </c>
      <c r="K55" s="39"/>
      <c r="L55" s="40"/>
      <c r="M55" s="41"/>
      <c r="N55" s="42"/>
      <c r="O55" s="42"/>
      <c r="P55" s="43"/>
      <c r="Q55" s="44" t="s">
        <v>72</v>
      </c>
      <c r="R55" s="45" t="s">
        <v>31</v>
      </c>
      <c r="S55" s="45">
        <v>30</v>
      </c>
      <c r="T55" s="45"/>
      <c r="U55" s="45" t="s">
        <v>92</v>
      </c>
      <c r="V55" s="126" t="e">
        <f>T55/M55</f>
        <v>#DIV/0!</v>
      </c>
      <c r="W55" s="114"/>
      <c r="X55" s="241">
        <f t="shared" si="0"/>
        <v>0</v>
      </c>
      <c r="Y55" s="246">
        <f t="shared" si="1"/>
        <v>0</v>
      </c>
      <c r="Z55" s="114"/>
      <c r="AA55" s="116" t="s">
        <v>337</v>
      </c>
      <c r="AB55" s="117"/>
      <c r="AC55" s="234"/>
      <c r="AD55" s="233"/>
    </row>
    <row r="56" spans="1:30" x14ac:dyDescent="0.25">
      <c r="A56" s="284"/>
      <c r="B56" s="285"/>
      <c r="C56" s="260"/>
      <c r="D56" s="256" t="s">
        <v>8</v>
      </c>
      <c r="E56" s="46" t="s">
        <v>54</v>
      </c>
      <c r="F56" s="47" t="s">
        <v>31</v>
      </c>
      <c r="G56" s="47">
        <v>1000</v>
      </c>
      <c r="H56" s="47"/>
      <c r="I56" s="47" t="s">
        <v>77</v>
      </c>
      <c r="J56" s="48" t="s">
        <v>96</v>
      </c>
      <c r="K56" s="49"/>
      <c r="L56" s="50"/>
      <c r="M56" s="51"/>
      <c r="N56" s="52"/>
      <c r="O56" s="52"/>
      <c r="P56" s="53"/>
      <c r="Q56" s="54" t="s">
        <v>54</v>
      </c>
      <c r="R56" s="55" t="s">
        <v>31</v>
      </c>
      <c r="S56" s="55">
        <v>1000</v>
      </c>
      <c r="T56" s="55"/>
      <c r="U56" s="55" t="s">
        <v>77</v>
      </c>
      <c r="V56" s="56" t="s">
        <v>96</v>
      </c>
      <c r="W56" s="113"/>
      <c r="X56" s="242">
        <f t="shared" si="0"/>
        <v>0</v>
      </c>
      <c r="Y56" s="247">
        <f t="shared" si="1"/>
        <v>0</v>
      </c>
      <c r="Z56" s="113"/>
      <c r="AA56" s="120" t="s">
        <v>337</v>
      </c>
      <c r="AB56" s="121"/>
      <c r="AC56" s="235"/>
      <c r="AD56" s="236"/>
    </row>
    <row r="57" spans="1:30" x14ac:dyDescent="0.25">
      <c r="A57" s="284"/>
      <c r="B57" s="285"/>
      <c r="C57" s="260"/>
      <c r="D57" s="257"/>
      <c r="E57" s="24" t="s">
        <v>54</v>
      </c>
      <c r="F57" s="25" t="s">
        <v>31</v>
      </c>
      <c r="G57" s="25">
        <v>90</v>
      </c>
      <c r="H57" s="25"/>
      <c r="I57" s="25" t="s">
        <v>77</v>
      </c>
      <c r="J57" s="26" t="s">
        <v>93</v>
      </c>
      <c r="K57" s="27"/>
      <c r="L57" s="28"/>
      <c r="M57" s="29"/>
      <c r="N57" s="30"/>
      <c r="O57" s="30"/>
      <c r="P57" s="31"/>
      <c r="Q57" s="57" t="s">
        <v>54</v>
      </c>
      <c r="R57" s="33" t="s">
        <v>31</v>
      </c>
      <c r="S57" s="33">
        <v>90</v>
      </c>
      <c r="T57" s="33"/>
      <c r="U57" s="33" t="s">
        <v>77</v>
      </c>
      <c r="V57" s="34" t="s">
        <v>93</v>
      </c>
      <c r="W57" s="108"/>
      <c r="X57" s="240">
        <f t="shared" si="0"/>
        <v>0</v>
      </c>
      <c r="Y57" s="244">
        <f t="shared" si="1"/>
        <v>0</v>
      </c>
      <c r="Z57" s="108"/>
      <c r="AA57" s="102" t="s">
        <v>337</v>
      </c>
      <c r="AB57" s="105"/>
      <c r="AC57" s="229"/>
      <c r="AD57" s="230"/>
    </row>
    <row r="58" spans="1:30" x14ac:dyDescent="0.25">
      <c r="A58" s="284"/>
      <c r="B58" s="285"/>
      <c r="C58" s="260"/>
      <c r="D58" s="257"/>
      <c r="E58" s="24" t="s">
        <v>129</v>
      </c>
      <c r="F58" s="25" t="s">
        <v>31</v>
      </c>
      <c r="G58" s="25">
        <v>30</v>
      </c>
      <c r="H58" s="25" t="s">
        <v>108</v>
      </c>
      <c r="I58" s="25" t="s">
        <v>78</v>
      </c>
      <c r="J58" s="26" t="s">
        <v>97</v>
      </c>
      <c r="K58" s="27"/>
      <c r="L58" s="28"/>
      <c r="M58" s="29"/>
      <c r="N58" s="30"/>
      <c r="O58" s="30"/>
      <c r="P58" s="31"/>
      <c r="Q58" s="59"/>
      <c r="R58" s="60"/>
      <c r="S58" s="60"/>
      <c r="T58" s="60"/>
      <c r="U58" s="60"/>
      <c r="V58" s="61"/>
      <c r="W58" s="88"/>
      <c r="X58" s="101"/>
      <c r="Y58" s="217"/>
      <c r="Z58" s="88"/>
      <c r="AA58" s="101"/>
      <c r="AB58" s="106"/>
      <c r="AC58" s="99"/>
      <c r="AD58" s="85"/>
    </row>
    <row r="59" spans="1:30" x14ac:dyDescent="0.25">
      <c r="A59" s="284"/>
      <c r="B59" s="285"/>
      <c r="C59" s="260"/>
      <c r="D59" s="257"/>
      <c r="E59" s="24" t="s">
        <v>57</v>
      </c>
      <c r="F59" s="25" t="s">
        <v>31</v>
      </c>
      <c r="G59" s="25">
        <v>30</v>
      </c>
      <c r="H59" s="25"/>
      <c r="I59" s="25" t="s">
        <v>79</v>
      </c>
      <c r="J59" s="26" t="s">
        <v>98</v>
      </c>
      <c r="K59" s="27"/>
      <c r="L59" s="28"/>
      <c r="M59" s="29"/>
      <c r="N59" s="30"/>
      <c r="O59" s="30"/>
      <c r="P59" s="31"/>
      <c r="Q59" s="57" t="s">
        <v>57</v>
      </c>
      <c r="R59" s="33" t="s">
        <v>31</v>
      </c>
      <c r="S59" s="33">
        <v>30</v>
      </c>
      <c r="T59" s="33"/>
      <c r="U59" s="33" t="s">
        <v>79</v>
      </c>
      <c r="V59" s="34" t="s">
        <v>98</v>
      </c>
      <c r="W59" s="108"/>
      <c r="X59" s="240">
        <f t="shared" si="0"/>
        <v>0</v>
      </c>
      <c r="Y59" s="244">
        <f t="shared" si="1"/>
        <v>0</v>
      </c>
      <c r="Z59" s="108"/>
      <c r="AA59" s="102" t="s">
        <v>337</v>
      </c>
      <c r="AB59" s="105"/>
      <c r="AC59" s="229"/>
      <c r="AD59" s="230"/>
    </row>
    <row r="60" spans="1:30" x14ac:dyDescent="0.25">
      <c r="A60" s="284"/>
      <c r="B60" s="285"/>
      <c r="C60" s="260"/>
      <c r="D60" s="257"/>
      <c r="E60" s="24" t="s">
        <v>58</v>
      </c>
      <c r="F60" s="25" t="s">
        <v>31</v>
      </c>
      <c r="G60" s="25">
        <v>30</v>
      </c>
      <c r="H60" s="25"/>
      <c r="I60" s="25" t="s">
        <v>114</v>
      </c>
      <c r="J60" s="26" t="s">
        <v>99</v>
      </c>
      <c r="K60" s="27"/>
      <c r="L60" s="28"/>
      <c r="M60" s="29"/>
      <c r="N60" s="30"/>
      <c r="O60" s="30"/>
      <c r="P60" s="31"/>
      <c r="Q60" s="24"/>
      <c r="R60" s="25"/>
      <c r="S60" s="25"/>
      <c r="T60" s="25"/>
      <c r="U60" s="25"/>
      <c r="V60" s="26"/>
      <c r="W60" s="88"/>
      <c r="X60" s="101"/>
      <c r="Y60" s="217"/>
      <c r="Z60" s="88"/>
      <c r="AA60" s="101"/>
      <c r="AB60" s="106"/>
      <c r="AC60" s="99"/>
      <c r="AD60" s="85"/>
    </row>
    <row r="61" spans="1:30" x14ac:dyDescent="0.25">
      <c r="A61" s="284"/>
      <c r="B61" s="285"/>
      <c r="C61" s="260"/>
      <c r="D61" s="257"/>
      <c r="E61" s="24" t="s">
        <v>59</v>
      </c>
      <c r="F61" s="25" t="s">
        <v>31</v>
      </c>
      <c r="G61" s="25">
        <v>100</v>
      </c>
      <c r="H61" s="25" t="s">
        <v>109</v>
      </c>
      <c r="I61" s="25" t="s">
        <v>81</v>
      </c>
      <c r="J61" s="26" t="s">
        <v>97</v>
      </c>
      <c r="K61" s="27"/>
      <c r="L61" s="28"/>
      <c r="M61" s="29"/>
      <c r="N61" s="30"/>
      <c r="O61" s="30"/>
      <c r="P61" s="31"/>
      <c r="Q61" s="24"/>
      <c r="R61" s="25"/>
      <c r="S61" s="25"/>
      <c r="T61" s="25"/>
      <c r="U61" s="25"/>
      <c r="V61" s="26"/>
      <c r="W61" s="88"/>
      <c r="X61" s="101"/>
      <c r="Y61" s="217"/>
      <c r="Z61" s="88"/>
      <c r="AA61" s="101"/>
      <c r="AB61" s="106"/>
      <c r="AC61" s="99"/>
      <c r="AD61" s="85"/>
    </row>
    <row r="62" spans="1:30" x14ac:dyDescent="0.25">
      <c r="A62" s="284"/>
      <c r="B62" s="285"/>
      <c r="C62" s="260"/>
      <c r="D62" s="257"/>
      <c r="E62" s="24" t="s">
        <v>130</v>
      </c>
      <c r="F62" s="25" t="s">
        <v>105</v>
      </c>
      <c r="G62" s="25">
        <v>30</v>
      </c>
      <c r="H62" s="25"/>
      <c r="I62" s="25" t="s">
        <v>84</v>
      </c>
      <c r="J62" s="26" t="s">
        <v>100</v>
      </c>
      <c r="K62" s="27"/>
      <c r="L62" s="28"/>
      <c r="M62" s="29"/>
      <c r="N62" s="30"/>
      <c r="O62" s="30"/>
      <c r="P62" s="31"/>
      <c r="Q62" s="57" t="s">
        <v>130</v>
      </c>
      <c r="R62" s="33" t="s">
        <v>105</v>
      </c>
      <c r="S62" s="33">
        <v>30</v>
      </c>
      <c r="T62" s="33"/>
      <c r="U62" s="33" t="s">
        <v>84</v>
      </c>
      <c r="V62" s="34" t="s">
        <v>100</v>
      </c>
      <c r="W62" s="91">
        <v>42.4</v>
      </c>
      <c r="X62" s="109">
        <f t="shared" si="0"/>
        <v>14.133333333333333</v>
      </c>
      <c r="Y62" s="245">
        <f t="shared" si="1"/>
        <v>1.4133333333333333</v>
      </c>
      <c r="Z62" s="91">
        <f>AA62*$AA$3</f>
        <v>13.321499999999997</v>
      </c>
      <c r="AA62" s="109">
        <f>5.35*0.83</f>
        <v>4.4404999999999992</v>
      </c>
      <c r="AB62" s="110">
        <f>Z62/S62</f>
        <v>0.44404999999999989</v>
      </c>
      <c r="AC62" s="227"/>
      <c r="AD62" s="228"/>
    </row>
    <row r="63" spans="1:30" x14ac:dyDescent="0.25">
      <c r="A63" s="284"/>
      <c r="B63" s="285"/>
      <c r="C63" s="260"/>
      <c r="D63" s="257"/>
      <c r="E63" s="24" t="s">
        <v>116</v>
      </c>
      <c r="F63" s="25" t="s">
        <v>31</v>
      </c>
      <c r="G63" s="25">
        <v>30</v>
      </c>
      <c r="H63" s="25" t="s">
        <v>108</v>
      </c>
      <c r="I63" s="25" t="s">
        <v>127</v>
      </c>
      <c r="J63" s="26" t="s">
        <v>117</v>
      </c>
      <c r="K63" s="27"/>
      <c r="L63" s="28"/>
      <c r="M63" s="29"/>
      <c r="N63" s="30"/>
      <c r="O63" s="30"/>
      <c r="P63" s="31"/>
      <c r="Q63" s="57" t="s">
        <v>116</v>
      </c>
      <c r="R63" s="33" t="s">
        <v>31</v>
      </c>
      <c r="S63" s="33">
        <v>30</v>
      </c>
      <c r="T63" s="33" t="s">
        <v>108</v>
      </c>
      <c r="U63" s="33" t="s">
        <v>127</v>
      </c>
      <c r="V63" s="34" t="s">
        <v>117</v>
      </c>
      <c r="W63" s="108"/>
      <c r="X63" s="240">
        <f t="shared" si="0"/>
        <v>0</v>
      </c>
      <c r="Y63" s="244">
        <f t="shared" si="1"/>
        <v>0</v>
      </c>
      <c r="Z63" s="108"/>
      <c r="AA63" s="102" t="s">
        <v>337</v>
      </c>
      <c r="AB63" s="105"/>
      <c r="AC63" s="229"/>
      <c r="AD63" s="230"/>
    </row>
    <row r="64" spans="1:30" x14ac:dyDescent="0.25">
      <c r="A64" s="284"/>
      <c r="B64" s="285"/>
      <c r="C64" s="260"/>
      <c r="D64" s="257"/>
      <c r="E64" s="24" t="s">
        <v>65</v>
      </c>
      <c r="F64" s="25" t="s">
        <v>31</v>
      </c>
      <c r="G64" s="25">
        <v>20</v>
      </c>
      <c r="H64" s="25"/>
      <c r="I64" s="25" t="s">
        <v>86</v>
      </c>
      <c r="J64" s="26" t="s">
        <v>101</v>
      </c>
      <c r="K64" s="27"/>
      <c r="L64" s="28"/>
      <c r="M64" s="29"/>
      <c r="N64" s="30"/>
      <c r="O64" s="30"/>
      <c r="P64" s="31"/>
      <c r="Q64" s="24"/>
      <c r="R64" s="25"/>
      <c r="S64" s="25"/>
      <c r="T64" s="25"/>
      <c r="U64" s="25"/>
      <c r="V64" s="26"/>
      <c r="W64" s="88"/>
      <c r="X64" s="101"/>
      <c r="Y64" s="217"/>
      <c r="Z64" s="88"/>
      <c r="AA64" s="101"/>
      <c r="AB64" s="106"/>
      <c r="AC64" s="99"/>
      <c r="AD64" s="85"/>
    </row>
    <row r="65" spans="1:30" x14ac:dyDescent="0.25">
      <c r="A65" s="284"/>
      <c r="B65" s="285"/>
      <c r="C65" s="260"/>
      <c r="D65" s="257"/>
      <c r="E65" s="24" t="s">
        <v>61</v>
      </c>
      <c r="F65" s="25" t="s">
        <v>31</v>
      </c>
      <c r="G65" s="25">
        <v>30</v>
      </c>
      <c r="H65" s="25" t="s">
        <v>108</v>
      </c>
      <c r="I65" s="25" t="s">
        <v>131</v>
      </c>
      <c r="J65" s="26" t="s">
        <v>99</v>
      </c>
      <c r="K65" s="27"/>
      <c r="L65" s="28"/>
      <c r="M65" s="29"/>
      <c r="N65" s="30"/>
      <c r="O65" s="30"/>
      <c r="P65" s="31"/>
      <c r="Q65" s="24"/>
      <c r="R65" s="25"/>
      <c r="S65" s="25"/>
      <c r="T65" s="25"/>
      <c r="U65" s="25"/>
      <c r="V65" s="26"/>
      <c r="W65" s="88"/>
      <c r="X65" s="101"/>
      <c r="Y65" s="217"/>
      <c r="Z65" s="88"/>
      <c r="AA65" s="101"/>
      <c r="AB65" s="106"/>
      <c r="AC65" s="99"/>
      <c r="AD65" s="85"/>
    </row>
    <row r="66" spans="1:30" x14ac:dyDescent="0.25">
      <c r="A66" s="284"/>
      <c r="B66" s="285"/>
      <c r="C66" s="260"/>
      <c r="D66" s="257"/>
      <c r="E66" s="24" t="s">
        <v>56</v>
      </c>
      <c r="F66" s="25" t="s">
        <v>31</v>
      </c>
      <c r="G66" s="25">
        <v>30</v>
      </c>
      <c r="H66" s="25" t="s">
        <v>108</v>
      </c>
      <c r="I66" s="25" t="s">
        <v>136</v>
      </c>
      <c r="J66" s="26" t="s">
        <v>36</v>
      </c>
      <c r="K66" s="27"/>
      <c r="L66" s="28"/>
      <c r="M66" s="29"/>
      <c r="N66" s="30"/>
      <c r="O66" s="30"/>
      <c r="P66" s="31"/>
      <c r="Q66" s="57" t="s">
        <v>56</v>
      </c>
      <c r="R66" s="33" t="s">
        <v>31</v>
      </c>
      <c r="S66" s="33">
        <v>30</v>
      </c>
      <c r="T66" s="33" t="s">
        <v>108</v>
      </c>
      <c r="U66" s="33" t="s">
        <v>136</v>
      </c>
      <c r="V66" s="34" t="s">
        <v>36</v>
      </c>
      <c r="W66" s="91">
        <v>95.76</v>
      </c>
      <c r="X66" s="109">
        <f t="shared" si="0"/>
        <v>31.92</v>
      </c>
      <c r="Y66" s="245">
        <f t="shared" si="1"/>
        <v>3.1920000000000002</v>
      </c>
      <c r="Z66" s="91">
        <f>AA66*$AA$3</f>
        <v>85.257599999999996</v>
      </c>
      <c r="AA66" s="109">
        <f>34.24*0.83</f>
        <v>28.4192</v>
      </c>
      <c r="AB66" s="110">
        <f t="shared" ref="AB66:AB67" si="5">Z66/S66</f>
        <v>2.84192</v>
      </c>
      <c r="AC66" s="222">
        <f t="shared" ref="AC66:AC67" si="6">(Y66-AB66)/AB66</f>
        <v>0.12318432608940441</v>
      </c>
      <c r="AD66" s="212">
        <f>($O$67-AB66)/AB66</f>
        <v>-0.91766129940322039</v>
      </c>
    </row>
    <row r="67" spans="1:30" x14ac:dyDescent="0.25">
      <c r="A67" s="284"/>
      <c r="B67" s="285"/>
      <c r="C67" s="260"/>
      <c r="D67" s="257"/>
      <c r="E67" s="24" t="s">
        <v>63</v>
      </c>
      <c r="F67" s="25" t="s">
        <v>31</v>
      </c>
      <c r="G67" s="25">
        <v>30</v>
      </c>
      <c r="H67" s="25" t="s">
        <v>108</v>
      </c>
      <c r="I67" s="25" t="s">
        <v>132</v>
      </c>
      <c r="J67" s="26" t="s">
        <v>41</v>
      </c>
      <c r="K67" s="191"/>
      <c r="L67" s="192"/>
      <c r="M67" s="193"/>
      <c r="N67" s="194"/>
      <c r="O67" s="194">
        <v>0.23400000000000001</v>
      </c>
      <c r="P67" s="195"/>
      <c r="Q67" s="57" t="s">
        <v>63</v>
      </c>
      <c r="R67" s="33" t="s">
        <v>31</v>
      </c>
      <c r="S67" s="33">
        <v>30</v>
      </c>
      <c r="T67" s="33" t="s">
        <v>108</v>
      </c>
      <c r="U67" s="33" t="s">
        <v>132</v>
      </c>
      <c r="V67" s="34" t="s">
        <v>41</v>
      </c>
      <c r="W67" s="91">
        <v>23.04</v>
      </c>
      <c r="X67" s="109">
        <f t="shared" si="0"/>
        <v>7.68</v>
      </c>
      <c r="Y67" s="245">
        <f t="shared" si="1"/>
        <v>0.76800000000000002</v>
      </c>
      <c r="Z67" s="91">
        <f>AA67*$AA$3</f>
        <v>13.047599999999999</v>
      </c>
      <c r="AA67" s="109">
        <f>5.24*0.83</f>
        <v>4.3491999999999997</v>
      </c>
      <c r="AB67" s="110">
        <f t="shared" si="5"/>
        <v>0.43491999999999997</v>
      </c>
      <c r="AC67" s="222">
        <f t="shared" si="6"/>
        <v>0.76584199392991825</v>
      </c>
      <c r="AD67" s="212">
        <f t="shared" ref="AD67" si="7">($O$67-AB67)/AB67</f>
        <v>-0.46197001747447802</v>
      </c>
    </row>
    <row r="68" spans="1:30" x14ac:dyDescent="0.25">
      <c r="A68" s="284"/>
      <c r="B68" s="285"/>
      <c r="C68" s="260"/>
      <c r="D68" s="257"/>
      <c r="E68" s="24" t="s">
        <v>66</v>
      </c>
      <c r="F68" s="25" t="s">
        <v>105</v>
      </c>
      <c r="G68" s="25">
        <v>30</v>
      </c>
      <c r="H68" s="25" t="s">
        <v>108</v>
      </c>
      <c r="I68" s="25" t="s">
        <v>87</v>
      </c>
      <c r="J68" s="26" t="s">
        <v>99</v>
      </c>
      <c r="K68" s="27"/>
      <c r="L68" s="28"/>
      <c r="M68" s="29"/>
      <c r="N68" s="30"/>
      <c r="O68" s="30"/>
      <c r="P68" s="31"/>
      <c r="Q68" s="24"/>
      <c r="R68" s="25"/>
      <c r="S68" s="25"/>
      <c r="T68" s="25"/>
      <c r="U68" s="25"/>
      <c r="V68" s="26"/>
      <c r="W68" s="88"/>
      <c r="X68" s="101"/>
      <c r="Y68" s="217"/>
      <c r="Z68" s="88"/>
      <c r="AA68" s="101"/>
      <c r="AB68" s="106"/>
      <c r="AC68" s="99"/>
      <c r="AD68" s="85"/>
    </row>
    <row r="69" spans="1:30" x14ac:dyDescent="0.25">
      <c r="A69" s="284"/>
      <c r="B69" s="285"/>
      <c r="C69" s="260"/>
      <c r="D69" s="257"/>
      <c r="E69" s="24" t="s">
        <v>133</v>
      </c>
      <c r="F69" s="25" t="s">
        <v>31</v>
      </c>
      <c r="G69" s="25">
        <v>30</v>
      </c>
      <c r="H69" s="25" t="s">
        <v>108</v>
      </c>
      <c r="I69" s="25" t="s">
        <v>128</v>
      </c>
      <c r="J69" s="26" t="s">
        <v>101</v>
      </c>
      <c r="K69" s="27"/>
      <c r="L69" s="28"/>
      <c r="M69" s="29"/>
      <c r="N69" s="30"/>
      <c r="O69" s="30"/>
      <c r="P69" s="31"/>
      <c r="Q69" s="24"/>
      <c r="R69" s="25"/>
      <c r="S69" s="25"/>
      <c r="T69" s="25"/>
      <c r="U69" s="25"/>
      <c r="V69" s="26"/>
      <c r="W69" s="88"/>
      <c r="X69" s="101"/>
      <c r="Y69" s="217"/>
      <c r="Z69" s="88"/>
      <c r="AA69" s="101"/>
      <c r="AB69" s="106"/>
      <c r="AC69" s="99"/>
      <c r="AD69" s="85"/>
    </row>
    <row r="70" spans="1:30" x14ac:dyDescent="0.25">
      <c r="A70" s="284"/>
      <c r="B70" s="285"/>
      <c r="C70" s="260"/>
      <c r="D70" s="257"/>
      <c r="E70" s="24" t="s">
        <v>70</v>
      </c>
      <c r="F70" s="25" t="s">
        <v>31</v>
      </c>
      <c r="G70" s="25">
        <v>30</v>
      </c>
      <c r="H70" s="25"/>
      <c r="I70" s="25" t="s">
        <v>90</v>
      </c>
      <c r="J70" s="26" t="s">
        <v>99</v>
      </c>
      <c r="K70" s="27"/>
      <c r="L70" s="28"/>
      <c r="M70" s="29"/>
      <c r="N70" s="30"/>
      <c r="O70" s="30"/>
      <c r="P70" s="31"/>
      <c r="Q70" s="24"/>
      <c r="R70" s="25"/>
      <c r="S70" s="25"/>
      <c r="T70" s="25"/>
      <c r="U70" s="25"/>
      <c r="V70" s="26"/>
      <c r="W70" s="88"/>
      <c r="X70" s="101"/>
      <c r="Y70" s="217"/>
      <c r="Z70" s="88"/>
      <c r="AA70" s="101"/>
      <c r="AB70" s="106"/>
      <c r="AC70" s="99"/>
      <c r="AD70" s="85"/>
    </row>
    <row r="71" spans="1:30" x14ac:dyDescent="0.25">
      <c r="A71" s="284"/>
      <c r="B71" s="285"/>
      <c r="C71" s="260"/>
      <c r="D71" s="257"/>
      <c r="E71" s="24" t="s">
        <v>134</v>
      </c>
      <c r="F71" s="25" t="s">
        <v>31</v>
      </c>
      <c r="G71" s="25">
        <v>30</v>
      </c>
      <c r="H71" s="25" t="s">
        <v>135</v>
      </c>
      <c r="I71" s="25" t="s">
        <v>89</v>
      </c>
      <c r="J71" s="26" t="s">
        <v>103</v>
      </c>
      <c r="K71" s="27"/>
      <c r="L71" s="28"/>
      <c r="M71" s="29"/>
      <c r="N71" s="30"/>
      <c r="O71" s="30"/>
      <c r="P71" s="31"/>
      <c r="Q71" s="57" t="s">
        <v>134</v>
      </c>
      <c r="R71" s="33" t="s">
        <v>31</v>
      </c>
      <c r="S71" s="33">
        <v>30</v>
      </c>
      <c r="T71" s="33" t="s">
        <v>135</v>
      </c>
      <c r="U71" s="33" t="s">
        <v>89</v>
      </c>
      <c r="V71" s="34" t="s">
        <v>103</v>
      </c>
      <c r="W71" s="108"/>
      <c r="X71" s="240">
        <f t="shared" ref="X71:X133" si="8">W71/$AA$3</f>
        <v>0</v>
      </c>
      <c r="Y71" s="244">
        <f t="shared" ref="Y71:Y133" si="9">W71/S71</f>
        <v>0</v>
      </c>
      <c r="Z71" s="108"/>
      <c r="AA71" s="102" t="s">
        <v>337</v>
      </c>
      <c r="AB71" s="105"/>
      <c r="AC71" s="229"/>
      <c r="AD71" s="230"/>
    </row>
    <row r="72" spans="1:30" ht="16.5" thickBot="1" x14ac:dyDescent="0.3">
      <c r="A72" s="284"/>
      <c r="B72" s="285"/>
      <c r="C72" s="261"/>
      <c r="D72" s="258"/>
      <c r="E72" s="36" t="s">
        <v>72</v>
      </c>
      <c r="F72" s="37" t="s">
        <v>31</v>
      </c>
      <c r="G72" s="37">
        <v>30</v>
      </c>
      <c r="H72" s="37"/>
      <c r="I72" s="37" t="s">
        <v>92</v>
      </c>
      <c r="J72" s="58" t="s">
        <v>95</v>
      </c>
      <c r="K72" s="39"/>
      <c r="L72" s="40"/>
      <c r="M72" s="41"/>
      <c r="N72" s="42"/>
      <c r="O72" s="42"/>
      <c r="P72" s="43"/>
      <c r="Q72" s="62" t="s">
        <v>72</v>
      </c>
      <c r="R72" s="45" t="s">
        <v>31</v>
      </c>
      <c r="S72" s="45">
        <v>30</v>
      </c>
      <c r="T72" s="45"/>
      <c r="U72" s="45" t="s">
        <v>92</v>
      </c>
      <c r="V72" s="63" t="s">
        <v>95</v>
      </c>
      <c r="W72" s="114"/>
      <c r="X72" s="241">
        <f t="shared" si="8"/>
        <v>0</v>
      </c>
      <c r="Y72" s="246">
        <f t="shared" si="9"/>
        <v>0</v>
      </c>
      <c r="Z72" s="114"/>
      <c r="AA72" s="116" t="s">
        <v>337</v>
      </c>
      <c r="AB72" s="117"/>
      <c r="AC72" s="234"/>
      <c r="AD72" s="233"/>
    </row>
    <row r="73" spans="1:30" x14ac:dyDescent="0.25">
      <c r="A73" s="284"/>
      <c r="B73" s="285"/>
      <c r="C73" s="259" t="s">
        <v>13</v>
      </c>
      <c r="D73" s="262" t="s">
        <v>14</v>
      </c>
      <c r="E73" s="13" t="s">
        <v>137</v>
      </c>
      <c r="F73" s="14" t="s">
        <v>105</v>
      </c>
      <c r="G73" s="14">
        <v>100</v>
      </c>
      <c r="H73" s="14"/>
      <c r="I73" s="14" t="s">
        <v>77</v>
      </c>
      <c r="J73" s="15" t="s">
        <v>93</v>
      </c>
      <c r="K73" s="16"/>
      <c r="L73" s="17"/>
      <c r="M73" s="18"/>
      <c r="N73" s="19"/>
      <c r="O73" s="19"/>
      <c r="P73" s="20"/>
      <c r="Q73" s="64" t="s">
        <v>137</v>
      </c>
      <c r="R73" s="22" t="s">
        <v>105</v>
      </c>
      <c r="S73" s="22">
        <v>100</v>
      </c>
      <c r="T73" s="22"/>
      <c r="U73" s="22" t="s">
        <v>77</v>
      </c>
      <c r="V73" s="23" t="s">
        <v>93</v>
      </c>
      <c r="W73" s="90">
        <v>20</v>
      </c>
      <c r="X73" s="111">
        <f t="shared" si="8"/>
        <v>6.666666666666667</v>
      </c>
      <c r="Y73" s="243">
        <f t="shared" si="9"/>
        <v>0.2</v>
      </c>
      <c r="Z73" s="90">
        <f>AA73*$AA$3</f>
        <v>11.205</v>
      </c>
      <c r="AA73" s="111">
        <f>4.5*0.83</f>
        <v>3.7349999999999999</v>
      </c>
      <c r="AB73" s="112">
        <f t="shared" ref="AB73:AB74" si="10">Z73/S73</f>
        <v>0.11205</v>
      </c>
      <c r="AC73" s="219">
        <f>(Y73-AB73)/AB73</f>
        <v>0.78491744756805015</v>
      </c>
      <c r="AD73" s="212">
        <f>($M$82-AB73)/AB73</f>
        <v>-0.46452476572958501</v>
      </c>
    </row>
    <row r="74" spans="1:30" x14ac:dyDescent="0.25">
      <c r="A74" s="284"/>
      <c r="B74" s="285"/>
      <c r="C74" s="260"/>
      <c r="D74" s="257"/>
      <c r="E74" s="24" t="s">
        <v>138</v>
      </c>
      <c r="F74" s="25" t="s">
        <v>105</v>
      </c>
      <c r="G74" s="25">
        <v>100</v>
      </c>
      <c r="H74" s="25"/>
      <c r="I74" s="25" t="s">
        <v>139</v>
      </c>
      <c r="J74" s="26" t="s">
        <v>100</v>
      </c>
      <c r="K74" s="27"/>
      <c r="L74" s="28"/>
      <c r="M74" s="29"/>
      <c r="N74" s="30"/>
      <c r="O74" s="30"/>
      <c r="P74" s="31"/>
      <c r="Q74" s="57" t="s">
        <v>138</v>
      </c>
      <c r="R74" s="33" t="s">
        <v>105</v>
      </c>
      <c r="S74" s="33">
        <v>100</v>
      </c>
      <c r="T74" s="33"/>
      <c r="U74" s="33" t="s">
        <v>139</v>
      </c>
      <c r="V74" s="34" t="s">
        <v>100</v>
      </c>
      <c r="W74" s="91"/>
      <c r="X74" s="109">
        <f t="shared" si="8"/>
        <v>0</v>
      </c>
      <c r="Y74" s="245">
        <f t="shared" si="9"/>
        <v>0</v>
      </c>
      <c r="Z74" s="91">
        <f>AA74*$AA$3</f>
        <v>5.1542999999999992</v>
      </c>
      <c r="AA74" s="109">
        <f>2.07*0.83</f>
        <v>1.7180999999999997</v>
      </c>
      <c r="AB74" s="110">
        <f t="shared" si="10"/>
        <v>5.1542999999999992E-2</v>
      </c>
      <c r="AC74" s="227"/>
      <c r="AD74" s="228"/>
    </row>
    <row r="75" spans="1:30" x14ac:dyDescent="0.25">
      <c r="A75" s="284"/>
      <c r="B75" s="285"/>
      <c r="C75" s="260"/>
      <c r="D75" s="257"/>
      <c r="E75" s="24" t="s">
        <v>140</v>
      </c>
      <c r="F75" s="25" t="s">
        <v>31</v>
      </c>
      <c r="G75" s="25">
        <v>30</v>
      </c>
      <c r="H75" s="25"/>
      <c r="I75" s="25" t="s">
        <v>76</v>
      </c>
      <c r="J75" s="26" t="s">
        <v>95</v>
      </c>
      <c r="K75" s="27"/>
      <c r="L75" s="28"/>
      <c r="M75" s="29"/>
      <c r="N75" s="30"/>
      <c r="O75" s="30"/>
      <c r="P75" s="31"/>
      <c r="Q75" s="57" t="s">
        <v>140</v>
      </c>
      <c r="R75" s="33" t="s">
        <v>31</v>
      </c>
      <c r="S75" s="33">
        <v>30</v>
      </c>
      <c r="T75" s="33"/>
      <c r="U75" s="33" t="s">
        <v>76</v>
      </c>
      <c r="V75" s="34" t="s">
        <v>95</v>
      </c>
      <c r="W75" s="108">
        <v>8.6999999999999993</v>
      </c>
      <c r="X75" s="240">
        <f t="shared" si="8"/>
        <v>2.9</v>
      </c>
      <c r="Y75" s="244">
        <f t="shared" si="9"/>
        <v>0.28999999999999998</v>
      </c>
      <c r="Z75" s="108"/>
      <c r="AA75" s="102" t="s">
        <v>337</v>
      </c>
      <c r="AB75" s="122"/>
      <c r="AC75" s="229"/>
      <c r="AD75" s="230"/>
    </row>
    <row r="76" spans="1:30" x14ac:dyDescent="0.25">
      <c r="A76" s="284"/>
      <c r="B76" s="285"/>
      <c r="C76" s="260"/>
      <c r="D76" s="257"/>
      <c r="E76" s="24" t="s">
        <v>141</v>
      </c>
      <c r="F76" s="25" t="s">
        <v>31</v>
      </c>
      <c r="G76" s="25">
        <v>30</v>
      </c>
      <c r="H76" s="25"/>
      <c r="I76" s="25" t="s">
        <v>142</v>
      </c>
      <c r="J76" s="26" t="s">
        <v>36</v>
      </c>
      <c r="K76" s="27"/>
      <c r="L76" s="28"/>
      <c r="M76" s="29"/>
      <c r="N76" s="30"/>
      <c r="O76" s="30"/>
      <c r="P76" s="31"/>
      <c r="Q76" s="57" t="s">
        <v>141</v>
      </c>
      <c r="R76" s="33" t="s">
        <v>31</v>
      </c>
      <c r="S76" s="33">
        <v>30</v>
      </c>
      <c r="T76" s="33" t="s">
        <v>177</v>
      </c>
      <c r="U76" s="33" t="s">
        <v>142</v>
      </c>
      <c r="V76" s="34" t="s">
        <v>36</v>
      </c>
      <c r="W76" s="91">
        <v>8.8000000000000007</v>
      </c>
      <c r="X76" s="109">
        <f t="shared" si="8"/>
        <v>2.9333333333333336</v>
      </c>
      <c r="Y76" s="245">
        <f t="shared" si="9"/>
        <v>0.29333333333333333</v>
      </c>
      <c r="Z76" s="91">
        <f>AA76*$AA$3</f>
        <v>9.213000000000001</v>
      </c>
      <c r="AA76" s="109">
        <f>3.7*0.83</f>
        <v>3.0710000000000002</v>
      </c>
      <c r="AB76" s="110">
        <f t="shared" ref="AB76:AB77" si="11">Z76/S76</f>
        <v>0.30710000000000004</v>
      </c>
      <c r="AC76" s="222">
        <f t="shared" ref="AC76:AC77" si="12">(Y76-AB76)/AB76</f>
        <v>-4.4827960490611211E-2</v>
      </c>
      <c r="AD76" s="212">
        <f t="shared" ref="AD76:AD77" si="13">($M$82-AB76)/AB76</f>
        <v>-0.80462390100944325</v>
      </c>
    </row>
    <row r="77" spans="1:30" x14ac:dyDescent="0.25">
      <c r="A77" s="284"/>
      <c r="B77" s="285"/>
      <c r="C77" s="260"/>
      <c r="D77" s="257"/>
      <c r="E77" s="24" t="s">
        <v>143</v>
      </c>
      <c r="F77" s="25" t="s">
        <v>31</v>
      </c>
      <c r="G77" s="25">
        <v>30</v>
      </c>
      <c r="H77" s="25"/>
      <c r="I77" s="25" t="s">
        <v>144</v>
      </c>
      <c r="J77" s="26" t="s">
        <v>145</v>
      </c>
      <c r="K77" s="27"/>
      <c r="L77" s="28"/>
      <c r="M77" s="29"/>
      <c r="N77" s="30"/>
      <c r="O77" s="30"/>
      <c r="P77" s="31"/>
      <c r="Q77" s="57" t="s">
        <v>143</v>
      </c>
      <c r="R77" s="33" t="s">
        <v>31</v>
      </c>
      <c r="S77" s="33">
        <v>30</v>
      </c>
      <c r="T77" s="33"/>
      <c r="U77" s="33" t="s">
        <v>144</v>
      </c>
      <c r="V77" s="34" t="s">
        <v>145</v>
      </c>
      <c r="W77" s="91">
        <v>7.2</v>
      </c>
      <c r="X77" s="109">
        <f t="shared" si="8"/>
        <v>2.4</v>
      </c>
      <c r="Y77" s="245">
        <f t="shared" si="9"/>
        <v>0.24000000000000002</v>
      </c>
      <c r="Z77" s="91">
        <f>AA77*$AA$3</f>
        <v>2.1911999999999998</v>
      </c>
      <c r="AA77" s="109">
        <f>0.88*0.83</f>
        <v>0.73039999999999994</v>
      </c>
      <c r="AB77" s="110">
        <f t="shared" si="11"/>
        <v>7.3039999999999994E-2</v>
      </c>
      <c r="AC77" s="222">
        <f t="shared" si="12"/>
        <v>2.2858707557502744</v>
      </c>
      <c r="AD77" s="212">
        <f t="shared" si="13"/>
        <v>-0.1785323110624315</v>
      </c>
    </row>
    <row r="78" spans="1:30" x14ac:dyDescent="0.25">
      <c r="A78" s="284"/>
      <c r="B78" s="285"/>
      <c r="C78" s="260"/>
      <c r="D78" s="257"/>
      <c r="E78" s="24" t="s">
        <v>146</v>
      </c>
      <c r="F78" s="25" t="s">
        <v>31</v>
      </c>
      <c r="G78" s="25">
        <v>30</v>
      </c>
      <c r="H78" s="25"/>
      <c r="I78" s="25" t="s">
        <v>147</v>
      </c>
      <c r="J78" s="26" t="s">
        <v>148</v>
      </c>
      <c r="K78" s="27"/>
      <c r="L78" s="28"/>
      <c r="M78" s="29"/>
      <c r="N78" s="30"/>
      <c r="O78" s="30"/>
      <c r="P78" s="31"/>
      <c r="Q78" s="24"/>
      <c r="R78" s="25"/>
      <c r="S78" s="25"/>
      <c r="T78" s="25"/>
      <c r="U78" s="25"/>
      <c r="V78" s="26"/>
      <c r="W78" s="88"/>
      <c r="X78" s="101"/>
      <c r="Y78" s="217"/>
      <c r="Z78" s="88"/>
      <c r="AA78" s="101"/>
      <c r="AB78" s="106"/>
      <c r="AC78" s="99"/>
      <c r="AD78" s="85"/>
    </row>
    <row r="79" spans="1:30" x14ac:dyDescent="0.25">
      <c r="A79" s="284"/>
      <c r="B79" s="285"/>
      <c r="C79" s="260"/>
      <c r="D79" s="257"/>
      <c r="E79" s="24" t="s">
        <v>149</v>
      </c>
      <c r="F79" s="25" t="s">
        <v>31</v>
      </c>
      <c r="G79" s="25">
        <v>30</v>
      </c>
      <c r="H79" s="25" t="s">
        <v>108</v>
      </c>
      <c r="I79" s="25" t="s">
        <v>150</v>
      </c>
      <c r="J79" s="26" t="s">
        <v>99</v>
      </c>
      <c r="K79" s="27"/>
      <c r="L79" s="28"/>
      <c r="M79" s="29"/>
      <c r="N79" s="30"/>
      <c r="O79" s="30"/>
      <c r="P79" s="31"/>
      <c r="Q79" s="24"/>
      <c r="R79" s="25"/>
      <c r="S79" s="25"/>
      <c r="T79" s="25"/>
      <c r="U79" s="25"/>
      <c r="V79" s="26"/>
      <c r="W79" s="88"/>
      <c r="X79" s="101"/>
      <c r="Y79" s="217"/>
      <c r="Z79" s="88"/>
      <c r="AA79" s="101"/>
      <c r="AB79" s="106"/>
      <c r="AC79" s="99"/>
      <c r="AD79" s="85"/>
    </row>
    <row r="80" spans="1:30" x14ac:dyDescent="0.25">
      <c r="A80" s="284"/>
      <c r="B80" s="285"/>
      <c r="C80" s="260"/>
      <c r="D80" s="257"/>
      <c r="E80" s="24" t="s">
        <v>151</v>
      </c>
      <c r="F80" s="25" t="s">
        <v>31</v>
      </c>
      <c r="G80" s="25">
        <v>10</v>
      </c>
      <c r="H80" s="25"/>
      <c r="I80" s="25" t="s">
        <v>86</v>
      </c>
      <c r="J80" s="26" t="s">
        <v>101</v>
      </c>
      <c r="K80" s="27"/>
      <c r="L80" s="28"/>
      <c r="M80" s="29"/>
      <c r="N80" s="30"/>
      <c r="O80" s="30"/>
      <c r="P80" s="31"/>
      <c r="Q80" s="24"/>
      <c r="R80" s="25"/>
      <c r="S80" s="25"/>
      <c r="T80" s="25"/>
      <c r="U80" s="25"/>
      <c r="V80" s="26"/>
      <c r="W80" s="88"/>
      <c r="X80" s="101"/>
      <c r="Y80" s="217"/>
      <c r="Z80" s="88"/>
      <c r="AA80" s="101"/>
      <c r="AB80" s="106"/>
      <c r="AC80" s="99"/>
      <c r="AD80" s="85"/>
    </row>
    <row r="81" spans="1:30" x14ac:dyDescent="0.25">
      <c r="A81" s="284"/>
      <c r="B81" s="285"/>
      <c r="C81" s="260"/>
      <c r="D81" s="257"/>
      <c r="E81" s="24" t="s">
        <v>152</v>
      </c>
      <c r="F81" s="25" t="s">
        <v>31</v>
      </c>
      <c r="G81" s="25">
        <v>30</v>
      </c>
      <c r="H81" s="25" t="s">
        <v>108</v>
      </c>
      <c r="I81" s="25" t="s">
        <v>82</v>
      </c>
      <c r="J81" s="26" t="s">
        <v>97</v>
      </c>
      <c r="K81" s="27"/>
      <c r="L81" s="28"/>
      <c r="M81" s="29"/>
      <c r="N81" s="30"/>
      <c r="O81" s="30"/>
      <c r="P81" s="31"/>
      <c r="Q81" s="24"/>
      <c r="R81" s="25"/>
      <c r="S81" s="25"/>
      <c r="T81" s="25"/>
      <c r="U81" s="25"/>
      <c r="V81" s="26"/>
      <c r="W81" s="88"/>
      <c r="X81" s="101"/>
      <c r="Y81" s="217"/>
      <c r="Z81" s="88"/>
      <c r="AA81" s="101"/>
      <c r="AB81" s="106"/>
      <c r="AC81" s="99"/>
      <c r="AD81" s="85"/>
    </row>
    <row r="82" spans="1:30" x14ac:dyDescent="0.25">
      <c r="A82" s="284"/>
      <c r="B82" s="285"/>
      <c r="C82" s="260"/>
      <c r="D82" s="257"/>
      <c r="E82" s="24" t="s">
        <v>153</v>
      </c>
      <c r="F82" s="25" t="s">
        <v>105</v>
      </c>
      <c r="G82" s="25">
        <v>30</v>
      </c>
      <c r="H82" s="25" t="s">
        <v>108</v>
      </c>
      <c r="I82" s="25" t="s">
        <v>86</v>
      </c>
      <c r="J82" s="26" t="s">
        <v>101</v>
      </c>
      <c r="K82" s="191"/>
      <c r="L82" s="192"/>
      <c r="M82" s="193">
        <v>0.06</v>
      </c>
      <c r="N82" s="194"/>
      <c r="O82" s="194"/>
      <c r="P82" s="195"/>
      <c r="Q82" s="57" t="s">
        <v>153</v>
      </c>
      <c r="R82" s="33" t="s">
        <v>105</v>
      </c>
      <c r="S82" s="33">
        <v>30</v>
      </c>
      <c r="T82" s="33" t="s">
        <v>108</v>
      </c>
      <c r="U82" s="33" t="s">
        <v>86</v>
      </c>
      <c r="V82" s="34" t="s">
        <v>101</v>
      </c>
      <c r="W82" s="91">
        <v>9</v>
      </c>
      <c r="X82" s="109">
        <f t="shared" si="8"/>
        <v>3</v>
      </c>
      <c r="Y82" s="245">
        <f t="shared" si="9"/>
        <v>0.3</v>
      </c>
      <c r="Z82" s="91"/>
      <c r="AA82" s="118" t="s">
        <v>338</v>
      </c>
      <c r="AB82" s="125"/>
      <c r="AC82" s="222" t="e">
        <f t="shared" ref="AC82" si="14">(Y82-AB82)/AB82</f>
        <v>#DIV/0!</v>
      </c>
      <c r="AD82" s="212" t="e">
        <f>($M$82-AB82)/AB82</f>
        <v>#DIV/0!</v>
      </c>
    </row>
    <row r="83" spans="1:30" x14ac:dyDescent="0.25">
      <c r="A83" s="284"/>
      <c r="B83" s="285"/>
      <c r="C83" s="260"/>
      <c r="D83" s="257"/>
      <c r="E83" s="24" t="s">
        <v>13</v>
      </c>
      <c r="F83" s="25" t="s">
        <v>31</v>
      </c>
      <c r="G83" s="25">
        <v>100</v>
      </c>
      <c r="H83" s="25"/>
      <c r="I83" s="25" t="s">
        <v>154</v>
      </c>
      <c r="J83" s="26" t="s">
        <v>95</v>
      </c>
      <c r="K83" s="27"/>
      <c r="L83" s="28"/>
      <c r="M83" s="29"/>
      <c r="N83" s="30"/>
      <c r="O83" s="30"/>
      <c r="P83" s="31"/>
      <c r="Q83" s="57" t="s">
        <v>13</v>
      </c>
      <c r="R83" s="33" t="s">
        <v>31</v>
      </c>
      <c r="S83" s="33">
        <v>100</v>
      </c>
      <c r="T83" s="33"/>
      <c r="U83" s="33" t="s">
        <v>154</v>
      </c>
      <c r="V83" s="34" t="s">
        <v>95</v>
      </c>
      <c r="W83" s="108"/>
      <c r="X83" s="240">
        <f t="shared" si="8"/>
        <v>0</v>
      </c>
      <c r="Y83" s="244">
        <f t="shared" si="9"/>
        <v>0</v>
      </c>
      <c r="Z83" s="108"/>
      <c r="AA83" s="102" t="s">
        <v>337</v>
      </c>
      <c r="AB83" s="122"/>
      <c r="AC83" s="229"/>
      <c r="AD83" s="230"/>
    </row>
    <row r="84" spans="1:30" x14ac:dyDescent="0.25">
      <c r="A84" s="284"/>
      <c r="B84" s="285"/>
      <c r="C84" s="260"/>
      <c r="D84" s="257"/>
      <c r="E84" s="24" t="s">
        <v>155</v>
      </c>
      <c r="F84" s="25" t="s">
        <v>31</v>
      </c>
      <c r="G84" s="25">
        <v>30</v>
      </c>
      <c r="H84" s="25" t="s">
        <v>108</v>
      </c>
      <c r="I84" s="25" t="s">
        <v>156</v>
      </c>
      <c r="J84" s="26" t="s">
        <v>99</v>
      </c>
      <c r="K84" s="27"/>
      <c r="L84" s="28"/>
      <c r="M84" s="29"/>
      <c r="N84" s="30"/>
      <c r="O84" s="30"/>
      <c r="P84" s="31"/>
      <c r="Q84" s="24"/>
      <c r="R84" s="25"/>
      <c r="S84" s="25"/>
      <c r="T84" s="25"/>
      <c r="U84" s="25"/>
      <c r="V84" s="26"/>
      <c r="W84" s="88"/>
      <c r="X84" s="101"/>
      <c r="Y84" s="217"/>
      <c r="Z84" s="88"/>
      <c r="AA84" s="101"/>
      <c r="AB84" s="106"/>
      <c r="AC84" s="99"/>
      <c r="AD84" s="85"/>
    </row>
    <row r="85" spans="1:30" x14ac:dyDescent="0.25">
      <c r="A85" s="284"/>
      <c r="B85" s="285"/>
      <c r="C85" s="260"/>
      <c r="D85" s="257"/>
      <c r="E85" s="24" t="s">
        <v>140</v>
      </c>
      <c r="F85" s="25" t="s">
        <v>31</v>
      </c>
      <c r="G85" s="25">
        <v>30</v>
      </c>
      <c r="H85" s="25"/>
      <c r="I85" s="25" t="s">
        <v>157</v>
      </c>
      <c r="J85" s="26" t="s">
        <v>95</v>
      </c>
      <c r="K85" s="27"/>
      <c r="L85" s="28"/>
      <c r="M85" s="29"/>
      <c r="N85" s="30"/>
      <c r="O85" s="30"/>
      <c r="P85" s="31"/>
      <c r="Q85" s="57" t="s">
        <v>140</v>
      </c>
      <c r="R85" s="33" t="s">
        <v>31</v>
      </c>
      <c r="S85" s="33">
        <v>30</v>
      </c>
      <c r="T85" s="33"/>
      <c r="U85" s="33" t="s">
        <v>157</v>
      </c>
      <c r="V85" s="34" t="s">
        <v>95</v>
      </c>
      <c r="W85" s="91"/>
      <c r="X85" s="109">
        <f t="shared" si="8"/>
        <v>0</v>
      </c>
      <c r="Y85" s="245">
        <f t="shared" si="9"/>
        <v>0</v>
      </c>
      <c r="Z85" s="91">
        <f>AA85*$AA$3</f>
        <v>2.9879999999999995</v>
      </c>
      <c r="AA85" s="109">
        <f>1.2*0.83</f>
        <v>0.99599999999999989</v>
      </c>
      <c r="AB85" s="110">
        <f t="shared" ref="AB85:AB87" si="15">Z85/S85</f>
        <v>9.959999999999998E-2</v>
      </c>
      <c r="AC85" s="222">
        <f t="shared" ref="AC85:AC87" si="16">(Y85-AB85)/AB85</f>
        <v>-1</v>
      </c>
      <c r="AD85" s="212">
        <f t="shared" ref="AD85:AD87" si="17">($M$82-AB85)/AB85</f>
        <v>-0.39759036144578302</v>
      </c>
    </row>
    <row r="86" spans="1:30" x14ac:dyDescent="0.25">
      <c r="A86" s="284"/>
      <c r="B86" s="285"/>
      <c r="C86" s="260"/>
      <c r="D86" s="257"/>
      <c r="E86" s="24" t="s">
        <v>158</v>
      </c>
      <c r="F86" s="25" t="s">
        <v>31</v>
      </c>
      <c r="G86" s="25">
        <v>30</v>
      </c>
      <c r="H86" s="25" t="s">
        <v>108</v>
      </c>
      <c r="I86" s="25" t="s">
        <v>159</v>
      </c>
      <c r="J86" s="26" t="s">
        <v>160</v>
      </c>
      <c r="K86" s="27"/>
      <c r="L86" s="28"/>
      <c r="M86" s="29"/>
      <c r="N86" s="30"/>
      <c r="O86" s="30"/>
      <c r="P86" s="31"/>
      <c r="Q86" s="57" t="s">
        <v>158</v>
      </c>
      <c r="R86" s="33" t="s">
        <v>31</v>
      </c>
      <c r="S86" s="33">
        <v>30</v>
      </c>
      <c r="T86" s="33" t="s">
        <v>108</v>
      </c>
      <c r="U86" s="33" t="s">
        <v>159</v>
      </c>
      <c r="V86" s="34" t="s">
        <v>160</v>
      </c>
      <c r="W86" s="91">
        <v>8.64</v>
      </c>
      <c r="X86" s="109">
        <f t="shared" si="8"/>
        <v>2.8800000000000003</v>
      </c>
      <c r="Y86" s="245">
        <f t="shared" si="9"/>
        <v>0.28800000000000003</v>
      </c>
      <c r="Z86" s="91">
        <f>AA86*$AA$3</f>
        <v>5.2289999999999992</v>
      </c>
      <c r="AA86" s="109">
        <f>2.1*0.83</f>
        <v>1.7429999999999999</v>
      </c>
      <c r="AB86" s="110">
        <f t="shared" si="15"/>
        <v>0.17429999999999998</v>
      </c>
      <c r="AC86" s="222">
        <f t="shared" si="16"/>
        <v>0.65232358003442381</v>
      </c>
      <c r="AD86" s="212">
        <f t="shared" si="17"/>
        <v>-0.65576592082616181</v>
      </c>
    </row>
    <row r="87" spans="1:30" x14ac:dyDescent="0.25">
      <c r="A87" s="284"/>
      <c r="B87" s="285"/>
      <c r="C87" s="260"/>
      <c r="D87" s="257"/>
      <c r="E87" s="24" t="s">
        <v>161</v>
      </c>
      <c r="F87" s="25" t="s">
        <v>31</v>
      </c>
      <c r="G87" s="25">
        <v>30</v>
      </c>
      <c r="H87" s="25" t="s">
        <v>108</v>
      </c>
      <c r="I87" s="25" t="s">
        <v>162</v>
      </c>
      <c r="J87" s="26" t="s">
        <v>163</v>
      </c>
      <c r="K87" s="27"/>
      <c r="L87" s="28"/>
      <c r="M87" s="29"/>
      <c r="N87" s="30"/>
      <c r="O87" s="30"/>
      <c r="P87" s="31"/>
      <c r="Q87" s="57" t="s">
        <v>161</v>
      </c>
      <c r="R87" s="33" t="s">
        <v>31</v>
      </c>
      <c r="S87" s="33">
        <v>30</v>
      </c>
      <c r="T87" s="33" t="s">
        <v>108</v>
      </c>
      <c r="U87" s="33" t="s">
        <v>162</v>
      </c>
      <c r="V87" s="34" t="s">
        <v>163</v>
      </c>
      <c r="W87" s="91">
        <v>8.1</v>
      </c>
      <c r="X87" s="109">
        <f t="shared" si="8"/>
        <v>2.6999999999999997</v>
      </c>
      <c r="Y87" s="245">
        <f t="shared" si="9"/>
        <v>0.26999999999999996</v>
      </c>
      <c r="Z87" s="91">
        <f>AA87*$AA$3</f>
        <v>4.4820000000000002</v>
      </c>
      <c r="AA87" s="109">
        <f>1.8*0.83</f>
        <v>1.494</v>
      </c>
      <c r="AB87" s="110">
        <f t="shared" si="15"/>
        <v>0.14940000000000001</v>
      </c>
      <c r="AC87" s="222">
        <f t="shared" si="16"/>
        <v>0.80722891566265031</v>
      </c>
      <c r="AD87" s="212">
        <f t="shared" si="17"/>
        <v>-0.59839357429718876</v>
      </c>
    </row>
    <row r="88" spans="1:30" x14ac:dyDescent="0.25">
      <c r="A88" s="284"/>
      <c r="B88" s="285"/>
      <c r="C88" s="260"/>
      <c r="D88" s="257"/>
      <c r="E88" s="24" t="s">
        <v>164</v>
      </c>
      <c r="F88" s="25" t="s">
        <v>105</v>
      </c>
      <c r="G88" s="25">
        <v>20</v>
      </c>
      <c r="H88" s="25" t="s">
        <v>125</v>
      </c>
      <c r="I88" s="25" t="s">
        <v>165</v>
      </c>
      <c r="J88" s="26" t="s">
        <v>166</v>
      </c>
      <c r="K88" s="27"/>
      <c r="L88" s="28"/>
      <c r="M88" s="29"/>
      <c r="N88" s="30"/>
      <c r="O88" s="30"/>
      <c r="P88" s="31"/>
      <c r="Q88" s="24"/>
      <c r="R88" s="25"/>
      <c r="S88" s="25"/>
      <c r="T88" s="25"/>
      <c r="U88" s="25"/>
      <c r="V88" s="26"/>
      <c r="W88" s="88"/>
      <c r="X88" s="101"/>
      <c r="Y88" s="217"/>
      <c r="Z88" s="88"/>
      <c r="AA88" s="101"/>
      <c r="AB88" s="106"/>
      <c r="AC88" s="99"/>
      <c r="AD88" s="85"/>
    </row>
    <row r="89" spans="1:30" x14ac:dyDescent="0.25">
      <c r="A89" s="284"/>
      <c r="B89" s="285"/>
      <c r="C89" s="260"/>
      <c r="D89" s="257"/>
      <c r="E89" s="24" t="s">
        <v>167</v>
      </c>
      <c r="F89" s="25" t="s">
        <v>31</v>
      </c>
      <c r="G89" s="25">
        <v>30</v>
      </c>
      <c r="H89" s="25"/>
      <c r="I89" s="25" t="s">
        <v>168</v>
      </c>
      <c r="J89" s="26" t="s">
        <v>41</v>
      </c>
      <c r="K89" s="27"/>
      <c r="L89" s="28"/>
      <c r="M89" s="29"/>
      <c r="N89" s="30"/>
      <c r="O89" s="30"/>
      <c r="P89" s="31"/>
      <c r="Q89" s="57" t="s">
        <v>167</v>
      </c>
      <c r="R89" s="33" t="s">
        <v>31</v>
      </c>
      <c r="S89" s="33">
        <v>30</v>
      </c>
      <c r="T89" s="33"/>
      <c r="U89" s="33" t="s">
        <v>168</v>
      </c>
      <c r="V89" s="34" t="s">
        <v>41</v>
      </c>
      <c r="W89" s="108"/>
      <c r="X89" s="240">
        <f t="shared" si="8"/>
        <v>0</v>
      </c>
      <c r="Y89" s="244">
        <f t="shared" si="9"/>
        <v>0</v>
      </c>
      <c r="Z89" s="108"/>
      <c r="AA89" s="102" t="s">
        <v>337</v>
      </c>
      <c r="AB89" s="122"/>
      <c r="AC89" s="229"/>
      <c r="AD89" s="230"/>
    </row>
    <row r="90" spans="1:30" x14ac:dyDescent="0.25">
      <c r="A90" s="284"/>
      <c r="B90" s="285"/>
      <c r="C90" s="260"/>
      <c r="D90" s="257"/>
      <c r="E90" s="24" t="s">
        <v>169</v>
      </c>
      <c r="F90" s="25" t="s">
        <v>31</v>
      </c>
      <c r="G90" s="25">
        <v>30</v>
      </c>
      <c r="H90" s="25" t="s">
        <v>108</v>
      </c>
      <c r="I90" s="25" t="s">
        <v>170</v>
      </c>
      <c r="J90" s="26" t="s">
        <v>47</v>
      </c>
      <c r="K90" s="27"/>
      <c r="L90" s="28"/>
      <c r="M90" s="29"/>
      <c r="N90" s="30"/>
      <c r="O90" s="30"/>
      <c r="P90" s="31"/>
      <c r="Q90" s="24"/>
      <c r="R90" s="25"/>
      <c r="S90" s="25"/>
      <c r="T90" s="25"/>
      <c r="U90" s="25"/>
      <c r="V90" s="26"/>
      <c r="W90" s="88"/>
      <c r="X90" s="101"/>
      <c r="Y90" s="217"/>
      <c r="Z90" s="88"/>
      <c r="AA90" s="101"/>
      <c r="AB90" s="106"/>
      <c r="AC90" s="99"/>
      <c r="AD90" s="85"/>
    </row>
    <row r="91" spans="1:30" x14ac:dyDescent="0.25">
      <c r="A91" s="284"/>
      <c r="B91" s="285"/>
      <c r="C91" s="260"/>
      <c r="D91" s="257"/>
      <c r="E91" s="24" t="s">
        <v>171</v>
      </c>
      <c r="F91" s="25" t="s">
        <v>105</v>
      </c>
      <c r="G91" s="25">
        <v>14</v>
      </c>
      <c r="H91" s="25"/>
      <c r="I91" s="25" t="s">
        <v>179</v>
      </c>
      <c r="J91" s="26" t="s">
        <v>172</v>
      </c>
      <c r="K91" s="27"/>
      <c r="L91" s="28"/>
      <c r="M91" s="29"/>
      <c r="N91" s="30"/>
      <c r="O91" s="30"/>
      <c r="P91" s="31"/>
      <c r="Q91" s="24"/>
      <c r="R91" s="25"/>
      <c r="S91" s="25"/>
      <c r="T91" s="25"/>
      <c r="U91" s="25"/>
      <c r="V91" s="26"/>
      <c r="W91" s="88"/>
      <c r="X91" s="101"/>
      <c r="Y91" s="217"/>
      <c r="Z91" s="88"/>
      <c r="AA91" s="101"/>
      <c r="AB91" s="106"/>
      <c r="AC91" s="99"/>
      <c r="AD91" s="85"/>
    </row>
    <row r="92" spans="1:30" x14ac:dyDescent="0.25">
      <c r="A92" s="284"/>
      <c r="B92" s="285"/>
      <c r="C92" s="260"/>
      <c r="D92" s="257"/>
      <c r="E92" s="24" t="s">
        <v>171</v>
      </c>
      <c r="F92" s="25" t="s">
        <v>105</v>
      </c>
      <c r="G92" s="25">
        <v>28</v>
      </c>
      <c r="H92" s="25"/>
      <c r="I92" s="25" t="s">
        <v>179</v>
      </c>
      <c r="J92" s="26" t="s">
        <v>172</v>
      </c>
      <c r="K92" s="27"/>
      <c r="L92" s="28"/>
      <c r="M92" s="29"/>
      <c r="N92" s="30"/>
      <c r="O92" s="30"/>
      <c r="P92" s="31"/>
      <c r="Q92" s="24"/>
      <c r="R92" s="25"/>
      <c r="S92" s="25"/>
      <c r="T92" s="25"/>
      <c r="U92" s="25"/>
      <c r="V92" s="26"/>
      <c r="W92" s="88"/>
      <c r="X92" s="101"/>
      <c r="Y92" s="217"/>
      <c r="Z92" s="88"/>
      <c r="AA92" s="101"/>
      <c r="AB92" s="106"/>
      <c r="AC92" s="99"/>
      <c r="AD92" s="85"/>
    </row>
    <row r="93" spans="1:30" x14ac:dyDescent="0.25">
      <c r="A93" s="284"/>
      <c r="B93" s="285"/>
      <c r="C93" s="260"/>
      <c r="D93" s="257"/>
      <c r="E93" s="24" t="s">
        <v>171</v>
      </c>
      <c r="F93" s="25" t="s">
        <v>105</v>
      </c>
      <c r="G93" s="25">
        <v>56</v>
      </c>
      <c r="H93" s="25"/>
      <c r="I93" s="25" t="s">
        <v>179</v>
      </c>
      <c r="J93" s="26" t="s">
        <v>172</v>
      </c>
      <c r="K93" s="27"/>
      <c r="L93" s="28"/>
      <c r="M93" s="29"/>
      <c r="N93" s="30"/>
      <c r="O93" s="30"/>
      <c r="P93" s="31"/>
      <c r="Q93" s="24"/>
      <c r="R93" s="25"/>
      <c r="S93" s="25"/>
      <c r="T93" s="25"/>
      <c r="U93" s="25"/>
      <c r="V93" s="26"/>
      <c r="W93" s="88"/>
      <c r="X93" s="101"/>
      <c r="Y93" s="217"/>
      <c r="Z93" s="88"/>
      <c r="AA93" s="101"/>
      <c r="AB93" s="106"/>
      <c r="AC93" s="99"/>
      <c r="AD93" s="85"/>
    </row>
    <row r="94" spans="1:30" x14ac:dyDescent="0.25">
      <c r="A94" s="284"/>
      <c r="B94" s="285"/>
      <c r="C94" s="260"/>
      <c r="D94" s="257"/>
      <c r="E94" s="24" t="s">
        <v>173</v>
      </c>
      <c r="F94" s="25" t="s">
        <v>31</v>
      </c>
      <c r="G94" s="25">
        <v>30</v>
      </c>
      <c r="H94" s="25" t="s">
        <v>108</v>
      </c>
      <c r="I94" s="25" t="s">
        <v>180</v>
      </c>
      <c r="J94" s="26" t="s">
        <v>101</v>
      </c>
      <c r="K94" s="27"/>
      <c r="L94" s="28"/>
      <c r="M94" s="29"/>
      <c r="N94" s="30"/>
      <c r="O94" s="30"/>
      <c r="P94" s="31"/>
      <c r="Q94" s="24"/>
      <c r="R94" s="25"/>
      <c r="S94" s="25"/>
      <c r="T94" s="25"/>
      <c r="U94" s="25"/>
      <c r="V94" s="26"/>
      <c r="W94" s="88"/>
      <c r="X94" s="101"/>
      <c r="Y94" s="217"/>
      <c r="Z94" s="88"/>
      <c r="AA94" s="101"/>
      <c r="AB94" s="106"/>
      <c r="AC94" s="99"/>
      <c r="AD94" s="85"/>
    </row>
    <row r="95" spans="1:30" x14ac:dyDescent="0.25">
      <c r="A95" s="284"/>
      <c r="B95" s="285"/>
      <c r="C95" s="260"/>
      <c r="D95" s="257"/>
      <c r="E95" s="24" t="s">
        <v>174</v>
      </c>
      <c r="F95" s="25" t="s">
        <v>31</v>
      </c>
      <c r="G95" s="25">
        <v>30</v>
      </c>
      <c r="H95" s="25"/>
      <c r="I95" s="25" t="s">
        <v>175</v>
      </c>
      <c r="J95" s="26" t="s">
        <v>41</v>
      </c>
      <c r="K95" s="27"/>
      <c r="L95" s="28"/>
      <c r="M95" s="29"/>
      <c r="N95" s="30"/>
      <c r="O95" s="30"/>
      <c r="P95" s="31"/>
      <c r="Q95" s="57" t="s">
        <v>174</v>
      </c>
      <c r="R95" s="33" t="s">
        <v>31</v>
      </c>
      <c r="S95" s="33">
        <v>30</v>
      </c>
      <c r="T95" s="33"/>
      <c r="U95" s="33" t="s">
        <v>175</v>
      </c>
      <c r="V95" s="34" t="s">
        <v>41</v>
      </c>
      <c r="W95" s="108">
        <v>6</v>
      </c>
      <c r="X95" s="240">
        <f t="shared" si="8"/>
        <v>2</v>
      </c>
      <c r="Y95" s="244">
        <f t="shared" si="9"/>
        <v>0.2</v>
      </c>
      <c r="Z95" s="108"/>
      <c r="AA95" s="102" t="s">
        <v>337</v>
      </c>
      <c r="AB95" s="122"/>
      <c r="AC95" s="229"/>
      <c r="AD95" s="230"/>
    </row>
    <row r="96" spans="1:30" x14ac:dyDescent="0.25">
      <c r="A96" s="284"/>
      <c r="B96" s="285"/>
      <c r="C96" s="260"/>
      <c r="D96" s="257"/>
      <c r="E96" s="24" t="s">
        <v>141</v>
      </c>
      <c r="F96" s="25" t="s">
        <v>31</v>
      </c>
      <c r="G96" s="25">
        <v>50</v>
      </c>
      <c r="H96" s="25" t="s">
        <v>178</v>
      </c>
      <c r="I96" s="25" t="s">
        <v>142</v>
      </c>
      <c r="J96" s="26" t="s">
        <v>36</v>
      </c>
      <c r="K96" s="27"/>
      <c r="L96" s="28"/>
      <c r="M96" s="29"/>
      <c r="N96" s="30"/>
      <c r="O96" s="30"/>
      <c r="P96" s="31"/>
      <c r="Q96" s="57" t="s">
        <v>141</v>
      </c>
      <c r="R96" s="33" t="s">
        <v>31</v>
      </c>
      <c r="S96" s="33">
        <v>50</v>
      </c>
      <c r="T96" s="33" t="s">
        <v>178</v>
      </c>
      <c r="U96" s="33" t="s">
        <v>142</v>
      </c>
      <c r="V96" s="34" t="s">
        <v>36</v>
      </c>
      <c r="W96" s="91">
        <v>15.36</v>
      </c>
      <c r="X96" s="109">
        <f t="shared" si="8"/>
        <v>5.12</v>
      </c>
      <c r="Y96" s="245">
        <f t="shared" si="9"/>
        <v>0.30719999999999997</v>
      </c>
      <c r="Z96" s="91">
        <f>AA96*$AA$3</f>
        <v>14.491799999999998</v>
      </c>
      <c r="AA96" s="109">
        <f>5.82*0.83</f>
        <v>4.8305999999999996</v>
      </c>
      <c r="AB96" s="110">
        <f t="shared" ref="AB96:AB97" si="18">Z96/S96</f>
        <v>0.28983599999999998</v>
      </c>
      <c r="AC96" s="222">
        <f t="shared" ref="AC96:AC97" si="19">(Y96-AB96)/AB96</f>
        <v>5.9909742061027588E-2</v>
      </c>
      <c r="AD96" s="212">
        <f t="shared" ref="AD96:AD97" si="20">($M$82-AB96)/AB96</f>
        <v>-0.79298637850370557</v>
      </c>
    </row>
    <row r="97" spans="1:30" ht="16.5" thickBot="1" x14ac:dyDescent="0.3">
      <c r="A97" s="284"/>
      <c r="B97" s="285"/>
      <c r="C97" s="261"/>
      <c r="D97" s="258"/>
      <c r="E97" s="36" t="s">
        <v>176</v>
      </c>
      <c r="F97" s="37" t="s">
        <v>31</v>
      </c>
      <c r="G97" s="37">
        <v>30</v>
      </c>
      <c r="H97" s="37" t="s">
        <v>135</v>
      </c>
      <c r="I97" s="37" t="s">
        <v>181</v>
      </c>
      <c r="J97" s="58" t="s">
        <v>95</v>
      </c>
      <c r="K97" s="39"/>
      <c r="L97" s="40"/>
      <c r="M97" s="41"/>
      <c r="N97" s="42"/>
      <c r="O97" s="42"/>
      <c r="P97" s="43"/>
      <c r="Q97" s="62" t="s">
        <v>176</v>
      </c>
      <c r="R97" s="45" t="s">
        <v>31</v>
      </c>
      <c r="S97" s="45">
        <v>30</v>
      </c>
      <c r="T97" s="45" t="s">
        <v>135</v>
      </c>
      <c r="U97" s="45" t="s">
        <v>181</v>
      </c>
      <c r="V97" s="63" t="s">
        <v>95</v>
      </c>
      <c r="W97" s="127">
        <v>10</v>
      </c>
      <c r="X97" s="128">
        <f t="shared" si="8"/>
        <v>3.3333333333333335</v>
      </c>
      <c r="Y97" s="248">
        <f t="shared" si="9"/>
        <v>0.33333333333333331</v>
      </c>
      <c r="Z97" s="127">
        <f>AA97*$AA$3</f>
        <v>6.2249999999999996</v>
      </c>
      <c r="AA97" s="128">
        <f>2.5*0.83</f>
        <v>2.0749999999999997</v>
      </c>
      <c r="AB97" s="129">
        <f t="shared" si="18"/>
        <v>0.20749999999999999</v>
      </c>
      <c r="AC97" s="222">
        <f t="shared" si="19"/>
        <v>0.60642570281124497</v>
      </c>
      <c r="AD97" s="226">
        <f t="shared" si="20"/>
        <v>-0.71084337349397586</v>
      </c>
    </row>
    <row r="98" spans="1:30" x14ac:dyDescent="0.25">
      <c r="A98" s="284"/>
      <c r="B98" s="285"/>
      <c r="C98" s="259" t="s">
        <v>10</v>
      </c>
      <c r="D98" s="262" t="s">
        <v>6</v>
      </c>
      <c r="E98" s="13" t="s">
        <v>182</v>
      </c>
      <c r="F98" s="14" t="s">
        <v>105</v>
      </c>
      <c r="G98" s="14">
        <v>100</v>
      </c>
      <c r="H98" s="14"/>
      <c r="I98" s="14" t="s">
        <v>84</v>
      </c>
      <c r="J98" s="15" t="s">
        <v>100</v>
      </c>
      <c r="K98" s="16"/>
      <c r="L98" s="17"/>
      <c r="M98" s="18"/>
      <c r="N98" s="19"/>
      <c r="O98" s="19"/>
      <c r="P98" s="20"/>
      <c r="Q98" s="64" t="s">
        <v>182</v>
      </c>
      <c r="R98" s="22" t="s">
        <v>105</v>
      </c>
      <c r="S98" s="22">
        <v>100</v>
      </c>
      <c r="T98" s="22"/>
      <c r="U98" s="22" t="s">
        <v>84</v>
      </c>
      <c r="V98" s="23" t="s">
        <v>100</v>
      </c>
      <c r="W98" s="90"/>
      <c r="X98" s="111">
        <f t="shared" si="8"/>
        <v>0</v>
      </c>
      <c r="Y98" s="132">
        <f t="shared" si="9"/>
        <v>0</v>
      </c>
      <c r="Z98" s="132">
        <f>AA98*$AA$3</f>
        <v>3.7349999999999994</v>
      </c>
      <c r="AA98" s="111">
        <f>1.5*0.83</f>
        <v>1.2449999999999999</v>
      </c>
      <c r="AB98" s="112">
        <f>Z98/S98</f>
        <v>3.7349999999999994E-2</v>
      </c>
      <c r="AC98" s="238"/>
      <c r="AD98" s="239"/>
    </row>
    <row r="99" spans="1:30" x14ac:dyDescent="0.25">
      <c r="A99" s="284"/>
      <c r="B99" s="285"/>
      <c r="C99" s="260"/>
      <c r="D99" s="257"/>
      <c r="E99" s="24" t="s">
        <v>183</v>
      </c>
      <c r="F99" s="25" t="s">
        <v>105</v>
      </c>
      <c r="G99" s="25">
        <v>20</v>
      </c>
      <c r="H99" s="25"/>
      <c r="I99" s="25" t="s">
        <v>184</v>
      </c>
      <c r="J99" s="26" t="s">
        <v>185</v>
      </c>
      <c r="K99" s="27"/>
      <c r="L99" s="28"/>
      <c r="M99" s="29"/>
      <c r="N99" s="30"/>
      <c r="O99" s="30"/>
      <c r="P99" s="31"/>
      <c r="Q99" s="24"/>
      <c r="R99" s="25"/>
      <c r="S99" s="25"/>
      <c r="T99" s="25"/>
      <c r="U99" s="25"/>
      <c r="V99" s="26"/>
      <c r="W99" s="88"/>
      <c r="X99" s="101"/>
      <c r="Y99" s="97"/>
      <c r="Z99" s="97"/>
      <c r="AA99" s="101"/>
      <c r="AB99" s="106"/>
      <c r="AC99" s="85"/>
      <c r="AD99" s="85"/>
    </row>
    <row r="100" spans="1:30" x14ac:dyDescent="0.25">
      <c r="A100" s="284"/>
      <c r="B100" s="285"/>
      <c r="C100" s="260"/>
      <c r="D100" s="257"/>
      <c r="E100" s="24" t="s">
        <v>186</v>
      </c>
      <c r="F100" s="25" t="s">
        <v>105</v>
      </c>
      <c r="G100" s="25">
        <v>30</v>
      </c>
      <c r="H100" s="25"/>
      <c r="I100" s="25" t="s">
        <v>84</v>
      </c>
      <c r="J100" s="26" t="s">
        <v>100</v>
      </c>
      <c r="K100" s="27"/>
      <c r="L100" s="28"/>
      <c r="M100" s="29"/>
      <c r="N100" s="30"/>
      <c r="O100" s="30"/>
      <c r="P100" s="31"/>
      <c r="Q100" s="57" t="s">
        <v>186</v>
      </c>
      <c r="R100" s="33" t="s">
        <v>105</v>
      </c>
      <c r="S100" s="33">
        <v>30</v>
      </c>
      <c r="T100" s="33"/>
      <c r="U100" s="33" t="s">
        <v>84</v>
      </c>
      <c r="V100" s="34" t="s">
        <v>100</v>
      </c>
      <c r="W100" s="91"/>
      <c r="X100" s="109">
        <f t="shared" si="8"/>
        <v>0</v>
      </c>
      <c r="Y100" s="96">
        <f t="shared" si="9"/>
        <v>0</v>
      </c>
      <c r="Z100" s="96">
        <f>AA100*$AA$3</f>
        <v>1.1454</v>
      </c>
      <c r="AA100" s="109">
        <f>0.46*0.83</f>
        <v>0.38179999999999997</v>
      </c>
      <c r="AB100" s="110">
        <f>Z100/S100</f>
        <v>3.8179999999999999E-2</v>
      </c>
      <c r="AC100" s="227"/>
      <c r="AD100" s="228"/>
    </row>
    <row r="101" spans="1:30" x14ac:dyDescent="0.25">
      <c r="A101" s="284"/>
      <c r="B101" s="285"/>
      <c r="C101" s="260"/>
      <c r="D101" s="257"/>
      <c r="E101" s="24" t="s">
        <v>187</v>
      </c>
      <c r="F101" s="25" t="s">
        <v>105</v>
      </c>
      <c r="G101" s="25">
        <v>30</v>
      </c>
      <c r="H101" s="25"/>
      <c r="I101" s="25" t="s">
        <v>188</v>
      </c>
      <c r="J101" s="26" t="s">
        <v>97</v>
      </c>
      <c r="K101" s="27"/>
      <c r="L101" s="28"/>
      <c r="M101" s="29"/>
      <c r="N101" s="30"/>
      <c r="O101" s="30"/>
      <c r="P101" s="31"/>
      <c r="Q101" s="24"/>
      <c r="R101" s="25"/>
      <c r="S101" s="25"/>
      <c r="T101" s="25"/>
      <c r="U101" s="25"/>
      <c r="V101" s="26"/>
      <c r="W101" s="88"/>
      <c r="X101" s="101"/>
      <c r="Y101" s="97"/>
      <c r="Z101" s="97"/>
      <c r="AA101" s="101"/>
      <c r="AB101" s="106"/>
      <c r="AC101" s="85"/>
      <c r="AD101" s="85"/>
    </row>
    <row r="102" spans="1:30" x14ac:dyDescent="0.25">
      <c r="A102" s="284"/>
      <c r="B102" s="285"/>
      <c r="C102" s="260"/>
      <c r="D102" s="257"/>
      <c r="E102" s="24" t="s">
        <v>189</v>
      </c>
      <c r="F102" s="25" t="s">
        <v>105</v>
      </c>
      <c r="G102" s="25">
        <v>28</v>
      </c>
      <c r="H102" s="25"/>
      <c r="I102" s="25" t="s">
        <v>190</v>
      </c>
      <c r="J102" s="26" t="s">
        <v>191</v>
      </c>
      <c r="K102" s="27"/>
      <c r="L102" s="28"/>
      <c r="M102" s="29"/>
      <c r="N102" s="30"/>
      <c r="O102" s="30"/>
      <c r="P102" s="31"/>
      <c r="Q102" s="57" t="s">
        <v>189</v>
      </c>
      <c r="R102" s="33" t="s">
        <v>105</v>
      </c>
      <c r="S102" s="33">
        <v>28</v>
      </c>
      <c r="T102" s="33"/>
      <c r="U102" s="33" t="s">
        <v>190</v>
      </c>
      <c r="V102" s="34" t="s">
        <v>191</v>
      </c>
      <c r="W102" s="91">
        <v>7.6</v>
      </c>
      <c r="X102" s="109">
        <f t="shared" si="8"/>
        <v>2.5333333333333332</v>
      </c>
      <c r="Y102" s="96">
        <f t="shared" si="9"/>
        <v>0.27142857142857141</v>
      </c>
      <c r="Z102" s="96">
        <f>AA102*$AA$3</f>
        <v>6.7230000000000008</v>
      </c>
      <c r="AA102" s="109">
        <f>2.7*0.83</f>
        <v>2.2410000000000001</v>
      </c>
      <c r="AB102" s="110">
        <f t="shared" ref="AB102:AB104" si="21">Z102/S102</f>
        <v>0.24010714285714288</v>
      </c>
      <c r="AC102" s="222">
        <f t="shared" ref="AC102:AC104" si="22">(Y102-AB102)/AB102</f>
        <v>0.13044771679309813</v>
      </c>
      <c r="AD102" s="212">
        <f t="shared" ref="AD102:AD104" si="23">($O$104-AB102)/AB102</f>
        <v>-0.62141900937081662</v>
      </c>
    </row>
    <row r="103" spans="1:30" x14ac:dyDescent="0.25">
      <c r="A103" s="284"/>
      <c r="B103" s="285"/>
      <c r="C103" s="260"/>
      <c r="D103" s="257"/>
      <c r="E103" s="24" t="s">
        <v>192</v>
      </c>
      <c r="F103" s="25" t="s">
        <v>105</v>
      </c>
      <c r="G103" s="25">
        <v>30</v>
      </c>
      <c r="H103" s="25" t="s">
        <v>108</v>
      </c>
      <c r="I103" s="25" t="s">
        <v>200</v>
      </c>
      <c r="J103" s="26" t="s">
        <v>36</v>
      </c>
      <c r="K103" s="27"/>
      <c r="L103" s="28"/>
      <c r="M103" s="29"/>
      <c r="N103" s="30"/>
      <c r="O103" s="30"/>
      <c r="P103" s="31"/>
      <c r="Q103" s="57" t="s">
        <v>192</v>
      </c>
      <c r="R103" s="33" t="s">
        <v>105</v>
      </c>
      <c r="S103" s="33">
        <v>30</v>
      </c>
      <c r="T103" s="33" t="s">
        <v>108</v>
      </c>
      <c r="U103" s="33" t="s">
        <v>200</v>
      </c>
      <c r="V103" s="34" t="s">
        <v>36</v>
      </c>
      <c r="W103" s="91">
        <v>6.5</v>
      </c>
      <c r="X103" s="109">
        <f t="shared" si="8"/>
        <v>2.1666666666666665</v>
      </c>
      <c r="Y103" s="96">
        <f t="shared" si="9"/>
        <v>0.21666666666666667</v>
      </c>
      <c r="Z103" s="96">
        <f>AA103*$AA$3</f>
        <v>4.2329999999999997</v>
      </c>
      <c r="AA103" s="109">
        <f>1.7*0.83</f>
        <v>1.4109999999999998</v>
      </c>
      <c r="AB103" s="110">
        <f t="shared" si="21"/>
        <v>0.14109999999999998</v>
      </c>
      <c r="AC103" s="222">
        <f t="shared" si="22"/>
        <v>0.53555398062839621</v>
      </c>
      <c r="AD103" s="212">
        <f t="shared" si="23"/>
        <v>-0.35577604535790214</v>
      </c>
    </row>
    <row r="104" spans="1:30" x14ac:dyDescent="0.25">
      <c r="A104" s="284"/>
      <c r="B104" s="285"/>
      <c r="C104" s="260"/>
      <c r="D104" s="257"/>
      <c r="E104" s="24" t="s">
        <v>193</v>
      </c>
      <c r="F104" s="25" t="s">
        <v>105</v>
      </c>
      <c r="G104" s="25">
        <v>20</v>
      </c>
      <c r="H104" s="25" t="s">
        <v>125</v>
      </c>
      <c r="I104" s="25" t="s">
        <v>40</v>
      </c>
      <c r="J104" s="26" t="s">
        <v>41</v>
      </c>
      <c r="K104" s="191"/>
      <c r="L104" s="192"/>
      <c r="M104" s="193"/>
      <c r="N104" s="194"/>
      <c r="O104" s="194">
        <v>9.0899999999999995E-2</v>
      </c>
      <c r="P104" s="195"/>
      <c r="Q104" s="57" t="s">
        <v>193</v>
      </c>
      <c r="R104" s="33" t="s">
        <v>105</v>
      </c>
      <c r="S104" s="33">
        <v>20</v>
      </c>
      <c r="T104" s="33" t="s">
        <v>125</v>
      </c>
      <c r="U104" s="33" t="s">
        <v>40</v>
      </c>
      <c r="V104" s="34" t="s">
        <v>41</v>
      </c>
      <c r="W104" s="91">
        <v>3.2</v>
      </c>
      <c r="X104" s="109">
        <f t="shared" si="8"/>
        <v>1.0666666666666667</v>
      </c>
      <c r="Y104" s="96">
        <f t="shared" si="9"/>
        <v>0.16</v>
      </c>
      <c r="Z104" s="96">
        <f>AA104*$AA$3</f>
        <v>1.9421999999999999</v>
      </c>
      <c r="AA104" s="109">
        <f>0.78*0.83</f>
        <v>0.64739999999999998</v>
      </c>
      <c r="AB104" s="110">
        <f t="shared" si="21"/>
        <v>9.7110000000000002E-2</v>
      </c>
      <c r="AC104" s="222">
        <f t="shared" si="22"/>
        <v>0.64761610544743076</v>
      </c>
      <c r="AD104" s="212">
        <f t="shared" si="23"/>
        <v>-6.3948100092678484E-2</v>
      </c>
    </row>
    <row r="105" spans="1:30" x14ac:dyDescent="0.25">
      <c r="A105" s="284"/>
      <c r="B105" s="285"/>
      <c r="C105" s="260"/>
      <c r="D105" s="257"/>
      <c r="E105" s="24" t="s">
        <v>194</v>
      </c>
      <c r="F105" s="25" t="s">
        <v>105</v>
      </c>
      <c r="G105" s="25">
        <v>20</v>
      </c>
      <c r="H105" s="25" t="s">
        <v>125</v>
      </c>
      <c r="I105" s="25" t="s">
        <v>195</v>
      </c>
      <c r="J105" s="26" t="s">
        <v>101</v>
      </c>
      <c r="K105" s="27"/>
      <c r="L105" s="28"/>
      <c r="M105" s="29"/>
      <c r="N105" s="30"/>
      <c r="O105" s="30"/>
      <c r="P105" s="31"/>
      <c r="Q105" s="24"/>
      <c r="R105" s="25"/>
      <c r="S105" s="25"/>
      <c r="T105" s="25"/>
      <c r="U105" s="25"/>
      <c r="V105" s="26"/>
      <c r="W105" s="88"/>
      <c r="X105" s="101"/>
      <c r="Y105" s="97"/>
      <c r="Z105" s="97"/>
      <c r="AA105" s="101"/>
      <c r="AB105" s="106"/>
      <c r="AC105" s="85"/>
      <c r="AD105" s="85"/>
    </row>
    <row r="106" spans="1:30" x14ac:dyDescent="0.25">
      <c r="A106" s="284"/>
      <c r="B106" s="285"/>
      <c r="C106" s="260"/>
      <c r="D106" s="257"/>
      <c r="E106" s="24" t="s">
        <v>196</v>
      </c>
      <c r="F106" s="25" t="s">
        <v>105</v>
      </c>
      <c r="G106" s="25">
        <v>20</v>
      </c>
      <c r="H106" s="25"/>
      <c r="I106" s="25" t="s">
        <v>197</v>
      </c>
      <c r="J106" s="26" t="s">
        <v>163</v>
      </c>
      <c r="K106" s="27"/>
      <c r="L106" s="28"/>
      <c r="M106" s="29"/>
      <c r="N106" s="30"/>
      <c r="O106" s="30"/>
      <c r="P106" s="31"/>
      <c r="Q106" s="57" t="s">
        <v>196</v>
      </c>
      <c r="R106" s="33" t="s">
        <v>105</v>
      </c>
      <c r="S106" s="33">
        <v>20</v>
      </c>
      <c r="T106" s="33"/>
      <c r="U106" s="33" t="s">
        <v>197</v>
      </c>
      <c r="V106" s="34" t="s">
        <v>163</v>
      </c>
      <c r="W106" s="108"/>
      <c r="X106" s="240">
        <f t="shared" si="8"/>
        <v>0</v>
      </c>
      <c r="Y106" s="115">
        <f t="shared" si="9"/>
        <v>0</v>
      </c>
      <c r="Z106" s="115"/>
      <c r="AA106" s="102" t="s">
        <v>337</v>
      </c>
      <c r="AB106" s="122"/>
      <c r="AC106" s="230"/>
      <c r="AD106" s="230"/>
    </row>
    <row r="107" spans="1:30" ht="16.5" thickBot="1" x14ac:dyDescent="0.3">
      <c r="A107" s="284"/>
      <c r="B107" s="285"/>
      <c r="C107" s="261"/>
      <c r="D107" s="258"/>
      <c r="E107" s="36" t="s">
        <v>198</v>
      </c>
      <c r="F107" s="37" t="s">
        <v>105</v>
      </c>
      <c r="G107" s="37">
        <v>30</v>
      </c>
      <c r="H107" s="37" t="s">
        <v>108</v>
      </c>
      <c r="I107" s="37" t="s">
        <v>199</v>
      </c>
      <c r="J107" s="58" t="s">
        <v>36</v>
      </c>
      <c r="K107" s="39"/>
      <c r="L107" s="40"/>
      <c r="M107" s="41"/>
      <c r="N107" s="42"/>
      <c r="O107" s="42"/>
      <c r="P107" s="43"/>
      <c r="Q107" s="62" t="s">
        <v>198</v>
      </c>
      <c r="R107" s="45" t="s">
        <v>105</v>
      </c>
      <c r="S107" s="45">
        <v>30</v>
      </c>
      <c r="T107" s="45" t="s">
        <v>108</v>
      </c>
      <c r="U107" s="45" t="s">
        <v>199</v>
      </c>
      <c r="V107" s="63" t="s">
        <v>36</v>
      </c>
      <c r="W107" s="127"/>
      <c r="X107" s="128">
        <f t="shared" si="8"/>
        <v>0</v>
      </c>
      <c r="Y107" s="133">
        <f t="shared" si="9"/>
        <v>0</v>
      </c>
      <c r="Z107" s="133">
        <f>AA107*$AA$3</f>
        <v>3.7349999999999994</v>
      </c>
      <c r="AA107" s="128">
        <f>1.5*0.83</f>
        <v>1.2449999999999999</v>
      </c>
      <c r="AB107" s="129">
        <f>Z107/S107</f>
        <v>0.12449999999999999</v>
      </c>
      <c r="AC107" s="227"/>
      <c r="AD107" s="237"/>
    </row>
    <row r="108" spans="1:30" x14ac:dyDescent="0.25">
      <c r="A108" s="284"/>
      <c r="B108" s="285"/>
      <c r="C108" s="259" t="s">
        <v>20</v>
      </c>
      <c r="D108" s="262" t="s">
        <v>8</v>
      </c>
      <c r="E108" s="13" t="s">
        <v>201</v>
      </c>
      <c r="F108" s="14" t="s">
        <v>105</v>
      </c>
      <c r="G108" s="14">
        <v>1000</v>
      </c>
      <c r="H108" s="14"/>
      <c r="I108" s="14" t="s">
        <v>202</v>
      </c>
      <c r="J108" s="15" t="s">
        <v>97</v>
      </c>
      <c r="K108" s="16"/>
      <c r="L108" s="17"/>
      <c r="M108" s="18"/>
      <c r="N108" s="19"/>
      <c r="O108" s="19"/>
      <c r="P108" s="20"/>
      <c r="Q108" s="13"/>
      <c r="R108" s="14"/>
      <c r="S108" s="14"/>
      <c r="T108" s="14"/>
      <c r="U108" s="14"/>
      <c r="V108" s="15"/>
      <c r="W108" s="87"/>
      <c r="X108" s="103"/>
      <c r="Y108" s="130"/>
      <c r="Z108" s="130"/>
      <c r="AA108" s="103"/>
      <c r="AB108" s="134"/>
      <c r="AC108" s="98"/>
      <c r="AD108" s="84"/>
    </row>
    <row r="109" spans="1:30" x14ac:dyDescent="0.25">
      <c r="A109" s="284"/>
      <c r="B109" s="285"/>
      <c r="C109" s="260"/>
      <c r="D109" s="257"/>
      <c r="E109" s="24" t="s">
        <v>203</v>
      </c>
      <c r="F109" s="25" t="s">
        <v>105</v>
      </c>
      <c r="G109" s="25">
        <v>20</v>
      </c>
      <c r="H109" s="25"/>
      <c r="I109" s="25" t="s">
        <v>204</v>
      </c>
      <c r="J109" s="26" t="s">
        <v>117</v>
      </c>
      <c r="K109" s="191">
        <v>6.1499999999999999E-2</v>
      </c>
      <c r="L109" s="192"/>
      <c r="M109" s="193"/>
      <c r="N109" s="194"/>
      <c r="O109" s="194"/>
      <c r="P109" s="195"/>
      <c r="Q109" s="57" t="s">
        <v>203</v>
      </c>
      <c r="R109" s="33" t="s">
        <v>105</v>
      </c>
      <c r="S109" s="33">
        <v>20</v>
      </c>
      <c r="T109" s="33"/>
      <c r="U109" s="33" t="s">
        <v>204</v>
      </c>
      <c r="V109" s="34" t="s">
        <v>117</v>
      </c>
      <c r="W109" s="91">
        <v>1.28</v>
      </c>
      <c r="X109" s="109">
        <f t="shared" si="8"/>
        <v>0.42666666666666669</v>
      </c>
      <c r="Y109" s="96">
        <f t="shared" si="9"/>
        <v>6.4000000000000001E-2</v>
      </c>
      <c r="Z109" s="96">
        <f>AA109*$AA$3</f>
        <v>1.2449999999999999</v>
      </c>
      <c r="AA109" s="109">
        <f>0.5*0.83</f>
        <v>0.41499999999999998</v>
      </c>
      <c r="AB109" s="110">
        <f>Z109/S109</f>
        <v>6.2249999999999993E-2</v>
      </c>
      <c r="AC109" s="222">
        <f t="shared" ref="AC109" si="24">(Y109-AB109)/AB109</f>
        <v>2.8112449799196929E-2</v>
      </c>
      <c r="AD109" s="212">
        <f>($K$109-AB109)/AB109</f>
        <v>-1.2048192771084237E-2</v>
      </c>
    </row>
    <row r="110" spans="1:30" x14ac:dyDescent="0.25">
      <c r="A110" s="284"/>
      <c r="B110" s="285"/>
      <c r="C110" s="260"/>
      <c r="D110" s="257"/>
      <c r="E110" s="24" t="s">
        <v>205</v>
      </c>
      <c r="F110" s="25" t="s">
        <v>105</v>
      </c>
      <c r="G110" s="25">
        <v>100</v>
      </c>
      <c r="H110" s="25"/>
      <c r="I110" s="25" t="s">
        <v>206</v>
      </c>
      <c r="J110" s="26" t="s">
        <v>96</v>
      </c>
      <c r="K110" s="27"/>
      <c r="L110" s="28"/>
      <c r="M110" s="29"/>
      <c r="N110" s="30"/>
      <c r="O110" s="30"/>
      <c r="P110" s="31"/>
      <c r="Q110" s="57" t="s">
        <v>205</v>
      </c>
      <c r="R110" s="33" t="s">
        <v>105</v>
      </c>
      <c r="S110" s="33">
        <v>100</v>
      </c>
      <c r="T110" s="33"/>
      <c r="U110" s="33" t="s">
        <v>206</v>
      </c>
      <c r="V110" s="34" t="s">
        <v>96</v>
      </c>
      <c r="W110" s="108"/>
      <c r="X110" s="240">
        <f t="shared" si="8"/>
        <v>0</v>
      </c>
      <c r="Y110" s="115">
        <f t="shared" si="9"/>
        <v>0</v>
      </c>
      <c r="Z110" s="115"/>
      <c r="AA110" s="102" t="s">
        <v>337</v>
      </c>
      <c r="AB110" s="122"/>
      <c r="AC110" s="229"/>
      <c r="AD110" s="230"/>
    </row>
    <row r="111" spans="1:30" x14ac:dyDescent="0.25">
      <c r="A111" s="284"/>
      <c r="B111" s="285"/>
      <c r="C111" s="260"/>
      <c r="D111" s="257"/>
      <c r="E111" s="24" t="s">
        <v>205</v>
      </c>
      <c r="F111" s="25" t="s">
        <v>105</v>
      </c>
      <c r="G111" s="25">
        <v>1000</v>
      </c>
      <c r="H111" s="25"/>
      <c r="I111" s="25" t="s">
        <v>206</v>
      </c>
      <c r="J111" s="26" t="s">
        <v>96</v>
      </c>
      <c r="K111" s="27"/>
      <c r="L111" s="28"/>
      <c r="M111" s="29"/>
      <c r="N111" s="30"/>
      <c r="O111" s="30"/>
      <c r="P111" s="31"/>
      <c r="Q111" s="57" t="s">
        <v>205</v>
      </c>
      <c r="R111" s="33" t="s">
        <v>105</v>
      </c>
      <c r="S111" s="33">
        <v>1000</v>
      </c>
      <c r="T111" s="33"/>
      <c r="U111" s="33" t="s">
        <v>206</v>
      </c>
      <c r="V111" s="34" t="s">
        <v>96</v>
      </c>
      <c r="W111" s="91"/>
      <c r="X111" s="109">
        <f t="shared" si="8"/>
        <v>0</v>
      </c>
      <c r="Y111" s="96">
        <f t="shared" si="9"/>
        <v>0</v>
      </c>
      <c r="Z111" s="96">
        <f>AA111*$AA$3</f>
        <v>19.795499999999997</v>
      </c>
      <c r="AA111" s="109">
        <f>7.95*0.83</f>
        <v>6.5984999999999996</v>
      </c>
      <c r="AB111" s="110">
        <f t="shared" ref="AB111:AB112" si="25">Z111/S111</f>
        <v>1.9795499999999997E-2</v>
      </c>
      <c r="AC111" s="227"/>
      <c r="AD111" s="228"/>
    </row>
    <row r="112" spans="1:30" x14ac:dyDescent="0.25">
      <c r="A112" s="284"/>
      <c r="B112" s="285"/>
      <c r="C112" s="260"/>
      <c r="D112" s="257"/>
      <c r="E112" s="24" t="s">
        <v>207</v>
      </c>
      <c r="F112" s="25" t="s">
        <v>105</v>
      </c>
      <c r="G112" s="25">
        <v>45</v>
      </c>
      <c r="H112" s="25"/>
      <c r="I112" s="25" t="s">
        <v>208</v>
      </c>
      <c r="J112" s="26" t="s">
        <v>97</v>
      </c>
      <c r="K112" s="27"/>
      <c r="L112" s="28"/>
      <c r="M112" s="29"/>
      <c r="N112" s="30"/>
      <c r="O112" s="30"/>
      <c r="P112" s="31"/>
      <c r="Q112" s="57" t="s">
        <v>207</v>
      </c>
      <c r="R112" s="33" t="s">
        <v>105</v>
      </c>
      <c r="S112" s="33">
        <v>45</v>
      </c>
      <c r="T112" s="33"/>
      <c r="U112" s="33" t="s">
        <v>208</v>
      </c>
      <c r="V112" s="34" t="s">
        <v>97</v>
      </c>
      <c r="W112" s="91"/>
      <c r="X112" s="109">
        <f t="shared" si="8"/>
        <v>0</v>
      </c>
      <c r="Y112" s="96">
        <f t="shared" si="9"/>
        <v>0</v>
      </c>
      <c r="Z112" s="96">
        <f>AA112*$AA$3</f>
        <v>1.6683000000000001</v>
      </c>
      <c r="AA112" s="109">
        <f>0.67*0.83</f>
        <v>0.55610000000000004</v>
      </c>
      <c r="AB112" s="110">
        <f t="shared" si="25"/>
        <v>3.7073333333333333E-2</v>
      </c>
      <c r="AC112" s="227"/>
      <c r="AD112" s="228"/>
    </row>
    <row r="113" spans="1:30" x14ac:dyDescent="0.25">
      <c r="A113" s="284"/>
      <c r="B113" s="285"/>
      <c r="C113" s="260"/>
      <c r="D113" s="257"/>
      <c r="E113" s="24" t="s">
        <v>20</v>
      </c>
      <c r="F113" s="25" t="s">
        <v>105</v>
      </c>
      <c r="G113" s="25">
        <v>50</v>
      </c>
      <c r="H113" s="25" t="s">
        <v>220</v>
      </c>
      <c r="I113" s="25" t="s">
        <v>209</v>
      </c>
      <c r="J113" s="26" t="s">
        <v>210</v>
      </c>
      <c r="K113" s="27"/>
      <c r="L113" s="28"/>
      <c r="M113" s="29"/>
      <c r="N113" s="30"/>
      <c r="O113" s="30"/>
      <c r="P113" s="31"/>
      <c r="Q113" s="24"/>
      <c r="R113" s="25"/>
      <c r="S113" s="25"/>
      <c r="T113" s="25"/>
      <c r="U113" s="25"/>
      <c r="V113" s="26"/>
      <c r="W113" s="88"/>
      <c r="X113" s="101"/>
      <c r="Y113" s="97"/>
      <c r="Z113" s="97"/>
      <c r="AA113" s="101"/>
      <c r="AB113" s="106"/>
      <c r="AC113" s="99"/>
      <c r="AD113" s="85"/>
    </row>
    <row r="114" spans="1:30" x14ac:dyDescent="0.25">
      <c r="A114" s="284"/>
      <c r="B114" s="285"/>
      <c r="C114" s="260"/>
      <c r="D114" s="257"/>
      <c r="E114" s="24" t="s">
        <v>211</v>
      </c>
      <c r="F114" s="25" t="s">
        <v>105</v>
      </c>
      <c r="G114" s="25">
        <v>50</v>
      </c>
      <c r="H114" s="25"/>
      <c r="I114" s="25" t="s">
        <v>221</v>
      </c>
      <c r="J114" s="26" t="s">
        <v>36</v>
      </c>
      <c r="K114" s="27"/>
      <c r="L114" s="28"/>
      <c r="M114" s="29"/>
      <c r="N114" s="30"/>
      <c r="O114" s="30"/>
      <c r="P114" s="31"/>
      <c r="Q114" s="57" t="s">
        <v>211</v>
      </c>
      <c r="R114" s="33" t="s">
        <v>105</v>
      </c>
      <c r="S114" s="33">
        <v>50</v>
      </c>
      <c r="T114" s="33"/>
      <c r="U114" s="33" t="s">
        <v>221</v>
      </c>
      <c r="V114" s="34" t="s">
        <v>36</v>
      </c>
      <c r="W114" s="108"/>
      <c r="X114" s="240">
        <f t="shared" si="8"/>
        <v>0</v>
      </c>
      <c r="Y114" s="115">
        <f t="shared" si="9"/>
        <v>0</v>
      </c>
      <c r="Z114" s="115"/>
      <c r="AA114" s="102" t="s">
        <v>337</v>
      </c>
      <c r="AB114" s="122"/>
      <c r="AC114" s="229"/>
      <c r="AD114" s="230"/>
    </row>
    <row r="115" spans="1:30" x14ac:dyDescent="0.25">
      <c r="A115" s="284"/>
      <c r="B115" s="285"/>
      <c r="C115" s="260"/>
      <c r="D115" s="257"/>
      <c r="E115" s="24" t="s">
        <v>211</v>
      </c>
      <c r="F115" s="25" t="s">
        <v>105</v>
      </c>
      <c r="G115" s="25">
        <v>100</v>
      </c>
      <c r="H115" s="25"/>
      <c r="I115" s="25" t="s">
        <v>221</v>
      </c>
      <c r="J115" s="26" t="s">
        <v>36</v>
      </c>
      <c r="K115" s="27"/>
      <c r="L115" s="28"/>
      <c r="M115" s="29"/>
      <c r="N115" s="30"/>
      <c r="O115" s="30"/>
      <c r="P115" s="31"/>
      <c r="Q115" s="57" t="s">
        <v>211</v>
      </c>
      <c r="R115" s="33" t="s">
        <v>105</v>
      </c>
      <c r="S115" s="33">
        <v>100</v>
      </c>
      <c r="T115" s="33"/>
      <c r="U115" s="33" t="s">
        <v>221</v>
      </c>
      <c r="V115" s="34" t="s">
        <v>36</v>
      </c>
      <c r="W115" s="108"/>
      <c r="X115" s="240">
        <f t="shared" si="8"/>
        <v>0</v>
      </c>
      <c r="Y115" s="115">
        <f t="shared" si="9"/>
        <v>0</v>
      </c>
      <c r="Z115" s="115"/>
      <c r="AA115" s="102" t="s">
        <v>337</v>
      </c>
      <c r="AB115" s="122"/>
      <c r="AC115" s="229"/>
      <c r="AD115" s="230"/>
    </row>
    <row r="116" spans="1:30" x14ac:dyDescent="0.25">
      <c r="A116" s="284"/>
      <c r="B116" s="285"/>
      <c r="C116" s="260"/>
      <c r="D116" s="257"/>
      <c r="E116" s="24" t="s">
        <v>212</v>
      </c>
      <c r="F116" s="25" t="s">
        <v>105</v>
      </c>
      <c r="G116" s="25">
        <v>30</v>
      </c>
      <c r="H116" s="25"/>
      <c r="I116" s="25" t="s">
        <v>213</v>
      </c>
      <c r="J116" s="26" t="s">
        <v>36</v>
      </c>
      <c r="K116" s="27"/>
      <c r="L116" s="28"/>
      <c r="M116" s="29"/>
      <c r="N116" s="30"/>
      <c r="O116" s="30"/>
      <c r="P116" s="31"/>
      <c r="Q116" s="57" t="s">
        <v>212</v>
      </c>
      <c r="R116" s="33" t="s">
        <v>105</v>
      </c>
      <c r="S116" s="33">
        <v>30</v>
      </c>
      <c r="T116" s="33"/>
      <c r="U116" s="33" t="s">
        <v>341</v>
      </c>
      <c r="V116" s="34" t="s">
        <v>36</v>
      </c>
      <c r="W116" s="108"/>
      <c r="X116" s="240">
        <f t="shared" si="8"/>
        <v>0</v>
      </c>
      <c r="Y116" s="115">
        <f t="shared" si="9"/>
        <v>0</v>
      </c>
      <c r="Z116" s="115"/>
      <c r="AA116" s="102" t="s">
        <v>337</v>
      </c>
      <c r="AB116" s="122"/>
      <c r="AC116" s="229"/>
      <c r="AD116" s="230"/>
    </row>
    <row r="117" spans="1:30" x14ac:dyDescent="0.25">
      <c r="A117" s="284"/>
      <c r="B117" s="285"/>
      <c r="C117" s="260"/>
      <c r="D117" s="257"/>
      <c r="E117" s="24" t="s">
        <v>214</v>
      </c>
      <c r="F117" s="25" t="s">
        <v>105</v>
      </c>
      <c r="G117" s="25">
        <v>50</v>
      </c>
      <c r="H117" s="25"/>
      <c r="I117" s="25" t="s">
        <v>215</v>
      </c>
      <c r="J117" s="26" t="s">
        <v>47</v>
      </c>
      <c r="K117" s="27"/>
      <c r="L117" s="28"/>
      <c r="M117" s="29"/>
      <c r="N117" s="30"/>
      <c r="O117" s="30"/>
      <c r="P117" s="31"/>
      <c r="Q117" s="24"/>
      <c r="R117" s="25"/>
      <c r="S117" s="25"/>
      <c r="T117" s="25"/>
      <c r="U117" s="25"/>
      <c r="V117" s="26"/>
      <c r="W117" s="88"/>
      <c r="X117" s="101"/>
      <c r="Y117" s="97"/>
      <c r="Z117" s="97"/>
      <c r="AA117" s="101"/>
      <c r="AB117" s="106"/>
      <c r="AC117" s="99"/>
      <c r="AD117" s="85"/>
    </row>
    <row r="118" spans="1:30" x14ac:dyDescent="0.25">
      <c r="A118" s="284"/>
      <c r="B118" s="285"/>
      <c r="C118" s="260"/>
      <c r="D118" s="257"/>
      <c r="E118" s="24" t="s">
        <v>216</v>
      </c>
      <c r="F118" s="25" t="s">
        <v>105</v>
      </c>
      <c r="G118" s="25">
        <v>50</v>
      </c>
      <c r="H118" s="25" t="s">
        <v>220</v>
      </c>
      <c r="I118" s="25" t="s">
        <v>217</v>
      </c>
      <c r="J118" s="26" t="s">
        <v>166</v>
      </c>
      <c r="K118" s="27"/>
      <c r="L118" s="28"/>
      <c r="M118" s="29"/>
      <c r="N118" s="30"/>
      <c r="O118" s="30"/>
      <c r="P118" s="31"/>
      <c r="Q118" s="24"/>
      <c r="R118" s="25"/>
      <c r="S118" s="25"/>
      <c r="T118" s="25"/>
      <c r="U118" s="25"/>
      <c r="V118" s="26"/>
      <c r="W118" s="88"/>
      <c r="X118" s="101"/>
      <c r="Y118" s="97"/>
      <c r="Z118" s="97"/>
      <c r="AA118" s="101"/>
      <c r="AB118" s="106"/>
      <c r="AC118" s="99"/>
      <c r="AD118" s="85"/>
    </row>
    <row r="119" spans="1:30" x14ac:dyDescent="0.25">
      <c r="A119" s="284"/>
      <c r="B119" s="285"/>
      <c r="C119" s="260"/>
      <c r="D119" s="257"/>
      <c r="E119" s="24" t="s">
        <v>20</v>
      </c>
      <c r="F119" s="25" t="s">
        <v>105</v>
      </c>
      <c r="G119" s="25">
        <v>28</v>
      </c>
      <c r="H119" s="25"/>
      <c r="I119" s="25" t="s">
        <v>218</v>
      </c>
      <c r="J119" s="26" t="s">
        <v>222</v>
      </c>
      <c r="K119" s="27"/>
      <c r="L119" s="28"/>
      <c r="M119" s="29"/>
      <c r="N119" s="30"/>
      <c r="O119" s="30"/>
      <c r="P119" s="31"/>
      <c r="Q119" s="24"/>
      <c r="R119" s="25"/>
      <c r="S119" s="25"/>
      <c r="T119" s="25"/>
      <c r="U119" s="25"/>
      <c r="V119" s="26"/>
      <c r="W119" s="88"/>
      <c r="X119" s="101"/>
      <c r="Y119" s="97"/>
      <c r="Z119" s="97"/>
      <c r="AA119" s="101"/>
      <c r="AB119" s="106"/>
      <c r="AC119" s="99"/>
      <c r="AD119" s="85"/>
    </row>
    <row r="120" spans="1:30" ht="16.5" thickBot="1" x14ac:dyDescent="0.3">
      <c r="A120" s="284"/>
      <c r="B120" s="285"/>
      <c r="C120" s="261"/>
      <c r="D120" s="258"/>
      <c r="E120" s="36" t="s">
        <v>216</v>
      </c>
      <c r="F120" s="37" t="s">
        <v>105</v>
      </c>
      <c r="G120" s="37">
        <v>50</v>
      </c>
      <c r="H120" s="37"/>
      <c r="I120" s="37" t="s">
        <v>219</v>
      </c>
      <c r="J120" s="58" t="s">
        <v>172</v>
      </c>
      <c r="K120" s="39"/>
      <c r="L120" s="40"/>
      <c r="M120" s="41"/>
      <c r="N120" s="42"/>
      <c r="O120" s="42"/>
      <c r="P120" s="43"/>
      <c r="Q120" s="36"/>
      <c r="R120" s="37"/>
      <c r="S120" s="37"/>
      <c r="T120" s="37"/>
      <c r="U120" s="37"/>
      <c r="V120" s="58"/>
      <c r="W120" s="135"/>
      <c r="X120" s="137"/>
      <c r="Y120" s="136"/>
      <c r="Z120" s="136"/>
      <c r="AA120" s="137"/>
      <c r="AB120" s="138"/>
      <c r="AC120" s="100"/>
      <c r="AD120" s="86"/>
    </row>
    <row r="121" spans="1:30" x14ac:dyDescent="0.25">
      <c r="A121" s="284"/>
      <c r="B121" s="285"/>
      <c r="C121" s="259" t="s">
        <v>11</v>
      </c>
      <c r="D121" s="262" t="s">
        <v>12</v>
      </c>
      <c r="E121" s="13" t="s">
        <v>223</v>
      </c>
      <c r="F121" s="14" t="s">
        <v>31</v>
      </c>
      <c r="G121" s="14">
        <v>30</v>
      </c>
      <c r="H121" s="14"/>
      <c r="I121" s="14" t="s">
        <v>75</v>
      </c>
      <c r="J121" s="15" t="s">
        <v>94</v>
      </c>
      <c r="K121" s="16"/>
      <c r="L121" s="17"/>
      <c r="M121" s="18"/>
      <c r="N121" s="19"/>
      <c r="O121" s="19"/>
      <c r="P121" s="20"/>
      <c r="Q121" s="64" t="s">
        <v>223</v>
      </c>
      <c r="R121" s="22" t="s">
        <v>31</v>
      </c>
      <c r="S121" s="22">
        <v>30</v>
      </c>
      <c r="T121" s="22"/>
      <c r="U121" s="22" t="s">
        <v>75</v>
      </c>
      <c r="V121" s="23" t="s">
        <v>94</v>
      </c>
      <c r="W121" s="113"/>
      <c r="X121" s="242">
        <f t="shared" si="8"/>
        <v>0</v>
      </c>
      <c r="Y121" s="139">
        <f t="shared" si="9"/>
        <v>0</v>
      </c>
      <c r="Z121" s="139"/>
      <c r="AA121" s="120" t="s">
        <v>337</v>
      </c>
      <c r="AB121" s="140"/>
      <c r="AC121" s="235"/>
      <c r="AD121" s="236"/>
    </row>
    <row r="122" spans="1:30" x14ac:dyDescent="0.25">
      <c r="A122" s="284"/>
      <c r="B122" s="285"/>
      <c r="C122" s="260"/>
      <c r="D122" s="257"/>
      <c r="E122" s="24" t="s">
        <v>224</v>
      </c>
      <c r="F122" s="25" t="s">
        <v>31</v>
      </c>
      <c r="G122" s="25">
        <v>28</v>
      </c>
      <c r="H122" s="25" t="s">
        <v>106</v>
      </c>
      <c r="I122" s="25" t="s">
        <v>199</v>
      </c>
      <c r="J122" s="26" t="s">
        <v>36</v>
      </c>
      <c r="K122" s="191"/>
      <c r="L122" s="192"/>
      <c r="M122" s="193">
        <v>0.21840000000000001</v>
      </c>
      <c r="N122" s="194"/>
      <c r="O122" s="194">
        <v>0.21</v>
      </c>
      <c r="P122" s="195"/>
      <c r="Q122" s="57" t="s">
        <v>224</v>
      </c>
      <c r="R122" s="33" t="s">
        <v>31</v>
      </c>
      <c r="S122" s="33">
        <v>28</v>
      </c>
      <c r="T122" s="33" t="s">
        <v>106</v>
      </c>
      <c r="U122" s="33" t="s">
        <v>199</v>
      </c>
      <c r="V122" s="34" t="s">
        <v>36</v>
      </c>
      <c r="W122" s="91">
        <v>20</v>
      </c>
      <c r="X122" s="109">
        <f t="shared" si="8"/>
        <v>6.666666666666667</v>
      </c>
      <c r="Y122" s="96">
        <f t="shared" si="9"/>
        <v>0.7142857142857143</v>
      </c>
      <c r="Z122" s="96">
        <f>AA122*$AA$3</f>
        <v>4.2329999999999997</v>
      </c>
      <c r="AA122" s="109">
        <f>1.7*0.83</f>
        <v>1.4109999999999998</v>
      </c>
      <c r="AB122" s="110">
        <f t="shared" ref="AB122:AB124" si="26">Z122/S122</f>
        <v>0.15117857142857141</v>
      </c>
      <c r="AC122" s="222">
        <f t="shared" ref="AC122:AC123" si="27">(Y122-AB122)/AB122</f>
        <v>3.7247814788566038</v>
      </c>
      <c r="AD122" s="212">
        <f>($O$122-AB122)/AB122</f>
        <v>0.38908575478384133</v>
      </c>
    </row>
    <row r="123" spans="1:30" x14ac:dyDescent="0.25">
      <c r="A123" s="284"/>
      <c r="B123" s="285"/>
      <c r="C123" s="260"/>
      <c r="D123" s="257"/>
      <c r="E123" s="24" t="s">
        <v>225</v>
      </c>
      <c r="F123" s="25" t="s">
        <v>31</v>
      </c>
      <c r="G123" s="25">
        <v>28</v>
      </c>
      <c r="H123" s="25" t="s">
        <v>106</v>
      </c>
      <c r="I123" s="25" t="s">
        <v>132</v>
      </c>
      <c r="J123" s="26" t="s">
        <v>41</v>
      </c>
      <c r="K123" s="191"/>
      <c r="L123" s="192"/>
      <c r="M123" s="193">
        <v>0.1</v>
      </c>
      <c r="N123" s="194"/>
      <c r="O123" s="194"/>
      <c r="P123" s="195"/>
      <c r="Q123" s="57" t="s">
        <v>225</v>
      </c>
      <c r="R123" s="33" t="s">
        <v>31</v>
      </c>
      <c r="S123" s="33">
        <v>28</v>
      </c>
      <c r="T123" s="33" t="s">
        <v>106</v>
      </c>
      <c r="U123" s="33" t="s">
        <v>132</v>
      </c>
      <c r="V123" s="34" t="s">
        <v>41</v>
      </c>
      <c r="W123" s="91">
        <v>20.45</v>
      </c>
      <c r="X123" s="109">
        <f t="shared" si="8"/>
        <v>6.8166666666666664</v>
      </c>
      <c r="Y123" s="96">
        <f t="shared" si="9"/>
        <v>0.73035714285714282</v>
      </c>
      <c r="Z123" s="96">
        <f>AA123*$AA$3</f>
        <v>6.6981000000000002</v>
      </c>
      <c r="AA123" s="109">
        <f>2.69*0.83</f>
        <v>2.2326999999999999</v>
      </c>
      <c r="AB123" s="110">
        <f t="shared" si="26"/>
        <v>0.23921785714285715</v>
      </c>
      <c r="AC123" s="222">
        <f t="shared" si="27"/>
        <v>2.0531046117555722</v>
      </c>
      <c r="AD123" s="212">
        <f>($O$122-AB123)/AB123</f>
        <v>-0.12213911407712641</v>
      </c>
    </row>
    <row r="124" spans="1:30" ht="16.5" thickBot="1" x14ac:dyDescent="0.3">
      <c r="A124" s="284"/>
      <c r="B124" s="285"/>
      <c r="C124" s="261"/>
      <c r="D124" s="258"/>
      <c r="E124" s="36" t="s">
        <v>226</v>
      </c>
      <c r="F124" s="37" t="s">
        <v>31</v>
      </c>
      <c r="G124" s="37">
        <v>30</v>
      </c>
      <c r="H124" s="37" t="s">
        <v>108</v>
      </c>
      <c r="I124" s="37" t="s">
        <v>319</v>
      </c>
      <c r="J124" s="58" t="s">
        <v>227</v>
      </c>
      <c r="K124" s="196">
        <v>0.10717999</v>
      </c>
      <c r="L124" s="197"/>
      <c r="M124" s="198"/>
      <c r="N124" s="199"/>
      <c r="O124" s="199"/>
      <c r="P124" s="200"/>
      <c r="Q124" s="62" t="s">
        <v>226</v>
      </c>
      <c r="R124" s="45" t="s">
        <v>31</v>
      </c>
      <c r="S124" s="45">
        <v>30</v>
      </c>
      <c r="T124" s="45" t="s">
        <v>108</v>
      </c>
      <c r="U124" s="45" t="s">
        <v>319</v>
      </c>
      <c r="V124" s="63" t="s">
        <v>227</v>
      </c>
      <c r="W124" s="127"/>
      <c r="X124" s="128">
        <f t="shared" si="8"/>
        <v>0</v>
      </c>
      <c r="Y124" s="133">
        <f t="shared" si="9"/>
        <v>0</v>
      </c>
      <c r="Z124" s="133">
        <f>AA124*$AA$3</f>
        <v>3.5606999999999998</v>
      </c>
      <c r="AA124" s="128">
        <f>1.43*0.83</f>
        <v>1.1868999999999998</v>
      </c>
      <c r="AB124" s="129">
        <f t="shared" si="26"/>
        <v>0.11868999999999999</v>
      </c>
      <c r="AC124" s="227"/>
      <c r="AD124" s="237"/>
    </row>
    <row r="125" spans="1:30" x14ac:dyDescent="0.25">
      <c r="A125" s="284"/>
      <c r="B125" s="285"/>
      <c r="C125" s="259" t="s">
        <v>4</v>
      </c>
      <c r="D125" s="262" t="s">
        <v>27</v>
      </c>
      <c r="E125" s="13" t="s">
        <v>29</v>
      </c>
      <c r="F125" s="14" t="s">
        <v>31</v>
      </c>
      <c r="G125" s="65">
        <v>98</v>
      </c>
      <c r="H125" s="65"/>
      <c r="I125" s="14" t="s">
        <v>34</v>
      </c>
      <c r="J125" s="15" t="s">
        <v>36</v>
      </c>
      <c r="K125" s="16"/>
      <c r="L125" s="17"/>
      <c r="M125" s="18"/>
      <c r="N125" s="19"/>
      <c r="O125" s="19"/>
      <c r="P125" s="20"/>
      <c r="Q125" s="64" t="s">
        <v>29</v>
      </c>
      <c r="R125" s="22" t="s">
        <v>31</v>
      </c>
      <c r="S125" s="66">
        <v>98</v>
      </c>
      <c r="T125" s="66"/>
      <c r="U125" s="22" t="s">
        <v>34</v>
      </c>
      <c r="V125" s="23" t="s">
        <v>36</v>
      </c>
      <c r="W125" s="113"/>
      <c r="X125" s="242">
        <f t="shared" si="8"/>
        <v>0</v>
      </c>
      <c r="Y125" s="139">
        <f t="shared" si="9"/>
        <v>0</v>
      </c>
      <c r="Z125" s="139"/>
      <c r="AA125" s="120" t="s">
        <v>337</v>
      </c>
      <c r="AB125" s="140"/>
      <c r="AC125" s="235"/>
      <c r="AD125" s="236"/>
    </row>
    <row r="126" spans="1:30" x14ac:dyDescent="0.25">
      <c r="A126" s="284"/>
      <c r="B126" s="285"/>
      <c r="C126" s="260"/>
      <c r="D126" s="257"/>
      <c r="E126" s="24" t="s">
        <v>37</v>
      </c>
      <c r="F126" s="25" t="s">
        <v>31</v>
      </c>
      <c r="G126" s="67">
        <v>28</v>
      </c>
      <c r="H126" s="67" t="s">
        <v>106</v>
      </c>
      <c r="I126" s="25" t="s">
        <v>38</v>
      </c>
      <c r="J126" s="26" t="s">
        <v>36</v>
      </c>
      <c r="K126" s="27"/>
      <c r="L126" s="28"/>
      <c r="M126" s="29"/>
      <c r="N126" s="30"/>
      <c r="O126" s="30"/>
      <c r="P126" s="31"/>
      <c r="Q126" s="57" t="s">
        <v>37</v>
      </c>
      <c r="R126" s="33" t="s">
        <v>31</v>
      </c>
      <c r="S126" s="68">
        <v>28</v>
      </c>
      <c r="T126" s="68" t="s">
        <v>106</v>
      </c>
      <c r="U126" s="33" t="s">
        <v>38</v>
      </c>
      <c r="V126" s="34" t="s">
        <v>36</v>
      </c>
      <c r="W126" s="91">
        <v>12.3</v>
      </c>
      <c r="X126" s="109">
        <f t="shared" si="8"/>
        <v>4.1000000000000005</v>
      </c>
      <c r="Y126" s="96">
        <f t="shared" si="9"/>
        <v>0.43928571428571433</v>
      </c>
      <c r="Z126" s="96">
        <f>AA126*$AA$3</f>
        <v>8.5158000000000005</v>
      </c>
      <c r="AA126" s="109">
        <f>3.42*0.83</f>
        <v>2.8386</v>
      </c>
      <c r="AB126" s="110">
        <f>Z126/S126</f>
        <v>0.30413571428571429</v>
      </c>
      <c r="AC126" s="222">
        <f t="shared" ref="AC126" si="28">(Y126-AB126)/AB126</f>
        <v>0.44437398717677745</v>
      </c>
      <c r="AD126" s="212">
        <f>($M$127-AB126)/AB126</f>
        <v>-0.77805960684844644</v>
      </c>
    </row>
    <row r="127" spans="1:30" x14ac:dyDescent="0.25">
      <c r="A127" s="284"/>
      <c r="B127" s="285"/>
      <c r="C127" s="260"/>
      <c r="D127" s="257"/>
      <c r="E127" s="24" t="s">
        <v>39</v>
      </c>
      <c r="F127" s="25" t="s">
        <v>31</v>
      </c>
      <c r="G127" s="69">
        <v>84</v>
      </c>
      <c r="H127" s="69" t="s">
        <v>107</v>
      </c>
      <c r="I127" s="25" t="s">
        <v>40</v>
      </c>
      <c r="J127" s="26" t="s">
        <v>41</v>
      </c>
      <c r="K127" s="191"/>
      <c r="L127" s="192"/>
      <c r="M127" s="193">
        <v>6.7500000000000004E-2</v>
      </c>
      <c r="N127" s="194"/>
      <c r="O127" s="194"/>
      <c r="P127" s="195"/>
      <c r="Q127" s="57" t="s">
        <v>39</v>
      </c>
      <c r="R127" s="33" t="s">
        <v>31</v>
      </c>
      <c r="S127" s="70">
        <v>84</v>
      </c>
      <c r="T127" s="70" t="s">
        <v>107</v>
      </c>
      <c r="U127" s="33" t="s">
        <v>40</v>
      </c>
      <c r="V127" s="34" t="s">
        <v>41</v>
      </c>
      <c r="W127" s="108"/>
      <c r="X127" s="240">
        <f t="shared" si="8"/>
        <v>0</v>
      </c>
      <c r="Y127" s="115">
        <f t="shared" si="9"/>
        <v>0</v>
      </c>
      <c r="Z127" s="115"/>
      <c r="AA127" s="102" t="s">
        <v>337</v>
      </c>
      <c r="AB127" s="122"/>
      <c r="AC127" s="229"/>
      <c r="AD127" s="230"/>
    </row>
    <row r="128" spans="1:30" x14ac:dyDescent="0.25">
      <c r="A128" s="284"/>
      <c r="B128" s="285"/>
      <c r="C128" s="260"/>
      <c r="D128" s="257"/>
      <c r="E128" s="24" t="s">
        <v>39</v>
      </c>
      <c r="F128" s="25" t="s">
        <v>31</v>
      </c>
      <c r="G128" s="69">
        <v>28</v>
      </c>
      <c r="H128" s="69"/>
      <c r="I128" s="25" t="s">
        <v>40</v>
      </c>
      <c r="J128" s="26" t="s">
        <v>41</v>
      </c>
      <c r="K128" s="27"/>
      <c r="L128" s="28"/>
      <c r="M128" s="29"/>
      <c r="N128" s="30"/>
      <c r="O128" s="30"/>
      <c r="P128" s="31"/>
      <c r="Q128" s="57" t="s">
        <v>39</v>
      </c>
      <c r="R128" s="33" t="s">
        <v>31</v>
      </c>
      <c r="S128" s="70">
        <v>28</v>
      </c>
      <c r="T128" s="70"/>
      <c r="U128" s="33" t="s">
        <v>40</v>
      </c>
      <c r="V128" s="34" t="s">
        <v>41</v>
      </c>
      <c r="W128" s="91">
        <v>6</v>
      </c>
      <c r="X128" s="109">
        <f t="shared" si="8"/>
        <v>2</v>
      </c>
      <c r="Y128" s="96">
        <f t="shared" si="9"/>
        <v>0.21428571428571427</v>
      </c>
      <c r="Z128" s="96">
        <f>AA128*$AA$3</f>
        <v>3.4859999999999998</v>
      </c>
      <c r="AA128" s="109">
        <f>1.4*0.83</f>
        <v>1.1619999999999999</v>
      </c>
      <c r="AB128" s="110">
        <f t="shared" ref="AB128:AB129" si="29">Z128/S128</f>
        <v>0.12449999999999999</v>
      </c>
      <c r="AC128" s="222">
        <f t="shared" ref="AC128:AC129" si="30">(Y128-AB128)/AB128</f>
        <v>0.72117039586919118</v>
      </c>
      <c r="AD128" s="212">
        <f t="shared" ref="AD128:AD129" si="31">($M$127-AB128)/AB128</f>
        <v>-0.45783132530120474</v>
      </c>
    </row>
    <row r="129" spans="1:30" x14ac:dyDescent="0.25">
      <c r="A129" s="284"/>
      <c r="B129" s="285"/>
      <c r="C129" s="260"/>
      <c r="D129" s="257"/>
      <c r="E129" s="24" t="s">
        <v>42</v>
      </c>
      <c r="F129" s="25" t="s">
        <v>31</v>
      </c>
      <c r="G129" s="69">
        <v>30</v>
      </c>
      <c r="H129" s="69" t="s">
        <v>108</v>
      </c>
      <c r="I129" s="25" t="s">
        <v>43</v>
      </c>
      <c r="J129" s="26" t="s">
        <v>44</v>
      </c>
      <c r="K129" s="27"/>
      <c r="L129" s="28"/>
      <c r="M129" s="29"/>
      <c r="N129" s="30"/>
      <c r="O129" s="30"/>
      <c r="P129" s="31"/>
      <c r="Q129" s="57" t="s">
        <v>42</v>
      </c>
      <c r="R129" s="33" t="s">
        <v>31</v>
      </c>
      <c r="S129" s="70">
        <v>30</v>
      </c>
      <c r="T129" s="70" t="s">
        <v>108</v>
      </c>
      <c r="U129" s="33" t="s">
        <v>43</v>
      </c>
      <c r="V129" s="34" t="s">
        <v>44</v>
      </c>
      <c r="W129" s="91">
        <v>10.28</v>
      </c>
      <c r="X129" s="109">
        <f t="shared" si="8"/>
        <v>3.4266666666666663</v>
      </c>
      <c r="Y129" s="96">
        <f t="shared" si="9"/>
        <v>0.34266666666666662</v>
      </c>
      <c r="Z129" s="96">
        <f>AA129*$AA$3</f>
        <v>3.3864000000000001</v>
      </c>
      <c r="AA129" s="109">
        <f>1.36*0.83</f>
        <v>1.1288</v>
      </c>
      <c r="AB129" s="110">
        <f t="shared" si="29"/>
        <v>0.11288000000000001</v>
      </c>
      <c r="AC129" s="222">
        <f t="shared" si="30"/>
        <v>2.0356721001653666</v>
      </c>
      <c r="AD129" s="212">
        <f t="shared" si="31"/>
        <v>-0.4020198440822112</v>
      </c>
    </row>
    <row r="130" spans="1:30" x14ac:dyDescent="0.25">
      <c r="A130" s="284"/>
      <c r="B130" s="285"/>
      <c r="C130" s="260"/>
      <c r="D130" s="257"/>
      <c r="E130" s="24" t="s">
        <v>45</v>
      </c>
      <c r="F130" s="25" t="s">
        <v>31</v>
      </c>
      <c r="G130" s="69">
        <v>30</v>
      </c>
      <c r="H130" s="69" t="s">
        <v>108</v>
      </c>
      <c r="I130" s="25" t="s">
        <v>46</v>
      </c>
      <c r="J130" s="26" t="s">
        <v>47</v>
      </c>
      <c r="K130" s="27"/>
      <c r="L130" s="28"/>
      <c r="M130" s="29"/>
      <c r="N130" s="30"/>
      <c r="O130" s="30"/>
      <c r="P130" s="31"/>
      <c r="Q130" s="24"/>
      <c r="R130" s="25"/>
      <c r="S130" s="69"/>
      <c r="T130" s="69"/>
      <c r="U130" s="25"/>
      <c r="V130" s="26"/>
      <c r="W130" s="88"/>
      <c r="X130" s="101"/>
      <c r="Y130" s="97"/>
      <c r="Z130" s="97"/>
      <c r="AA130" s="101"/>
      <c r="AB130" s="106"/>
      <c r="AC130" s="99"/>
      <c r="AD130" s="85"/>
    </row>
    <row r="131" spans="1:30" ht="16.5" thickBot="1" x14ac:dyDescent="0.3">
      <c r="A131" s="284"/>
      <c r="B131" s="285"/>
      <c r="C131" s="261"/>
      <c r="D131" s="258"/>
      <c r="E131" s="36" t="s">
        <v>48</v>
      </c>
      <c r="F131" s="37" t="s">
        <v>31</v>
      </c>
      <c r="G131" s="71">
        <v>30</v>
      </c>
      <c r="H131" s="71" t="s">
        <v>108</v>
      </c>
      <c r="I131" s="37" t="s">
        <v>49</v>
      </c>
      <c r="J131" s="58" t="s">
        <v>50</v>
      </c>
      <c r="K131" s="39"/>
      <c r="L131" s="40"/>
      <c r="M131" s="41"/>
      <c r="N131" s="42"/>
      <c r="O131" s="42"/>
      <c r="P131" s="43"/>
      <c r="Q131" s="62" t="s">
        <v>48</v>
      </c>
      <c r="R131" s="45" t="s">
        <v>31</v>
      </c>
      <c r="S131" s="72">
        <v>30</v>
      </c>
      <c r="T131" s="72" t="s">
        <v>108</v>
      </c>
      <c r="U131" s="45" t="s">
        <v>49</v>
      </c>
      <c r="V131" s="63" t="s">
        <v>50</v>
      </c>
      <c r="W131" s="127">
        <v>26.4</v>
      </c>
      <c r="X131" s="128">
        <f t="shared" si="8"/>
        <v>8.7999999999999989</v>
      </c>
      <c r="Y131" s="133">
        <f t="shared" si="9"/>
        <v>0.88</v>
      </c>
      <c r="Z131" s="133">
        <f>AA131*$AA$3</f>
        <v>6.2249999999999996</v>
      </c>
      <c r="AA131" s="128">
        <f>2.5*0.83</f>
        <v>2.0749999999999997</v>
      </c>
      <c r="AB131" s="129">
        <f>Z131/S131</f>
        <v>0.20749999999999999</v>
      </c>
      <c r="AC131" s="249">
        <f t="shared" ref="AC131:AC133" si="32">(Y131-AB131)/AB131</f>
        <v>3.2409638554216866</v>
      </c>
      <c r="AD131" s="226">
        <f>($M$127-AB131)/AB131</f>
        <v>-0.67469879518072284</v>
      </c>
    </row>
    <row r="132" spans="1:30" x14ac:dyDescent="0.25">
      <c r="A132" s="284"/>
      <c r="B132" s="285"/>
      <c r="C132" s="259" t="s">
        <v>9</v>
      </c>
      <c r="D132" s="263" t="s">
        <v>236</v>
      </c>
      <c r="E132" s="13" t="s">
        <v>228</v>
      </c>
      <c r="F132" s="14" t="s">
        <v>105</v>
      </c>
      <c r="G132" s="14">
        <v>30</v>
      </c>
      <c r="H132" s="14" t="s">
        <v>108</v>
      </c>
      <c r="I132" s="14" t="s">
        <v>86</v>
      </c>
      <c r="J132" s="15" t="s">
        <v>101</v>
      </c>
      <c r="K132" s="201"/>
      <c r="L132" s="202"/>
      <c r="M132" s="203">
        <v>0.316</v>
      </c>
      <c r="N132" s="204"/>
      <c r="O132" s="204"/>
      <c r="P132" s="205"/>
      <c r="Q132" s="64" t="s">
        <v>228</v>
      </c>
      <c r="R132" s="22" t="s">
        <v>105</v>
      </c>
      <c r="S132" s="22">
        <v>30</v>
      </c>
      <c r="T132" s="22" t="s">
        <v>108</v>
      </c>
      <c r="U132" s="22" t="s">
        <v>86</v>
      </c>
      <c r="V132" s="23" t="s">
        <v>101</v>
      </c>
      <c r="W132" s="90">
        <v>18</v>
      </c>
      <c r="X132" s="111">
        <f t="shared" si="8"/>
        <v>6</v>
      </c>
      <c r="Y132" s="132">
        <f t="shared" si="9"/>
        <v>0.6</v>
      </c>
      <c r="Z132" s="132"/>
      <c r="AA132" s="141" t="s">
        <v>338</v>
      </c>
      <c r="AB132" s="112">
        <f t="shared" ref="AB132:AB178" si="33">Z132/S132</f>
        <v>0</v>
      </c>
      <c r="AC132" s="250" t="e">
        <f t="shared" si="32"/>
        <v>#DIV/0!</v>
      </c>
      <c r="AD132" s="211" t="e">
        <f>($M$132-AB132)/AB132</f>
        <v>#DIV/0!</v>
      </c>
    </row>
    <row r="133" spans="1:30" x14ac:dyDescent="0.25">
      <c r="A133" s="284"/>
      <c r="B133" s="285"/>
      <c r="C133" s="260"/>
      <c r="D133" s="264"/>
      <c r="E133" s="24" t="s">
        <v>229</v>
      </c>
      <c r="F133" s="25" t="s">
        <v>105</v>
      </c>
      <c r="G133" s="25">
        <v>30</v>
      </c>
      <c r="H133" s="25" t="s">
        <v>108</v>
      </c>
      <c r="I133" s="25" t="s">
        <v>230</v>
      </c>
      <c r="J133" s="26" t="s">
        <v>41</v>
      </c>
      <c r="K133" s="27"/>
      <c r="L133" s="28"/>
      <c r="M133" s="29"/>
      <c r="N133" s="30"/>
      <c r="O133" s="30"/>
      <c r="P133" s="31"/>
      <c r="Q133" s="57" t="s">
        <v>229</v>
      </c>
      <c r="R133" s="33" t="s">
        <v>105</v>
      </c>
      <c r="S133" s="33">
        <v>30</v>
      </c>
      <c r="T133" s="33" t="s">
        <v>108</v>
      </c>
      <c r="U133" s="33" t="s">
        <v>230</v>
      </c>
      <c r="V133" s="34" t="s">
        <v>41</v>
      </c>
      <c r="W133" s="91">
        <v>19</v>
      </c>
      <c r="X133" s="109">
        <f t="shared" si="8"/>
        <v>6.333333333333333</v>
      </c>
      <c r="Y133" s="96">
        <f t="shared" si="9"/>
        <v>0.6333333333333333</v>
      </c>
      <c r="Z133" s="96">
        <f>AA133*$AA$3</f>
        <v>7.0466999999999995</v>
      </c>
      <c r="AA133" s="109">
        <f>2.83*0.83</f>
        <v>2.3489</v>
      </c>
      <c r="AB133" s="110">
        <f t="shared" si="33"/>
        <v>0.23488999999999999</v>
      </c>
      <c r="AC133" s="222">
        <f t="shared" si="32"/>
        <v>1.6962975577220543</v>
      </c>
      <c r="AD133" s="212">
        <f>($M$132-AB133)/AB133</f>
        <v>0.34531057090553036</v>
      </c>
    </row>
    <row r="134" spans="1:30" x14ac:dyDescent="0.25">
      <c r="A134" s="284"/>
      <c r="B134" s="285"/>
      <c r="C134" s="260"/>
      <c r="D134" s="264"/>
      <c r="E134" s="24" t="s">
        <v>231</v>
      </c>
      <c r="F134" s="25" t="s">
        <v>105</v>
      </c>
      <c r="G134" s="25">
        <v>10</v>
      </c>
      <c r="H134" s="25"/>
      <c r="I134" s="25" t="s">
        <v>232</v>
      </c>
      <c r="J134" s="26" t="s">
        <v>97</v>
      </c>
      <c r="K134" s="27"/>
      <c r="L134" s="28"/>
      <c r="M134" s="29"/>
      <c r="N134" s="30"/>
      <c r="O134" s="30"/>
      <c r="P134" s="31"/>
      <c r="Q134" s="24"/>
      <c r="R134" s="25"/>
      <c r="S134" s="25"/>
      <c r="T134" s="25"/>
      <c r="U134" s="25"/>
      <c r="V134" s="26"/>
      <c r="W134" s="88"/>
      <c r="X134" s="101"/>
      <c r="Y134" s="97"/>
      <c r="Z134" s="97"/>
      <c r="AA134" s="101"/>
      <c r="AB134" s="107"/>
      <c r="AC134" s="85"/>
      <c r="AD134" s="85"/>
    </row>
    <row r="135" spans="1:30" ht="16.5" thickBot="1" x14ac:dyDescent="0.3">
      <c r="A135" s="284"/>
      <c r="B135" s="285"/>
      <c r="C135" s="260"/>
      <c r="D135" s="265"/>
      <c r="E135" s="36" t="s">
        <v>233</v>
      </c>
      <c r="F135" s="37" t="s">
        <v>105</v>
      </c>
      <c r="G135" s="37">
        <v>30</v>
      </c>
      <c r="H135" s="37"/>
      <c r="I135" s="37" t="s">
        <v>234</v>
      </c>
      <c r="J135" s="58" t="s">
        <v>235</v>
      </c>
      <c r="K135" s="39"/>
      <c r="L135" s="40"/>
      <c r="M135" s="41"/>
      <c r="N135" s="42"/>
      <c r="O135" s="42"/>
      <c r="P135" s="43"/>
      <c r="Q135" s="62" t="s">
        <v>233</v>
      </c>
      <c r="R135" s="45" t="s">
        <v>105</v>
      </c>
      <c r="S135" s="45">
        <v>30</v>
      </c>
      <c r="T135" s="45"/>
      <c r="U135" s="45" t="s">
        <v>234</v>
      </c>
      <c r="V135" s="63" t="s">
        <v>235</v>
      </c>
      <c r="W135" s="127">
        <v>27.2</v>
      </c>
      <c r="X135" s="128">
        <f t="shared" ref="X135:X178" si="34">W135/$AA$3</f>
        <v>9.0666666666666664</v>
      </c>
      <c r="Y135" s="133">
        <f t="shared" ref="Y135:Y178" si="35">W135/S135</f>
        <v>0.90666666666666662</v>
      </c>
      <c r="Z135" s="133">
        <f t="shared" ref="Z135:Z178" si="36">AA135*$AA$3</f>
        <v>20.069400000000002</v>
      </c>
      <c r="AA135" s="128">
        <f>8.06*0.83</f>
        <v>6.6898</v>
      </c>
      <c r="AB135" s="129">
        <f t="shared" si="33"/>
        <v>0.66898000000000002</v>
      </c>
      <c r="AC135" s="251">
        <f t="shared" ref="AC135" si="37">(Y135-AB135)/AB135</f>
        <v>0.35529711899708</v>
      </c>
      <c r="AD135" s="252">
        <f>($M$132-AB135)/AB135</f>
        <v>-0.52763909234954709</v>
      </c>
    </row>
    <row r="136" spans="1:30" ht="16.149999999999999" customHeight="1" x14ac:dyDescent="0.25">
      <c r="A136" s="284"/>
      <c r="B136" s="285"/>
      <c r="C136" s="260"/>
      <c r="D136" s="266" t="s">
        <v>241</v>
      </c>
      <c r="E136" s="46" t="s">
        <v>228</v>
      </c>
      <c r="F136" s="47" t="s">
        <v>105</v>
      </c>
      <c r="G136" s="47">
        <v>30</v>
      </c>
      <c r="H136" s="47" t="s">
        <v>108</v>
      </c>
      <c r="I136" s="47" t="s">
        <v>86</v>
      </c>
      <c r="J136" s="48" t="s">
        <v>101</v>
      </c>
      <c r="K136" s="206"/>
      <c r="L136" s="207"/>
      <c r="M136" s="208">
        <v>0.38</v>
      </c>
      <c r="N136" s="209"/>
      <c r="O136" s="209"/>
      <c r="P136" s="210"/>
      <c r="Q136" s="54" t="s">
        <v>228</v>
      </c>
      <c r="R136" s="55" t="s">
        <v>105</v>
      </c>
      <c r="S136" s="55">
        <v>30</v>
      </c>
      <c r="T136" s="55" t="s">
        <v>108</v>
      </c>
      <c r="U136" s="55" t="s">
        <v>86</v>
      </c>
      <c r="V136" s="56" t="s">
        <v>101</v>
      </c>
      <c r="W136" s="90">
        <v>28.5</v>
      </c>
      <c r="X136" s="111">
        <f t="shared" si="34"/>
        <v>9.5</v>
      </c>
      <c r="Y136" s="132">
        <f t="shared" si="35"/>
        <v>0.95</v>
      </c>
      <c r="Z136" s="132"/>
      <c r="AA136" s="141" t="s">
        <v>338</v>
      </c>
      <c r="AB136" s="112">
        <f t="shared" si="33"/>
        <v>0</v>
      </c>
      <c r="AC136" s="250" t="e">
        <f t="shared" ref="AC136:AC137" si="38">(Y136-AB136)/AB136</f>
        <v>#DIV/0!</v>
      </c>
      <c r="AD136" s="211" t="e">
        <f>($M$136-AB136)/AB136</f>
        <v>#DIV/0!</v>
      </c>
    </row>
    <row r="137" spans="1:30" x14ac:dyDescent="0.25">
      <c r="A137" s="284"/>
      <c r="B137" s="285"/>
      <c r="C137" s="260"/>
      <c r="D137" s="264"/>
      <c r="E137" s="24" t="s">
        <v>229</v>
      </c>
      <c r="F137" s="25" t="s">
        <v>105</v>
      </c>
      <c r="G137" s="25">
        <v>30</v>
      </c>
      <c r="H137" s="25" t="s">
        <v>108</v>
      </c>
      <c r="I137" s="25" t="s">
        <v>230</v>
      </c>
      <c r="J137" s="26" t="s">
        <v>41</v>
      </c>
      <c r="K137" s="27"/>
      <c r="L137" s="28"/>
      <c r="M137" s="29"/>
      <c r="N137" s="30"/>
      <c r="O137" s="30"/>
      <c r="P137" s="31"/>
      <c r="Q137" s="57" t="s">
        <v>229</v>
      </c>
      <c r="R137" s="33" t="s">
        <v>105</v>
      </c>
      <c r="S137" s="33">
        <v>30</v>
      </c>
      <c r="T137" s="33" t="s">
        <v>108</v>
      </c>
      <c r="U137" s="33" t="s">
        <v>230</v>
      </c>
      <c r="V137" s="34" t="s">
        <v>41</v>
      </c>
      <c r="W137" s="91">
        <v>26</v>
      </c>
      <c r="X137" s="109">
        <f t="shared" si="34"/>
        <v>8.6666666666666661</v>
      </c>
      <c r="Y137" s="96">
        <f t="shared" si="35"/>
        <v>0.8666666666666667</v>
      </c>
      <c r="Z137" s="96">
        <f t="shared" si="36"/>
        <v>10.7568</v>
      </c>
      <c r="AA137" s="109">
        <f>4.32*0.83</f>
        <v>3.5855999999999999</v>
      </c>
      <c r="AB137" s="110">
        <f t="shared" si="33"/>
        <v>0.35855999999999999</v>
      </c>
      <c r="AC137" s="222">
        <f t="shared" si="38"/>
        <v>1.4170757102484011</v>
      </c>
      <c r="AD137" s="212">
        <f>($M$136-AB137)/AB137</f>
        <v>5.9794734493529719E-2</v>
      </c>
    </row>
    <row r="138" spans="1:30" x14ac:dyDescent="0.25">
      <c r="A138" s="284"/>
      <c r="B138" s="285"/>
      <c r="C138" s="260"/>
      <c r="D138" s="264"/>
      <c r="E138" s="24" t="s">
        <v>237</v>
      </c>
      <c r="F138" s="25" t="s">
        <v>105</v>
      </c>
      <c r="G138" s="25">
        <v>30</v>
      </c>
      <c r="H138" s="25" t="s">
        <v>108</v>
      </c>
      <c r="I138" s="25" t="s">
        <v>238</v>
      </c>
      <c r="J138" s="26" t="s">
        <v>99</v>
      </c>
      <c r="K138" s="27"/>
      <c r="L138" s="28"/>
      <c r="M138" s="29"/>
      <c r="N138" s="30"/>
      <c r="O138" s="30"/>
      <c r="P138" s="31"/>
      <c r="Q138" s="24"/>
      <c r="R138" s="25"/>
      <c r="S138" s="25"/>
      <c r="T138" s="25"/>
      <c r="U138" s="25"/>
      <c r="V138" s="26"/>
      <c r="W138" s="88"/>
      <c r="X138" s="101"/>
      <c r="Y138" s="97"/>
      <c r="Z138" s="97"/>
      <c r="AA138" s="101"/>
      <c r="AB138" s="107"/>
      <c r="AC138" s="85"/>
      <c r="AD138" s="85"/>
    </row>
    <row r="139" spans="1:30" x14ac:dyDescent="0.25">
      <c r="A139" s="284"/>
      <c r="B139" s="285"/>
      <c r="C139" s="260"/>
      <c r="D139" s="264"/>
      <c r="E139" s="24" t="s">
        <v>239</v>
      </c>
      <c r="F139" s="25" t="s">
        <v>105</v>
      </c>
      <c r="G139" s="25">
        <v>10</v>
      </c>
      <c r="H139" s="25"/>
      <c r="I139" s="25" t="s">
        <v>232</v>
      </c>
      <c r="J139" s="26" t="s">
        <v>97</v>
      </c>
      <c r="K139" s="27"/>
      <c r="L139" s="28"/>
      <c r="M139" s="29"/>
      <c r="N139" s="30"/>
      <c r="O139" s="30"/>
      <c r="P139" s="31"/>
      <c r="Q139" s="24"/>
      <c r="R139" s="25"/>
      <c r="S139" s="25"/>
      <c r="T139" s="25"/>
      <c r="U139" s="25"/>
      <c r="V139" s="26"/>
      <c r="W139" s="88"/>
      <c r="X139" s="101"/>
      <c r="Y139" s="97"/>
      <c r="Z139" s="97"/>
      <c r="AA139" s="101"/>
      <c r="AB139" s="107"/>
      <c r="AC139" s="85"/>
      <c r="AD139" s="85"/>
    </row>
    <row r="140" spans="1:30" ht="16.5" thickBot="1" x14ac:dyDescent="0.3">
      <c r="A140" s="286"/>
      <c r="B140" s="287"/>
      <c r="C140" s="261"/>
      <c r="D140" s="265"/>
      <c r="E140" s="36" t="s">
        <v>240</v>
      </c>
      <c r="F140" s="37" t="s">
        <v>105</v>
      </c>
      <c r="G140" s="37">
        <v>30</v>
      </c>
      <c r="H140" s="37"/>
      <c r="I140" s="37" t="s">
        <v>234</v>
      </c>
      <c r="J140" s="58" t="s">
        <v>235</v>
      </c>
      <c r="K140" s="39"/>
      <c r="L140" s="40"/>
      <c r="M140" s="41"/>
      <c r="N140" s="42"/>
      <c r="O140" s="42"/>
      <c r="P140" s="43"/>
      <c r="Q140" s="62" t="s">
        <v>240</v>
      </c>
      <c r="R140" s="45" t="s">
        <v>105</v>
      </c>
      <c r="S140" s="45">
        <v>30</v>
      </c>
      <c r="T140" s="45"/>
      <c r="U140" s="45" t="s">
        <v>234</v>
      </c>
      <c r="V140" s="63" t="s">
        <v>235</v>
      </c>
      <c r="W140" s="127">
        <v>36</v>
      </c>
      <c r="X140" s="128">
        <f t="shared" si="34"/>
        <v>12</v>
      </c>
      <c r="Y140" s="133">
        <f t="shared" si="35"/>
        <v>1.2</v>
      </c>
      <c r="Z140" s="133">
        <f t="shared" si="36"/>
        <v>26.493600000000001</v>
      </c>
      <c r="AA140" s="128">
        <f>10.64*0.83</f>
        <v>8.8312000000000008</v>
      </c>
      <c r="AB140" s="129">
        <f t="shared" si="33"/>
        <v>0.88312000000000002</v>
      </c>
      <c r="AC140" s="251">
        <f t="shared" ref="AC140" si="39">(Y140-AB140)/AB140</f>
        <v>0.35881873358094024</v>
      </c>
      <c r="AD140" s="252">
        <f>($M$136-AB140)/AB140</f>
        <v>-0.56970740103270223</v>
      </c>
    </row>
    <row r="141" spans="1:30" x14ac:dyDescent="0.25">
      <c r="A141" s="288" t="s">
        <v>18</v>
      </c>
      <c r="B141" s="289"/>
      <c r="C141" s="259" t="s">
        <v>15</v>
      </c>
      <c r="D141" s="262" t="s">
        <v>16</v>
      </c>
      <c r="E141" s="13" t="s">
        <v>242</v>
      </c>
      <c r="F141" s="14" t="s">
        <v>105</v>
      </c>
      <c r="G141" s="14">
        <v>30</v>
      </c>
      <c r="H141" s="14"/>
      <c r="I141" s="14" t="s">
        <v>243</v>
      </c>
      <c r="J141" s="15" t="s">
        <v>47</v>
      </c>
      <c r="K141" s="16"/>
      <c r="L141" s="17"/>
      <c r="M141" s="18"/>
      <c r="N141" s="19"/>
      <c r="O141" s="19"/>
      <c r="P141" s="20"/>
      <c r="Q141" s="13"/>
      <c r="R141" s="14"/>
      <c r="S141" s="14"/>
      <c r="T141" s="14"/>
      <c r="U141" s="14"/>
      <c r="V141" s="15"/>
      <c r="W141" s="87"/>
      <c r="X141" s="103"/>
      <c r="Y141" s="130"/>
      <c r="Z141" s="130"/>
      <c r="AA141" s="103"/>
      <c r="AB141" s="104"/>
      <c r="AC141" s="98"/>
      <c r="AD141" s="84"/>
    </row>
    <row r="142" spans="1:30" x14ac:dyDescent="0.25">
      <c r="A142" s="290"/>
      <c r="B142" s="291"/>
      <c r="C142" s="260"/>
      <c r="D142" s="257"/>
      <c r="E142" s="24" t="s">
        <v>242</v>
      </c>
      <c r="F142" s="25" t="s">
        <v>105</v>
      </c>
      <c r="G142" s="25">
        <v>60</v>
      </c>
      <c r="H142" s="25"/>
      <c r="I142" s="25" t="s">
        <v>243</v>
      </c>
      <c r="J142" s="26" t="s">
        <v>47</v>
      </c>
      <c r="K142" s="27"/>
      <c r="L142" s="28"/>
      <c r="M142" s="29"/>
      <c r="N142" s="30"/>
      <c r="O142" s="30"/>
      <c r="P142" s="31"/>
      <c r="Q142" s="24"/>
      <c r="R142" s="25"/>
      <c r="S142" s="25"/>
      <c r="T142" s="25"/>
      <c r="U142" s="25"/>
      <c r="V142" s="26"/>
      <c r="W142" s="88"/>
      <c r="X142" s="101"/>
      <c r="Y142" s="97"/>
      <c r="Z142" s="97"/>
      <c r="AA142" s="101"/>
      <c r="AB142" s="107"/>
      <c r="AC142" s="99"/>
      <c r="AD142" s="85"/>
    </row>
    <row r="143" spans="1:30" x14ac:dyDescent="0.25">
      <c r="A143" s="290"/>
      <c r="B143" s="291"/>
      <c r="C143" s="260"/>
      <c r="D143" s="257"/>
      <c r="E143" s="24" t="s">
        <v>244</v>
      </c>
      <c r="F143" s="25" t="s">
        <v>105</v>
      </c>
      <c r="G143" s="25">
        <v>30</v>
      </c>
      <c r="H143" s="25" t="s">
        <v>108</v>
      </c>
      <c r="I143" s="25" t="s">
        <v>245</v>
      </c>
      <c r="J143" s="26" t="s">
        <v>97</v>
      </c>
      <c r="K143" s="27"/>
      <c r="L143" s="28"/>
      <c r="M143" s="29"/>
      <c r="N143" s="30"/>
      <c r="O143" s="30"/>
      <c r="P143" s="31"/>
      <c r="Q143" s="24"/>
      <c r="R143" s="25"/>
      <c r="S143" s="25"/>
      <c r="T143" s="25"/>
      <c r="U143" s="25"/>
      <c r="V143" s="26"/>
      <c r="W143" s="88"/>
      <c r="X143" s="101"/>
      <c r="Y143" s="97"/>
      <c r="Z143" s="97"/>
      <c r="AA143" s="101"/>
      <c r="AB143" s="107"/>
      <c r="AC143" s="99"/>
      <c r="AD143" s="85"/>
    </row>
    <row r="144" spans="1:30" x14ac:dyDescent="0.25">
      <c r="A144" s="290"/>
      <c r="B144" s="291"/>
      <c r="C144" s="260"/>
      <c r="D144" s="257"/>
      <c r="E144" s="24" t="s">
        <v>246</v>
      </c>
      <c r="F144" s="25" t="s">
        <v>105</v>
      </c>
      <c r="G144" s="25">
        <v>30</v>
      </c>
      <c r="H144" s="25" t="s">
        <v>135</v>
      </c>
      <c r="I144" s="25" t="s">
        <v>247</v>
      </c>
      <c r="J144" s="26" t="s">
        <v>248</v>
      </c>
      <c r="K144" s="191">
        <v>0.22</v>
      </c>
      <c r="L144" s="192"/>
      <c r="M144" s="193">
        <v>0.14000000000000001</v>
      </c>
      <c r="N144" s="194"/>
      <c r="O144" s="194"/>
      <c r="P144" s="195"/>
      <c r="Q144" s="57" t="s">
        <v>246</v>
      </c>
      <c r="R144" s="33" t="s">
        <v>105</v>
      </c>
      <c r="S144" s="33">
        <v>30</v>
      </c>
      <c r="T144" s="33" t="s">
        <v>135</v>
      </c>
      <c r="U144" s="33" t="s">
        <v>247</v>
      </c>
      <c r="V144" s="34" t="s">
        <v>248</v>
      </c>
      <c r="W144" s="91">
        <v>8</v>
      </c>
      <c r="X144" s="109">
        <f t="shared" si="34"/>
        <v>2.6666666666666665</v>
      </c>
      <c r="Y144" s="96">
        <f t="shared" si="35"/>
        <v>0.26666666666666666</v>
      </c>
      <c r="Z144" s="96">
        <f t="shared" si="36"/>
        <v>5.3036999999999992</v>
      </c>
      <c r="AA144" s="109">
        <f>2.13*0.83</f>
        <v>1.7678999999999998</v>
      </c>
      <c r="AB144" s="110">
        <f t="shared" si="33"/>
        <v>0.17678999999999997</v>
      </c>
      <c r="AC144" s="222">
        <f t="shared" ref="AC144:AC145" si="40">(Y144-AB144)/AB144</f>
        <v>0.50838094160680303</v>
      </c>
      <c r="AD144" s="212">
        <f>($O$145-AB144)/AB144</f>
        <v>-0.1062842920979692</v>
      </c>
    </row>
    <row r="145" spans="1:30" x14ac:dyDescent="0.25">
      <c r="A145" s="290"/>
      <c r="B145" s="291"/>
      <c r="C145" s="260"/>
      <c r="D145" s="257"/>
      <c r="E145" s="24" t="s">
        <v>249</v>
      </c>
      <c r="F145" s="25" t="s">
        <v>105</v>
      </c>
      <c r="G145" s="25">
        <v>100</v>
      </c>
      <c r="H145" s="25"/>
      <c r="I145" s="25" t="s">
        <v>250</v>
      </c>
      <c r="J145" s="26" t="s">
        <v>93</v>
      </c>
      <c r="K145" s="191"/>
      <c r="L145" s="192"/>
      <c r="M145" s="193">
        <v>0.1119</v>
      </c>
      <c r="N145" s="194"/>
      <c r="O145" s="194">
        <v>0.158</v>
      </c>
      <c r="P145" s="195"/>
      <c r="Q145" s="57" t="s">
        <v>249</v>
      </c>
      <c r="R145" s="33" t="s">
        <v>105</v>
      </c>
      <c r="S145" s="33">
        <v>100</v>
      </c>
      <c r="T145" s="33"/>
      <c r="U145" s="33" t="s">
        <v>250</v>
      </c>
      <c r="V145" s="34" t="s">
        <v>93</v>
      </c>
      <c r="W145" s="91">
        <v>15.2</v>
      </c>
      <c r="X145" s="109">
        <f t="shared" si="34"/>
        <v>5.0666666666666664</v>
      </c>
      <c r="Y145" s="96">
        <f t="shared" si="35"/>
        <v>0.152</v>
      </c>
      <c r="Z145" s="96">
        <f t="shared" si="36"/>
        <v>12.45</v>
      </c>
      <c r="AA145" s="109">
        <f>5*0.83</f>
        <v>4.1499999999999995</v>
      </c>
      <c r="AB145" s="110">
        <f t="shared" si="33"/>
        <v>0.1245</v>
      </c>
      <c r="AC145" s="222">
        <f t="shared" si="40"/>
        <v>0.22088353413654616</v>
      </c>
      <c r="AD145" s="212">
        <f>($O$145-AB145)/AB145</f>
        <v>0.26907630522088355</v>
      </c>
    </row>
    <row r="146" spans="1:30" x14ac:dyDescent="0.25">
      <c r="A146" s="290"/>
      <c r="B146" s="291"/>
      <c r="C146" s="260"/>
      <c r="D146" s="257"/>
      <c r="E146" s="24" t="s">
        <v>251</v>
      </c>
      <c r="F146" s="25" t="s">
        <v>105</v>
      </c>
      <c r="G146" s="25">
        <v>30</v>
      </c>
      <c r="H146" s="25" t="s">
        <v>108</v>
      </c>
      <c r="I146" s="25" t="s">
        <v>255</v>
      </c>
      <c r="J146" s="26" t="s">
        <v>101</v>
      </c>
      <c r="K146" s="27"/>
      <c r="L146" s="28"/>
      <c r="M146" s="29"/>
      <c r="N146" s="30"/>
      <c r="O146" s="30"/>
      <c r="P146" s="31"/>
      <c r="Q146" s="24"/>
      <c r="R146" s="25"/>
      <c r="S146" s="25"/>
      <c r="T146" s="25"/>
      <c r="U146" s="25"/>
      <c r="V146" s="26"/>
      <c r="W146" s="88"/>
      <c r="X146" s="101"/>
      <c r="Y146" s="97"/>
      <c r="Z146" s="97"/>
      <c r="AA146" s="101"/>
      <c r="AB146" s="107"/>
      <c r="AC146" s="99"/>
      <c r="AD146" s="85"/>
    </row>
    <row r="147" spans="1:30" x14ac:dyDescent="0.25">
      <c r="A147" s="290"/>
      <c r="B147" s="291"/>
      <c r="C147" s="260"/>
      <c r="D147" s="257"/>
      <c r="E147" s="24" t="s">
        <v>252</v>
      </c>
      <c r="F147" s="25" t="s">
        <v>105</v>
      </c>
      <c r="G147" s="25">
        <v>30</v>
      </c>
      <c r="H147" s="25" t="s">
        <v>108</v>
      </c>
      <c r="I147" s="25" t="s">
        <v>86</v>
      </c>
      <c r="J147" s="26" t="s">
        <v>101</v>
      </c>
      <c r="K147" s="27"/>
      <c r="L147" s="28"/>
      <c r="M147" s="29"/>
      <c r="N147" s="30"/>
      <c r="O147" s="30"/>
      <c r="P147" s="31"/>
      <c r="Q147" s="24"/>
      <c r="R147" s="25"/>
      <c r="S147" s="25"/>
      <c r="T147" s="25"/>
      <c r="U147" s="25"/>
      <c r="V147" s="26"/>
      <c r="W147" s="88"/>
      <c r="X147" s="101"/>
      <c r="Y147" s="97"/>
      <c r="Z147" s="97"/>
      <c r="AA147" s="101"/>
      <c r="AB147" s="107"/>
      <c r="AC147" s="99"/>
      <c r="AD147" s="85"/>
    </row>
    <row r="148" spans="1:30" x14ac:dyDescent="0.25">
      <c r="A148" s="290"/>
      <c r="B148" s="291"/>
      <c r="C148" s="260"/>
      <c r="D148" s="257"/>
      <c r="E148" s="24" t="s">
        <v>253</v>
      </c>
      <c r="F148" s="25" t="s">
        <v>105</v>
      </c>
      <c r="G148" s="25">
        <v>30</v>
      </c>
      <c r="H148" s="25" t="s">
        <v>108</v>
      </c>
      <c r="I148" s="25" t="s">
        <v>131</v>
      </c>
      <c r="J148" s="26" t="s">
        <v>99</v>
      </c>
      <c r="K148" s="27"/>
      <c r="L148" s="28"/>
      <c r="M148" s="29"/>
      <c r="N148" s="30"/>
      <c r="O148" s="30"/>
      <c r="P148" s="31"/>
      <c r="Q148" s="24"/>
      <c r="R148" s="25"/>
      <c r="S148" s="25"/>
      <c r="T148" s="25"/>
      <c r="U148" s="25"/>
      <c r="V148" s="26"/>
      <c r="W148" s="88"/>
      <c r="X148" s="101"/>
      <c r="Y148" s="97"/>
      <c r="Z148" s="97"/>
      <c r="AA148" s="101"/>
      <c r="AB148" s="107"/>
      <c r="AC148" s="99"/>
      <c r="AD148" s="85"/>
    </row>
    <row r="149" spans="1:30" ht="16.5" thickBot="1" x14ac:dyDescent="0.3">
      <c r="A149" s="292"/>
      <c r="B149" s="293"/>
      <c r="C149" s="261"/>
      <c r="D149" s="258"/>
      <c r="E149" s="36" t="s">
        <v>253</v>
      </c>
      <c r="F149" s="37" t="s">
        <v>105</v>
      </c>
      <c r="G149" s="37">
        <v>60</v>
      </c>
      <c r="H149" s="37" t="s">
        <v>254</v>
      </c>
      <c r="I149" s="37" t="s">
        <v>131</v>
      </c>
      <c r="J149" s="58" t="s">
        <v>99</v>
      </c>
      <c r="K149" s="39"/>
      <c r="L149" s="40"/>
      <c r="M149" s="41"/>
      <c r="N149" s="42"/>
      <c r="O149" s="42"/>
      <c r="P149" s="43"/>
      <c r="Q149" s="36"/>
      <c r="R149" s="37"/>
      <c r="S149" s="37"/>
      <c r="T149" s="37"/>
      <c r="U149" s="37"/>
      <c r="V149" s="58"/>
      <c r="W149" s="135"/>
      <c r="X149" s="137"/>
      <c r="Y149" s="136"/>
      <c r="Z149" s="136"/>
      <c r="AA149" s="137"/>
      <c r="AB149" s="142"/>
      <c r="AC149" s="100"/>
      <c r="AD149" s="86"/>
    </row>
    <row r="150" spans="1:30" x14ac:dyDescent="0.25">
      <c r="A150" s="294" t="s">
        <v>19</v>
      </c>
      <c r="B150" s="295"/>
      <c r="C150" s="267" t="s">
        <v>17</v>
      </c>
      <c r="D150" s="262" t="s">
        <v>265</v>
      </c>
      <c r="E150" s="13" t="s">
        <v>256</v>
      </c>
      <c r="F150" s="14" t="s">
        <v>266</v>
      </c>
      <c r="G150" s="14">
        <v>1</v>
      </c>
      <c r="H150" s="14" t="s">
        <v>267</v>
      </c>
      <c r="I150" s="14" t="s">
        <v>269</v>
      </c>
      <c r="J150" s="15" t="s">
        <v>36</v>
      </c>
      <c r="K150" s="201"/>
      <c r="L150" s="202"/>
      <c r="M150" s="203">
        <v>25.76</v>
      </c>
      <c r="N150" s="204"/>
      <c r="O150" s="204">
        <v>25.92</v>
      </c>
      <c r="P150" s="205"/>
      <c r="Q150" s="22" t="s">
        <v>256</v>
      </c>
      <c r="R150" s="22" t="s">
        <v>266</v>
      </c>
      <c r="S150" s="22">
        <v>1</v>
      </c>
      <c r="T150" s="22" t="s">
        <v>267</v>
      </c>
      <c r="U150" s="22" t="s">
        <v>269</v>
      </c>
      <c r="V150" s="23" t="s">
        <v>36</v>
      </c>
      <c r="W150" s="90"/>
      <c r="X150" s="111">
        <f t="shared" si="34"/>
        <v>0</v>
      </c>
      <c r="Y150" s="132">
        <f t="shared" si="35"/>
        <v>0</v>
      </c>
      <c r="Z150" s="132">
        <f t="shared" si="36"/>
        <v>23.306399999999996</v>
      </c>
      <c r="AA150" s="111">
        <f>9.36*0.83</f>
        <v>7.7687999999999988</v>
      </c>
      <c r="AB150" s="112">
        <f t="shared" si="33"/>
        <v>23.306399999999996</v>
      </c>
      <c r="AC150" s="238"/>
      <c r="AD150" s="239"/>
    </row>
    <row r="151" spans="1:30" x14ac:dyDescent="0.25">
      <c r="A151" s="296"/>
      <c r="B151" s="297"/>
      <c r="C151" s="268"/>
      <c r="D151" s="257"/>
      <c r="E151" s="24" t="s">
        <v>257</v>
      </c>
      <c r="F151" s="25" t="s">
        <v>266</v>
      </c>
      <c r="G151" s="25">
        <v>1</v>
      </c>
      <c r="H151" s="25" t="s">
        <v>267</v>
      </c>
      <c r="I151" s="25" t="s">
        <v>258</v>
      </c>
      <c r="J151" s="26" t="s">
        <v>248</v>
      </c>
      <c r="K151" s="191">
        <v>11.52</v>
      </c>
      <c r="L151" s="192"/>
      <c r="M151" s="193">
        <v>10.704000000000001</v>
      </c>
      <c r="N151" s="194"/>
      <c r="O151" s="194"/>
      <c r="P151" s="195"/>
      <c r="Q151" s="33" t="s">
        <v>257</v>
      </c>
      <c r="R151" s="33" t="s">
        <v>266</v>
      </c>
      <c r="S151" s="33">
        <v>1</v>
      </c>
      <c r="T151" s="33" t="s">
        <v>267</v>
      </c>
      <c r="U151" s="33" t="s">
        <v>258</v>
      </c>
      <c r="V151" s="34" t="s">
        <v>248</v>
      </c>
      <c r="W151" s="91">
        <v>61.6</v>
      </c>
      <c r="X151" s="109">
        <f t="shared" si="34"/>
        <v>20.533333333333335</v>
      </c>
      <c r="Y151" s="96">
        <f t="shared" si="35"/>
        <v>61.6</v>
      </c>
      <c r="Z151" s="96">
        <f t="shared" si="36"/>
        <v>43.948499999999996</v>
      </c>
      <c r="AA151" s="109">
        <f>17.65*0.83</f>
        <v>14.649499999999998</v>
      </c>
      <c r="AB151" s="110">
        <f t="shared" si="33"/>
        <v>43.948499999999996</v>
      </c>
      <c r="AC151" s="222">
        <f t="shared" ref="AC151" si="41">(Y151-AB151)/AB151</f>
        <v>0.40164055656051989</v>
      </c>
      <c r="AD151" s="212">
        <f>($O$152-AB151)/AB151</f>
        <v>-0.45322365951056343</v>
      </c>
    </row>
    <row r="152" spans="1:30" x14ac:dyDescent="0.25">
      <c r="A152" s="296"/>
      <c r="B152" s="297"/>
      <c r="C152" s="268"/>
      <c r="D152" s="257"/>
      <c r="E152" s="24" t="s">
        <v>259</v>
      </c>
      <c r="F152" s="25" t="s">
        <v>266</v>
      </c>
      <c r="G152" s="25">
        <v>1</v>
      </c>
      <c r="H152" s="25" t="s">
        <v>267</v>
      </c>
      <c r="I152" s="25" t="s">
        <v>260</v>
      </c>
      <c r="J152" s="26" t="s">
        <v>95</v>
      </c>
      <c r="K152" s="191"/>
      <c r="L152" s="192"/>
      <c r="M152" s="193"/>
      <c r="N152" s="194"/>
      <c r="O152" s="194">
        <v>24.03</v>
      </c>
      <c r="P152" s="195"/>
      <c r="Q152" s="33" t="s">
        <v>259</v>
      </c>
      <c r="R152" s="33" t="s">
        <v>266</v>
      </c>
      <c r="S152" s="33">
        <v>1</v>
      </c>
      <c r="T152" s="33" t="s">
        <v>267</v>
      </c>
      <c r="U152" s="33" t="s">
        <v>260</v>
      </c>
      <c r="V152" s="34" t="s">
        <v>95</v>
      </c>
      <c r="W152" s="91"/>
      <c r="X152" s="109">
        <f t="shared" si="34"/>
        <v>0</v>
      </c>
      <c r="Y152" s="96">
        <f t="shared" si="35"/>
        <v>0</v>
      </c>
      <c r="Z152" s="96">
        <f t="shared" si="36"/>
        <v>20.816399999999998</v>
      </c>
      <c r="AA152" s="109">
        <f>8.36*0.83</f>
        <v>6.9387999999999996</v>
      </c>
      <c r="AB152" s="110">
        <f t="shared" si="33"/>
        <v>20.816399999999998</v>
      </c>
      <c r="AC152" s="227"/>
      <c r="AD152" s="228"/>
    </row>
    <row r="153" spans="1:30" x14ac:dyDescent="0.25">
      <c r="A153" s="296"/>
      <c r="B153" s="297"/>
      <c r="C153" s="268"/>
      <c r="D153" s="257"/>
      <c r="E153" s="24" t="s">
        <v>261</v>
      </c>
      <c r="F153" s="25" t="s">
        <v>266</v>
      </c>
      <c r="G153" s="25">
        <v>1</v>
      </c>
      <c r="H153" s="25" t="s">
        <v>268</v>
      </c>
      <c r="I153" s="25" t="s">
        <v>262</v>
      </c>
      <c r="J153" s="26" t="s">
        <v>97</v>
      </c>
      <c r="K153" s="27"/>
      <c r="L153" s="28"/>
      <c r="M153" s="29"/>
      <c r="N153" s="30"/>
      <c r="O153" s="30"/>
      <c r="P153" s="31"/>
      <c r="Q153" s="25"/>
      <c r="R153" s="25"/>
      <c r="S153" s="25"/>
      <c r="T153" s="25"/>
      <c r="U153" s="25"/>
      <c r="V153" s="26"/>
      <c r="W153" s="88"/>
      <c r="X153" s="101"/>
      <c r="Y153" s="97"/>
      <c r="Z153" s="97"/>
      <c r="AA153" s="101"/>
      <c r="AB153" s="107"/>
      <c r="AC153" s="99"/>
      <c r="AD153" s="85"/>
    </row>
    <row r="154" spans="1:30" ht="16.5" thickBot="1" x14ac:dyDescent="0.3">
      <c r="A154" s="296"/>
      <c r="B154" s="297"/>
      <c r="C154" s="268"/>
      <c r="D154" s="258"/>
      <c r="E154" s="36" t="s">
        <v>263</v>
      </c>
      <c r="F154" s="37" t="s">
        <v>266</v>
      </c>
      <c r="G154" s="37">
        <v>1</v>
      </c>
      <c r="H154" s="37" t="s">
        <v>267</v>
      </c>
      <c r="I154" s="37" t="s">
        <v>264</v>
      </c>
      <c r="J154" s="38" t="s">
        <v>99</v>
      </c>
      <c r="K154" s="39"/>
      <c r="L154" s="41"/>
      <c r="M154" s="41"/>
      <c r="N154" s="42"/>
      <c r="O154" s="42"/>
      <c r="P154" s="43"/>
      <c r="Q154" s="37"/>
      <c r="R154" s="37"/>
      <c r="S154" s="37"/>
      <c r="T154" s="37"/>
      <c r="U154" s="37"/>
      <c r="V154" s="58"/>
      <c r="W154" s="135"/>
      <c r="X154" s="137"/>
      <c r="Y154" s="136"/>
      <c r="Z154" s="136"/>
      <c r="AA154" s="137"/>
      <c r="AB154" s="142"/>
      <c r="AC154" s="100"/>
      <c r="AD154" s="86"/>
    </row>
    <row r="155" spans="1:30" x14ac:dyDescent="0.25">
      <c r="A155" s="296"/>
      <c r="B155" s="297"/>
      <c r="C155" s="268"/>
      <c r="D155" s="256" t="s">
        <v>270</v>
      </c>
      <c r="E155" s="46" t="s">
        <v>271</v>
      </c>
      <c r="F155" s="47" t="s">
        <v>266</v>
      </c>
      <c r="G155" s="47">
        <v>1</v>
      </c>
      <c r="H155" s="47" t="s">
        <v>267</v>
      </c>
      <c r="I155" s="47" t="s">
        <v>269</v>
      </c>
      <c r="J155" s="48" t="s">
        <v>36</v>
      </c>
      <c r="K155" s="49"/>
      <c r="L155" s="50"/>
      <c r="M155" s="51"/>
      <c r="N155" s="52"/>
      <c r="O155" s="52"/>
      <c r="P155" s="53"/>
      <c r="Q155" s="55" t="s">
        <v>271</v>
      </c>
      <c r="R155" s="55" t="s">
        <v>266</v>
      </c>
      <c r="S155" s="55">
        <v>1</v>
      </c>
      <c r="T155" s="55" t="s">
        <v>267</v>
      </c>
      <c r="U155" s="55" t="s">
        <v>269</v>
      </c>
      <c r="V155" s="56" t="s">
        <v>36</v>
      </c>
      <c r="W155" s="90"/>
      <c r="X155" s="111">
        <f t="shared" si="34"/>
        <v>0</v>
      </c>
      <c r="Y155" s="132">
        <f t="shared" si="35"/>
        <v>0</v>
      </c>
      <c r="Z155" s="132">
        <f t="shared" si="36"/>
        <v>44.6706</v>
      </c>
      <c r="AA155" s="111">
        <f>0.83*17.94</f>
        <v>14.8902</v>
      </c>
      <c r="AB155" s="112">
        <f t="shared" si="33"/>
        <v>44.6706</v>
      </c>
      <c r="AC155" s="238"/>
      <c r="AD155" s="239"/>
    </row>
    <row r="156" spans="1:30" x14ac:dyDescent="0.25">
      <c r="A156" s="296"/>
      <c r="B156" s="297"/>
      <c r="C156" s="268"/>
      <c r="D156" s="257"/>
      <c r="E156" s="24" t="s">
        <v>272</v>
      </c>
      <c r="F156" s="25" t="s">
        <v>266</v>
      </c>
      <c r="G156" s="25">
        <v>1</v>
      </c>
      <c r="H156" s="25" t="s">
        <v>267</v>
      </c>
      <c r="I156" s="25" t="s">
        <v>258</v>
      </c>
      <c r="J156" s="26" t="s">
        <v>248</v>
      </c>
      <c r="K156" s="27"/>
      <c r="L156" s="28"/>
      <c r="M156" s="29"/>
      <c r="N156" s="30"/>
      <c r="O156" s="30"/>
      <c r="P156" s="31"/>
      <c r="Q156" s="33" t="s">
        <v>272</v>
      </c>
      <c r="R156" s="33" t="s">
        <v>266</v>
      </c>
      <c r="S156" s="33">
        <v>1</v>
      </c>
      <c r="T156" s="33" t="s">
        <v>267</v>
      </c>
      <c r="U156" s="33" t="s">
        <v>258</v>
      </c>
      <c r="V156" s="34" t="s">
        <v>248</v>
      </c>
      <c r="W156" s="91">
        <v>82.5</v>
      </c>
      <c r="X156" s="109">
        <f t="shared" si="34"/>
        <v>27.5</v>
      </c>
      <c r="Y156" s="96">
        <f t="shared" si="35"/>
        <v>82.5</v>
      </c>
      <c r="Z156" s="96">
        <f t="shared" si="36"/>
        <v>58.764000000000003</v>
      </c>
      <c r="AA156" s="109">
        <f>0.83*23.6</f>
        <v>19.588000000000001</v>
      </c>
      <c r="AB156" s="110">
        <f t="shared" si="33"/>
        <v>58.764000000000003</v>
      </c>
      <c r="AC156" s="222">
        <f t="shared" ref="AC156" si="42">(Y156-AB156)/AB156</f>
        <v>0.40392076781703079</v>
      </c>
      <c r="AD156" s="212">
        <f>($O$157-AB156)/AB156</f>
        <v>-0.48778163501463478</v>
      </c>
    </row>
    <row r="157" spans="1:30" x14ac:dyDescent="0.25">
      <c r="A157" s="296"/>
      <c r="B157" s="297"/>
      <c r="C157" s="268"/>
      <c r="D157" s="257"/>
      <c r="E157" s="24" t="s">
        <v>259</v>
      </c>
      <c r="F157" s="25" t="s">
        <v>266</v>
      </c>
      <c r="G157" s="25">
        <v>1</v>
      </c>
      <c r="H157" s="25" t="s">
        <v>267</v>
      </c>
      <c r="I157" s="25" t="s">
        <v>260</v>
      </c>
      <c r="J157" s="26" t="s">
        <v>95</v>
      </c>
      <c r="K157" s="191"/>
      <c r="L157" s="192"/>
      <c r="M157" s="193">
        <v>30.998999999999999</v>
      </c>
      <c r="N157" s="194"/>
      <c r="O157" s="194">
        <v>30.1</v>
      </c>
      <c r="P157" s="195"/>
      <c r="Q157" s="33" t="s">
        <v>259</v>
      </c>
      <c r="R157" s="33" t="s">
        <v>266</v>
      </c>
      <c r="S157" s="33">
        <v>1</v>
      </c>
      <c r="T157" s="33" t="s">
        <v>267</v>
      </c>
      <c r="U157" s="33" t="s">
        <v>260</v>
      </c>
      <c r="V157" s="34" t="s">
        <v>95</v>
      </c>
      <c r="W157" s="91"/>
      <c r="X157" s="109">
        <f t="shared" si="34"/>
        <v>0</v>
      </c>
      <c r="Y157" s="96">
        <f t="shared" si="35"/>
        <v>0</v>
      </c>
      <c r="Z157" s="96">
        <f t="shared" si="36"/>
        <v>26.169899999999998</v>
      </c>
      <c r="AA157" s="109">
        <f>0.83*10.51</f>
        <v>8.7233000000000001</v>
      </c>
      <c r="AB157" s="110">
        <f t="shared" si="33"/>
        <v>26.169899999999998</v>
      </c>
      <c r="AC157" s="227"/>
      <c r="AD157" s="228"/>
    </row>
    <row r="158" spans="1:30" x14ac:dyDescent="0.25">
      <c r="A158" s="296"/>
      <c r="B158" s="297"/>
      <c r="C158" s="268"/>
      <c r="D158" s="257"/>
      <c r="E158" s="24" t="s">
        <v>261</v>
      </c>
      <c r="F158" s="25" t="s">
        <v>266</v>
      </c>
      <c r="G158" s="25">
        <v>1</v>
      </c>
      <c r="H158" s="25" t="s">
        <v>268</v>
      </c>
      <c r="I158" s="25" t="s">
        <v>262</v>
      </c>
      <c r="J158" s="26" t="s">
        <v>97</v>
      </c>
      <c r="K158" s="27"/>
      <c r="L158" s="28"/>
      <c r="M158" s="29"/>
      <c r="N158" s="30"/>
      <c r="O158" s="30"/>
      <c r="P158" s="31"/>
      <c r="Q158" s="25"/>
      <c r="R158" s="25"/>
      <c r="S158" s="25"/>
      <c r="T158" s="25"/>
      <c r="U158" s="25"/>
      <c r="V158" s="26"/>
      <c r="W158" s="88"/>
      <c r="X158" s="101"/>
      <c r="Y158" s="97"/>
      <c r="Z158" s="97"/>
      <c r="AA158" s="101"/>
      <c r="AB158" s="107"/>
      <c r="AC158" s="99"/>
      <c r="AD158" s="85"/>
    </row>
    <row r="159" spans="1:30" x14ac:dyDescent="0.25">
      <c r="A159" s="296"/>
      <c r="B159" s="297"/>
      <c r="C159" s="268"/>
      <c r="D159" s="257"/>
      <c r="E159" s="24" t="s">
        <v>273</v>
      </c>
      <c r="F159" s="25" t="s">
        <v>266</v>
      </c>
      <c r="G159" s="25">
        <v>1</v>
      </c>
      <c r="H159" s="25" t="s">
        <v>267</v>
      </c>
      <c r="I159" s="25" t="s">
        <v>274</v>
      </c>
      <c r="J159" s="26" t="s">
        <v>94</v>
      </c>
      <c r="K159" s="27"/>
      <c r="L159" s="28"/>
      <c r="M159" s="29"/>
      <c r="N159" s="30"/>
      <c r="O159" s="30"/>
      <c r="P159" s="31"/>
      <c r="Q159" s="33" t="s">
        <v>273</v>
      </c>
      <c r="R159" s="33" t="s">
        <v>266</v>
      </c>
      <c r="S159" s="33">
        <v>1</v>
      </c>
      <c r="T159" s="33" t="s">
        <v>267</v>
      </c>
      <c r="U159" s="33" t="s">
        <v>274</v>
      </c>
      <c r="V159" s="34" t="s">
        <v>94</v>
      </c>
      <c r="W159" s="108"/>
      <c r="X159" s="240">
        <f t="shared" si="34"/>
        <v>0</v>
      </c>
      <c r="Y159" s="115">
        <f t="shared" si="35"/>
        <v>0</v>
      </c>
      <c r="Z159" s="115"/>
      <c r="AA159" s="102" t="s">
        <v>337</v>
      </c>
      <c r="AB159" s="143"/>
      <c r="AC159" s="229"/>
      <c r="AD159" s="230"/>
    </row>
    <row r="160" spans="1:30" ht="16.5" thickBot="1" x14ac:dyDescent="0.3">
      <c r="A160" s="298"/>
      <c r="B160" s="299"/>
      <c r="C160" s="269"/>
      <c r="D160" s="258"/>
      <c r="E160" s="36" t="s">
        <v>275</v>
      </c>
      <c r="F160" s="37" t="s">
        <v>266</v>
      </c>
      <c r="G160" s="37">
        <v>1</v>
      </c>
      <c r="H160" s="37" t="s">
        <v>267</v>
      </c>
      <c r="I160" s="37" t="s">
        <v>264</v>
      </c>
      <c r="J160" s="58" t="s">
        <v>99</v>
      </c>
      <c r="K160" s="39"/>
      <c r="L160" s="40"/>
      <c r="M160" s="41"/>
      <c r="N160" s="42"/>
      <c r="O160" s="42"/>
      <c r="P160" s="43"/>
      <c r="Q160" s="37"/>
      <c r="R160" s="37"/>
      <c r="S160" s="37"/>
      <c r="T160" s="37"/>
      <c r="U160" s="37"/>
      <c r="V160" s="58"/>
      <c r="W160" s="135"/>
      <c r="X160" s="137"/>
      <c r="Y160" s="136"/>
      <c r="Z160" s="136"/>
      <c r="AA160" s="137"/>
      <c r="AB160" s="142"/>
      <c r="AC160" s="100"/>
      <c r="AD160" s="86"/>
    </row>
    <row r="161" spans="1:30" x14ac:dyDescent="0.25">
      <c r="A161" s="270" t="s">
        <v>276</v>
      </c>
      <c r="B161" s="281" t="s">
        <v>1</v>
      </c>
      <c r="C161" s="259" t="s">
        <v>0</v>
      </c>
      <c r="D161" s="262" t="s">
        <v>2</v>
      </c>
      <c r="E161" s="13" t="s">
        <v>277</v>
      </c>
      <c r="F161" s="14" t="s">
        <v>105</v>
      </c>
      <c r="G161" s="14">
        <v>1000</v>
      </c>
      <c r="H161" s="14"/>
      <c r="I161" s="14" t="s">
        <v>278</v>
      </c>
      <c r="J161" s="15" t="s">
        <v>97</v>
      </c>
      <c r="K161" s="16"/>
      <c r="L161" s="17"/>
      <c r="M161" s="18"/>
      <c r="N161" s="19"/>
      <c r="O161" s="19"/>
      <c r="P161" s="20"/>
      <c r="Q161" s="14"/>
      <c r="R161" s="14"/>
      <c r="S161" s="14"/>
      <c r="T161" s="14"/>
      <c r="U161" s="14"/>
      <c r="V161" s="15"/>
      <c r="W161" s="87"/>
      <c r="X161" s="103"/>
      <c r="Y161" s="130"/>
      <c r="Z161" s="130"/>
      <c r="AA161" s="103"/>
      <c r="AB161" s="104"/>
      <c r="AC161" s="98"/>
      <c r="AD161" s="84"/>
    </row>
    <row r="162" spans="1:30" x14ac:dyDescent="0.25">
      <c r="A162" s="271"/>
      <c r="B162" s="273"/>
      <c r="C162" s="260"/>
      <c r="D162" s="257"/>
      <c r="E162" s="24" t="s">
        <v>279</v>
      </c>
      <c r="F162" s="25" t="s">
        <v>105</v>
      </c>
      <c r="G162" s="25">
        <v>50</v>
      </c>
      <c r="H162" s="25"/>
      <c r="I162" s="25" t="s">
        <v>86</v>
      </c>
      <c r="J162" s="26" t="s">
        <v>101</v>
      </c>
      <c r="K162" s="191"/>
      <c r="L162" s="192"/>
      <c r="M162" s="193">
        <v>6.9599999999999995E-2</v>
      </c>
      <c r="N162" s="194"/>
      <c r="O162" s="194"/>
      <c r="P162" s="195"/>
      <c r="Q162" s="57" t="s">
        <v>279</v>
      </c>
      <c r="R162" s="33" t="s">
        <v>105</v>
      </c>
      <c r="S162" s="33">
        <v>50</v>
      </c>
      <c r="T162" s="33"/>
      <c r="U162" s="33" t="s">
        <v>86</v>
      </c>
      <c r="V162" s="34" t="s">
        <v>101</v>
      </c>
      <c r="W162" s="91">
        <v>7.6</v>
      </c>
      <c r="X162" s="109">
        <f t="shared" si="34"/>
        <v>2.5333333333333332</v>
      </c>
      <c r="Y162" s="96">
        <f t="shared" si="35"/>
        <v>0.152</v>
      </c>
      <c r="Z162" s="96"/>
      <c r="AA162" s="118" t="s">
        <v>338</v>
      </c>
      <c r="AB162" s="110">
        <f t="shared" si="33"/>
        <v>0</v>
      </c>
      <c r="AC162" s="222" t="e" vm="1">
        <f t="shared" ref="AC162" si="43">_FV((Y162-AB162),"AB5")</f>
        <v>#VALUE!</v>
      </c>
      <c r="AD162" s="212" t="e">
        <f>($M$162-AB162)/AB162</f>
        <v>#DIV/0!</v>
      </c>
    </row>
    <row r="163" spans="1:30" x14ac:dyDescent="0.25">
      <c r="A163" s="271"/>
      <c r="B163" s="273"/>
      <c r="C163" s="260"/>
      <c r="D163" s="257"/>
      <c r="E163" s="24" t="s">
        <v>280</v>
      </c>
      <c r="F163" s="25" t="s">
        <v>31</v>
      </c>
      <c r="G163" s="25">
        <v>100</v>
      </c>
      <c r="H163" s="25"/>
      <c r="I163" s="25" t="s">
        <v>232</v>
      </c>
      <c r="J163" s="26" t="s">
        <v>97</v>
      </c>
      <c r="K163" s="27"/>
      <c r="L163" s="28"/>
      <c r="M163" s="29"/>
      <c r="N163" s="30"/>
      <c r="O163" s="30"/>
      <c r="P163" s="31"/>
      <c r="Q163" s="25"/>
      <c r="R163" s="25"/>
      <c r="S163" s="25"/>
      <c r="T163" s="25"/>
      <c r="U163" s="25"/>
      <c r="V163" s="26"/>
      <c r="W163" s="88"/>
      <c r="X163" s="101"/>
      <c r="Y163" s="97"/>
      <c r="Z163" s="97"/>
      <c r="AA163" s="101"/>
      <c r="AB163" s="107"/>
      <c r="AC163" s="99"/>
      <c r="AD163" s="85"/>
    </row>
    <row r="164" spans="1:30" x14ac:dyDescent="0.25">
      <c r="A164" s="271"/>
      <c r="B164" s="273"/>
      <c r="C164" s="260"/>
      <c r="D164" s="257"/>
      <c r="E164" s="24" t="s">
        <v>280</v>
      </c>
      <c r="F164" s="25" t="s">
        <v>105</v>
      </c>
      <c r="G164" s="25">
        <v>50</v>
      </c>
      <c r="H164" s="25" t="s">
        <v>220</v>
      </c>
      <c r="I164" s="25" t="s">
        <v>281</v>
      </c>
      <c r="J164" s="26" t="s">
        <v>222</v>
      </c>
      <c r="K164" s="27"/>
      <c r="L164" s="28"/>
      <c r="M164" s="29"/>
      <c r="N164" s="30"/>
      <c r="O164" s="30"/>
      <c r="P164" s="31"/>
      <c r="Q164" s="25"/>
      <c r="R164" s="25"/>
      <c r="S164" s="25"/>
      <c r="T164" s="25"/>
      <c r="U164" s="25"/>
      <c r="V164" s="26"/>
      <c r="W164" s="88"/>
      <c r="X164" s="101"/>
      <c r="Y164" s="97"/>
      <c r="Z164" s="97"/>
      <c r="AA164" s="101"/>
      <c r="AB164" s="107"/>
      <c r="AC164" s="99"/>
      <c r="AD164" s="85"/>
    </row>
    <row r="165" spans="1:30" x14ac:dyDescent="0.25">
      <c r="A165" s="271"/>
      <c r="B165" s="273"/>
      <c r="C165" s="260"/>
      <c r="D165" s="257"/>
      <c r="E165" s="24" t="s">
        <v>284</v>
      </c>
      <c r="F165" s="25" t="s">
        <v>105</v>
      </c>
      <c r="G165" s="25">
        <v>50</v>
      </c>
      <c r="H165" s="25"/>
      <c r="I165" s="25" t="s">
        <v>285</v>
      </c>
      <c r="J165" s="26" t="s">
        <v>286</v>
      </c>
      <c r="K165" s="27"/>
      <c r="L165" s="28"/>
      <c r="M165" s="29"/>
      <c r="N165" s="30"/>
      <c r="O165" s="30"/>
      <c r="P165" s="31"/>
      <c r="Q165" s="25"/>
      <c r="R165" s="25"/>
      <c r="S165" s="25"/>
      <c r="T165" s="25"/>
      <c r="U165" s="25"/>
      <c r="V165" s="26"/>
      <c r="W165" s="88"/>
      <c r="X165" s="101"/>
      <c r="Y165" s="97"/>
      <c r="Z165" s="97"/>
      <c r="AA165" s="101"/>
      <c r="AB165" s="107"/>
      <c r="AC165" s="99"/>
      <c r="AD165" s="85"/>
    </row>
    <row r="166" spans="1:30" x14ac:dyDescent="0.25">
      <c r="A166" s="271"/>
      <c r="B166" s="273"/>
      <c r="C166" s="260"/>
      <c r="D166" s="257"/>
      <c r="E166" s="24" t="s">
        <v>0</v>
      </c>
      <c r="F166" s="25" t="s">
        <v>105</v>
      </c>
      <c r="G166" s="25">
        <v>100</v>
      </c>
      <c r="H166" s="25" t="s">
        <v>109</v>
      </c>
      <c r="I166" s="25" t="s">
        <v>287</v>
      </c>
      <c r="J166" s="26" t="s">
        <v>163</v>
      </c>
      <c r="K166" s="27"/>
      <c r="L166" s="28"/>
      <c r="M166" s="29"/>
      <c r="N166" s="30"/>
      <c r="O166" s="30"/>
      <c r="P166" s="31"/>
      <c r="Q166" s="33" t="s">
        <v>0</v>
      </c>
      <c r="R166" s="33" t="s">
        <v>105</v>
      </c>
      <c r="S166" s="33">
        <v>100</v>
      </c>
      <c r="T166" s="33" t="s">
        <v>109</v>
      </c>
      <c r="U166" s="33" t="s">
        <v>287</v>
      </c>
      <c r="V166" s="34" t="s">
        <v>163</v>
      </c>
      <c r="W166" s="91">
        <v>9.6</v>
      </c>
      <c r="X166" s="109">
        <f t="shared" si="34"/>
        <v>3.1999999999999997</v>
      </c>
      <c r="Y166" s="96">
        <f t="shared" si="35"/>
        <v>9.6000000000000002E-2</v>
      </c>
      <c r="Z166" s="96">
        <f t="shared" si="36"/>
        <v>5.7519</v>
      </c>
      <c r="AA166" s="109">
        <f>0.83*2.31</f>
        <v>1.9173</v>
      </c>
      <c r="AB166" s="110">
        <f t="shared" si="33"/>
        <v>5.7519000000000001E-2</v>
      </c>
      <c r="AC166" s="222">
        <f t="shared" ref="AC166" si="44">(Y166-AB166)/AB166</f>
        <v>0.66901371720648828</v>
      </c>
      <c r="AD166" s="212">
        <f>($M$162-AB166)/AB166</f>
        <v>0.2100349449747039</v>
      </c>
    </row>
    <row r="167" spans="1:30" x14ac:dyDescent="0.25">
      <c r="A167" s="271"/>
      <c r="B167" s="273"/>
      <c r="C167" s="260"/>
      <c r="D167" s="257"/>
      <c r="E167" s="24" t="s">
        <v>288</v>
      </c>
      <c r="F167" s="25" t="s">
        <v>105</v>
      </c>
      <c r="G167" s="25">
        <v>50</v>
      </c>
      <c r="H167" s="25" t="s">
        <v>220</v>
      </c>
      <c r="I167" s="25" t="s">
        <v>289</v>
      </c>
      <c r="J167" s="26" t="s">
        <v>101</v>
      </c>
      <c r="K167" s="27"/>
      <c r="L167" s="28"/>
      <c r="M167" s="29"/>
      <c r="N167" s="30"/>
      <c r="O167" s="30"/>
      <c r="P167" s="31"/>
      <c r="Q167" s="25"/>
      <c r="R167" s="25"/>
      <c r="S167" s="25"/>
      <c r="T167" s="25"/>
      <c r="U167" s="25"/>
      <c r="V167" s="26"/>
      <c r="W167" s="88"/>
      <c r="X167" s="101"/>
      <c r="Y167" s="97"/>
      <c r="Z167" s="97"/>
      <c r="AA167" s="101"/>
      <c r="AB167" s="107"/>
      <c r="AC167" s="99"/>
      <c r="AD167" s="85"/>
    </row>
    <row r="168" spans="1:30" x14ac:dyDescent="0.25">
      <c r="A168" s="271"/>
      <c r="B168" s="273"/>
      <c r="C168" s="260"/>
      <c r="D168" s="257"/>
      <c r="E168" s="24" t="s">
        <v>290</v>
      </c>
      <c r="F168" s="25" t="s">
        <v>105</v>
      </c>
      <c r="G168" s="25">
        <v>50</v>
      </c>
      <c r="H168" s="25"/>
      <c r="I168" s="25" t="s">
        <v>291</v>
      </c>
      <c r="J168" s="26" t="s">
        <v>292</v>
      </c>
      <c r="K168" s="27"/>
      <c r="L168" s="28"/>
      <c r="M168" s="29"/>
      <c r="N168" s="30"/>
      <c r="O168" s="30"/>
      <c r="P168" s="31"/>
      <c r="Q168" s="33" t="s">
        <v>290</v>
      </c>
      <c r="R168" s="33" t="s">
        <v>105</v>
      </c>
      <c r="S168" s="33">
        <v>50</v>
      </c>
      <c r="T168" s="33"/>
      <c r="U168" s="33" t="s">
        <v>291</v>
      </c>
      <c r="V168" s="34" t="s">
        <v>292</v>
      </c>
      <c r="W168" s="91">
        <v>40</v>
      </c>
      <c r="X168" s="109">
        <f t="shared" si="34"/>
        <v>13.333333333333334</v>
      </c>
      <c r="Y168" s="96">
        <f t="shared" si="35"/>
        <v>0.8</v>
      </c>
      <c r="Z168" s="96">
        <f t="shared" si="36"/>
        <v>12.574499999999999</v>
      </c>
      <c r="AA168" s="109">
        <f>0.83*5.05</f>
        <v>4.1914999999999996</v>
      </c>
      <c r="AB168" s="110">
        <f t="shared" si="33"/>
        <v>0.25148999999999999</v>
      </c>
      <c r="AC168" s="222">
        <f t="shared" ref="AC168" si="45">(Y168-AB168)/AB168</f>
        <v>2.1810409956658319</v>
      </c>
      <c r="AD168" s="212">
        <f>($M$162-AB168)/AB168</f>
        <v>-0.7232494333770727</v>
      </c>
    </row>
    <row r="169" spans="1:30" x14ac:dyDescent="0.25">
      <c r="A169" s="271"/>
      <c r="B169" s="273"/>
      <c r="C169" s="260"/>
      <c r="D169" s="257"/>
      <c r="E169" s="24" t="s">
        <v>334</v>
      </c>
      <c r="F169" s="25" t="s">
        <v>31</v>
      </c>
      <c r="G169" s="25">
        <v>20</v>
      </c>
      <c r="H169" s="25" t="s">
        <v>125</v>
      </c>
      <c r="I169" s="25" t="s">
        <v>293</v>
      </c>
      <c r="J169" s="26" t="s">
        <v>292</v>
      </c>
      <c r="K169" s="27"/>
      <c r="L169" s="28"/>
      <c r="M169" s="29"/>
      <c r="N169" s="30"/>
      <c r="O169" s="30"/>
      <c r="P169" s="31"/>
      <c r="Q169" s="33" t="s">
        <v>334</v>
      </c>
      <c r="R169" s="33" t="s">
        <v>31</v>
      </c>
      <c r="S169" s="33">
        <v>20</v>
      </c>
      <c r="T169" s="33" t="s">
        <v>125</v>
      </c>
      <c r="U169" s="33" t="s">
        <v>293</v>
      </c>
      <c r="V169" s="34" t="s">
        <v>292</v>
      </c>
      <c r="W169" s="108">
        <v>18.399999999999999</v>
      </c>
      <c r="X169" s="240">
        <f t="shared" si="34"/>
        <v>6.1333333333333329</v>
      </c>
      <c r="Y169" s="115">
        <f t="shared" si="35"/>
        <v>0.91999999999999993</v>
      </c>
      <c r="Z169" s="115"/>
      <c r="AA169" s="102" t="s">
        <v>337</v>
      </c>
      <c r="AB169" s="143"/>
      <c r="AC169" s="229"/>
      <c r="AD169" s="230"/>
    </row>
    <row r="170" spans="1:30" x14ac:dyDescent="0.25">
      <c r="A170" s="271"/>
      <c r="B170" s="273"/>
      <c r="C170" s="260"/>
      <c r="D170" s="257"/>
      <c r="E170" s="24" t="s">
        <v>294</v>
      </c>
      <c r="F170" s="25" t="s">
        <v>105</v>
      </c>
      <c r="G170" s="25">
        <v>50</v>
      </c>
      <c r="H170" s="25" t="s">
        <v>220</v>
      </c>
      <c r="I170" s="25" t="s">
        <v>86</v>
      </c>
      <c r="J170" s="26" t="s">
        <v>101</v>
      </c>
      <c r="K170" s="27"/>
      <c r="L170" s="28"/>
      <c r="M170" s="29"/>
      <c r="N170" s="30"/>
      <c r="O170" s="30"/>
      <c r="P170" s="31"/>
      <c r="Q170" s="25"/>
      <c r="R170" s="25"/>
      <c r="S170" s="25"/>
      <c r="T170" s="25"/>
      <c r="U170" s="25"/>
      <c r="V170" s="26"/>
      <c r="W170" s="88"/>
      <c r="X170" s="101"/>
      <c r="Y170" s="97"/>
      <c r="Z170" s="97"/>
      <c r="AA170" s="101"/>
      <c r="AB170" s="107"/>
      <c r="AC170" s="99"/>
      <c r="AD170" s="85"/>
    </row>
    <row r="171" spans="1:30" x14ac:dyDescent="0.25">
      <c r="A171" s="271"/>
      <c r="B171" s="273"/>
      <c r="C171" s="260"/>
      <c r="D171" s="257"/>
      <c r="E171" s="24" t="s">
        <v>0</v>
      </c>
      <c r="F171" s="25" t="s">
        <v>105</v>
      </c>
      <c r="G171" s="25">
        <v>40</v>
      </c>
      <c r="H171" s="25" t="s">
        <v>300</v>
      </c>
      <c r="I171" s="25" t="s">
        <v>295</v>
      </c>
      <c r="J171" s="26" t="s">
        <v>296</v>
      </c>
      <c r="K171" s="27"/>
      <c r="L171" s="28"/>
      <c r="M171" s="29"/>
      <c r="N171" s="30"/>
      <c r="O171" s="30"/>
      <c r="P171" s="31"/>
      <c r="Q171" s="25"/>
      <c r="R171" s="25"/>
      <c r="S171" s="25"/>
      <c r="T171" s="25"/>
      <c r="U171" s="25"/>
      <c r="V171" s="26"/>
      <c r="W171" s="88"/>
      <c r="X171" s="101"/>
      <c r="Y171" s="97"/>
      <c r="Z171" s="97"/>
      <c r="AA171" s="101"/>
      <c r="AB171" s="107"/>
      <c r="AC171" s="99"/>
      <c r="AD171" s="85"/>
    </row>
    <row r="172" spans="1:30" x14ac:dyDescent="0.25">
      <c r="A172" s="271"/>
      <c r="B172" s="273"/>
      <c r="C172" s="260"/>
      <c r="D172" s="257"/>
      <c r="E172" s="24" t="s">
        <v>282</v>
      </c>
      <c r="F172" s="25" t="s">
        <v>105</v>
      </c>
      <c r="G172" s="25">
        <v>50</v>
      </c>
      <c r="H172" s="25" t="s">
        <v>220</v>
      </c>
      <c r="I172" s="25" t="s">
        <v>283</v>
      </c>
      <c r="J172" s="26" t="s">
        <v>95</v>
      </c>
      <c r="K172" s="27"/>
      <c r="L172" s="28"/>
      <c r="M172" s="29"/>
      <c r="N172" s="30"/>
      <c r="O172" s="30"/>
      <c r="P172" s="31"/>
      <c r="Q172" s="33" t="s">
        <v>282</v>
      </c>
      <c r="R172" s="33" t="s">
        <v>105</v>
      </c>
      <c r="S172" s="33">
        <v>50</v>
      </c>
      <c r="T172" s="33" t="s">
        <v>220</v>
      </c>
      <c r="U172" s="33" t="s">
        <v>283</v>
      </c>
      <c r="V172" s="34" t="s">
        <v>95</v>
      </c>
      <c r="W172" s="108"/>
      <c r="X172" s="240">
        <f t="shared" si="34"/>
        <v>0</v>
      </c>
      <c r="Y172" s="115">
        <f t="shared" si="35"/>
        <v>0</v>
      </c>
      <c r="Z172" s="115"/>
      <c r="AA172" s="102" t="s">
        <v>337</v>
      </c>
      <c r="AB172" s="143"/>
      <c r="AC172" s="229"/>
      <c r="AD172" s="230"/>
    </row>
    <row r="173" spans="1:30" x14ac:dyDescent="0.25">
      <c r="A173" s="271"/>
      <c r="B173" s="273"/>
      <c r="C173" s="260"/>
      <c r="D173" s="257"/>
      <c r="E173" s="24" t="s">
        <v>294</v>
      </c>
      <c r="F173" s="25" t="s">
        <v>105</v>
      </c>
      <c r="G173" s="25">
        <v>50</v>
      </c>
      <c r="H173" s="25" t="s">
        <v>220</v>
      </c>
      <c r="I173" s="25" t="s">
        <v>297</v>
      </c>
      <c r="J173" s="26" t="s">
        <v>101</v>
      </c>
      <c r="K173" s="27"/>
      <c r="L173" s="28"/>
      <c r="M173" s="29"/>
      <c r="N173" s="30"/>
      <c r="O173" s="30"/>
      <c r="P173" s="31"/>
      <c r="Q173" s="25"/>
      <c r="R173" s="25"/>
      <c r="S173" s="25"/>
      <c r="T173" s="25"/>
      <c r="U173" s="25"/>
      <c r="V173" s="26"/>
      <c r="W173" s="88"/>
      <c r="X173" s="101"/>
      <c r="Y173" s="97"/>
      <c r="Z173" s="97"/>
      <c r="AA173" s="101"/>
      <c r="AB173" s="107"/>
      <c r="AC173" s="99"/>
      <c r="AD173" s="85"/>
    </row>
    <row r="174" spans="1:30" x14ac:dyDescent="0.25">
      <c r="A174" s="271"/>
      <c r="B174" s="273"/>
      <c r="C174" s="260"/>
      <c r="D174" s="257"/>
      <c r="E174" s="24" t="s">
        <v>298</v>
      </c>
      <c r="F174" s="25" t="s">
        <v>105</v>
      </c>
      <c r="G174" s="25">
        <v>50</v>
      </c>
      <c r="H174" s="25"/>
      <c r="I174" s="25" t="s">
        <v>180</v>
      </c>
      <c r="J174" s="26" t="s">
        <v>101</v>
      </c>
      <c r="K174" s="27"/>
      <c r="L174" s="28"/>
      <c r="M174" s="29"/>
      <c r="N174" s="30"/>
      <c r="O174" s="30"/>
      <c r="P174" s="31"/>
      <c r="Q174" s="25"/>
      <c r="R174" s="25"/>
      <c r="S174" s="25"/>
      <c r="T174" s="25"/>
      <c r="U174" s="25"/>
      <c r="V174" s="26"/>
      <c r="W174" s="88"/>
      <c r="X174" s="101"/>
      <c r="Y174" s="97"/>
      <c r="Z174" s="97"/>
      <c r="AA174" s="101"/>
      <c r="AB174" s="107"/>
      <c r="AC174" s="99"/>
      <c r="AD174" s="85"/>
    </row>
    <row r="175" spans="1:30" ht="16.5" thickBot="1" x14ac:dyDescent="0.3">
      <c r="A175" s="271"/>
      <c r="B175" s="273"/>
      <c r="C175" s="261"/>
      <c r="D175" s="258"/>
      <c r="E175" s="36" t="s">
        <v>294</v>
      </c>
      <c r="F175" s="37" t="s">
        <v>105</v>
      </c>
      <c r="G175" s="37">
        <v>50</v>
      </c>
      <c r="H175" s="37" t="s">
        <v>220</v>
      </c>
      <c r="I175" s="37" t="s">
        <v>299</v>
      </c>
      <c r="J175" s="58" t="s">
        <v>172</v>
      </c>
      <c r="K175" s="39"/>
      <c r="L175" s="40"/>
      <c r="M175" s="41"/>
      <c r="N175" s="42"/>
      <c r="O175" s="42"/>
      <c r="P175" s="43"/>
      <c r="Q175" s="37"/>
      <c r="R175" s="37"/>
      <c r="S175" s="37"/>
      <c r="T175" s="37"/>
      <c r="U175" s="37"/>
      <c r="V175" s="58"/>
      <c r="W175" s="135"/>
      <c r="X175" s="137"/>
      <c r="Y175" s="136"/>
      <c r="Z175" s="136"/>
      <c r="AA175" s="137"/>
      <c r="AB175" s="142"/>
      <c r="AC175" s="100"/>
      <c r="AD175" s="86"/>
    </row>
    <row r="176" spans="1:30" x14ac:dyDescent="0.25">
      <c r="A176" s="271"/>
      <c r="B176" s="273" t="s">
        <v>21</v>
      </c>
      <c r="C176" s="259" t="s">
        <v>22</v>
      </c>
      <c r="D176" s="262" t="s">
        <v>314</v>
      </c>
      <c r="E176" s="13" t="s">
        <v>301</v>
      </c>
      <c r="F176" s="14" t="s">
        <v>105</v>
      </c>
      <c r="G176" s="14">
        <v>500</v>
      </c>
      <c r="H176" s="14"/>
      <c r="I176" s="14" t="s">
        <v>302</v>
      </c>
      <c r="J176" s="15" t="s">
        <v>97</v>
      </c>
      <c r="K176" s="49"/>
      <c r="L176" s="50"/>
      <c r="M176" s="51"/>
      <c r="N176" s="52"/>
      <c r="O176" s="52"/>
      <c r="P176" s="53"/>
      <c r="Q176" s="14"/>
      <c r="R176" s="14"/>
      <c r="S176" s="14"/>
      <c r="T176" s="14"/>
      <c r="U176" s="14"/>
      <c r="V176" s="15"/>
      <c r="W176" s="87"/>
      <c r="X176" s="103"/>
      <c r="Y176" s="130"/>
      <c r="Z176" s="130"/>
      <c r="AA176" s="103"/>
      <c r="AB176" s="104"/>
      <c r="AC176" s="98"/>
      <c r="AD176" s="84"/>
    </row>
    <row r="177" spans="1:30" x14ac:dyDescent="0.25">
      <c r="A177" s="271"/>
      <c r="B177" s="273"/>
      <c r="C177" s="260"/>
      <c r="D177" s="257"/>
      <c r="E177" s="24" t="s">
        <v>303</v>
      </c>
      <c r="F177" s="25" t="s">
        <v>105</v>
      </c>
      <c r="G177" s="25">
        <v>100</v>
      </c>
      <c r="H177" s="25" t="s">
        <v>109</v>
      </c>
      <c r="I177" s="25" t="s">
        <v>304</v>
      </c>
      <c r="J177" s="26" t="s">
        <v>305</v>
      </c>
      <c r="K177" s="27"/>
      <c r="L177" s="28"/>
      <c r="M177" s="29"/>
      <c r="N177" s="30"/>
      <c r="O177" s="30"/>
      <c r="P177" s="31"/>
      <c r="Q177" s="33" t="s">
        <v>303</v>
      </c>
      <c r="R177" s="33" t="s">
        <v>105</v>
      </c>
      <c r="S177" s="33">
        <v>100</v>
      </c>
      <c r="T177" s="33" t="s">
        <v>109</v>
      </c>
      <c r="U177" s="33" t="s">
        <v>304</v>
      </c>
      <c r="V177" s="34" t="s">
        <v>305</v>
      </c>
      <c r="W177" s="108"/>
      <c r="X177" s="240">
        <f t="shared" si="34"/>
        <v>0</v>
      </c>
      <c r="Y177" s="115">
        <f t="shared" si="35"/>
        <v>0</v>
      </c>
      <c r="Z177" s="115"/>
      <c r="AA177" s="102" t="s">
        <v>337</v>
      </c>
      <c r="AB177" s="143"/>
      <c r="AC177" s="229"/>
      <c r="AD177" s="230"/>
    </row>
    <row r="178" spans="1:30" x14ac:dyDescent="0.25">
      <c r="A178" s="271"/>
      <c r="B178" s="273"/>
      <c r="C178" s="260"/>
      <c r="D178" s="257"/>
      <c r="E178" s="24" t="s">
        <v>306</v>
      </c>
      <c r="F178" s="25" t="s">
        <v>105</v>
      </c>
      <c r="G178" s="25">
        <v>100</v>
      </c>
      <c r="H178" s="25" t="s">
        <v>109</v>
      </c>
      <c r="I178" s="25" t="s">
        <v>307</v>
      </c>
      <c r="J178" s="26" t="s">
        <v>41</v>
      </c>
      <c r="K178" s="191"/>
      <c r="L178" s="192"/>
      <c r="M178" s="193">
        <v>0.57999999999999996</v>
      </c>
      <c r="N178" s="194"/>
      <c r="O178" s="194">
        <v>0.51</v>
      </c>
      <c r="P178" s="195"/>
      <c r="Q178" s="33" t="s">
        <v>306</v>
      </c>
      <c r="R178" s="33" t="s">
        <v>105</v>
      </c>
      <c r="S178" s="33">
        <v>100</v>
      </c>
      <c r="T178" s="33" t="s">
        <v>109</v>
      </c>
      <c r="U178" s="33" t="s">
        <v>307</v>
      </c>
      <c r="V178" s="34" t="s">
        <v>41</v>
      </c>
      <c r="W178" s="91">
        <v>62.5</v>
      </c>
      <c r="X178" s="109">
        <f t="shared" si="34"/>
        <v>20.833333333333332</v>
      </c>
      <c r="Y178" s="96">
        <f t="shared" si="35"/>
        <v>0.625</v>
      </c>
      <c r="Z178" s="96">
        <f t="shared" si="36"/>
        <v>32.992499999999993</v>
      </c>
      <c r="AA178" s="109">
        <f>0.83*13.25</f>
        <v>10.997499999999999</v>
      </c>
      <c r="AB178" s="110">
        <f t="shared" si="33"/>
        <v>0.32992499999999991</v>
      </c>
      <c r="AC178" s="222" t="e" vm="1">
        <f t="shared" ref="AC178" si="46">_FV((Y178-AB178),"AB5")</f>
        <v>#VALUE!</v>
      </c>
      <c r="AD178" s="212">
        <f>($O$178-AB178)/AB178</f>
        <v>0.5458058649693116</v>
      </c>
    </row>
    <row r="179" spans="1:30" x14ac:dyDescent="0.25">
      <c r="A179" s="271"/>
      <c r="B179" s="273"/>
      <c r="C179" s="260"/>
      <c r="D179" s="257"/>
      <c r="E179" s="24" t="s">
        <v>308</v>
      </c>
      <c r="F179" s="25" t="s">
        <v>105</v>
      </c>
      <c r="G179" s="25">
        <v>50</v>
      </c>
      <c r="H179" s="25" t="s">
        <v>220</v>
      </c>
      <c r="I179" s="25" t="s">
        <v>113</v>
      </c>
      <c r="J179" s="26" t="s">
        <v>101</v>
      </c>
      <c r="K179" s="27"/>
      <c r="L179" s="28"/>
      <c r="M179" s="29"/>
      <c r="N179" s="30"/>
      <c r="O179" s="30"/>
      <c r="P179" s="31"/>
      <c r="Q179" s="25"/>
      <c r="R179" s="25"/>
      <c r="S179" s="25"/>
      <c r="T179" s="25"/>
      <c r="U179" s="25"/>
      <c r="V179" s="26"/>
      <c r="W179" s="88"/>
      <c r="X179" s="101"/>
      <c r="Y179" s="97"/>
      <c r="Z179" s="97"/>
      <c r="AA179" s="101"/>
      <c r="AB179" s="107"/>
      <c r="AC179" s="99"/>
      <c r="AD179" s="85"/>
    </row>
    <row r="180" spans="1:30" x14ac:dyDescent="0.25">
      <c r="A180" s="271"/>
      <c r="B180" s="273"/>
      <c r="C180" s="260"/>
      <c r="D180" s="257"/>
      <c r="E180" s="24" t="s">
        <v>309</v>
      </c>
      <c r="F180" s="25" t="s">
        <v>105</v>
      </c>
      <c r="G180" s="25">
        <v>30</v>
      </c>
      <c r="H180" s="25" t="s">
        <v>108</v>
      </c>
      <c r="I180" s="25" t="s">
        <v>310</v>
      </c>
      <c r="J180" s="26" t="s">
        <v>166</v>
      </c>
      <c r="K180" s="27"/>
      <c r="L180" s="28"/>
      <c r="M180" s="29"/>
      <c r="N180" s="30"/>
      <c r="O180" s="30"/>
      <c r="P180" s="31"/>
      <c r="Q180" s="25"/>
      <c r="R180" s="25"/>
      <c r="S180" s="25"/>
      <c r="T180" s="25"/>
      <c r="U180" s="25"/>
      <c r="V180" s="26"/>
      <c r="W180" s="88"/>
      <c r="X180" s="101"/>
      <c r="Y180" s="97"/>
      <c r="Z180" s="97"/>
      <c r="AA180" s="101"/>
      <c r="AB180" s="107"/>
      <c r="AC180" s="99"/>
      <c r="AD180" s="85"/>
    </row>
    <row r="181" spans="1:30" x14ac:dyDescent="0.25">
      <c r="A181" s="271"/>
      <c r="B181" s="273"/>
      <c r="C181" s="260"/>
      <c r="D181" s="257"/>
      <c r="E181" s="24" t="s">
        <v>309</v>
      </c>
      <c r="F181" s="25" t="s">
        <v>105</v>
      </c>
      <c r="G181" s="25">
        <v>100</v>
      </c>
      <c r="H181" s="25" t="s">
        <v>109</v>
      </c>
      <c r="I181" s="25" t="s">
        <v>310</v>
      </c>
      <c r="J181" s="26" t="s">
        <v>166</v>
      </c>
      <c r="K181" s="27"/>
      <c r="L181" s="28"/>
      <c r="M181" s="29"/>
      <c r="N181" s="30"/>
      <c r="O181" s="30"/>
      <c r="P181" s="31"/>
      <c r="Q181" s="25"/>
      <c r="R181" s="25"/>
      <c r="S181" s="25"/>
      <c r="T181" s="25"/>
      <c r="U181" s="25"/>
      <c r="V181" s="26"/>
      <c r="W181" s="88"/>
      <c r="X181" s="101"/>
      <c r="Y181" s="97"/>
      <c r="Z181" s="97"/>
      <c r="AA181" s="101"/>
      <c r="AB181" s="107"/>
      <c r="AC181" s="99"/>
      <c r="AD181" s="85"/>
    </row>
    <row r="182" spans="1:30" ht="16.5" thickBot="1" x14ac:dyDescent="0.3">
      <c r="A182" s="272"/>
      <c r="B182" s="274"/>
      <c r="C182" s="261"/>
      <c r="D182" s="258"/>
      <c r="E182" s="36" t="s">
        <v>311</v>
      </c>
      <c r="F182" s="37" t="s">
        <v>105</v>
      </c>
      <c r="G182" s="37">
        <v>100</v>
      </c>
      <c r="H182" s="37"/>
      <c r="I182" s="37" t="s">
        <v>312</v>
      </c>
      <c r="J182" s="58" t="s">
        <v>313</v>
      </c>
      <c r="K182" s="39"/>
      <c r="L182" s="40"/>
      <c r="M182" s="41"/>
      <c r="N182" s="42"/>
      <c r="O182" s="42"/>
      <c r="P182" s="43"/>
      <c r="Q182" s="37"/>
      <c r="R182" s="37"/>
      <c r="S182" s="37"/>
      <c r="T182" s="37"/>
      <c r="U182" s="37"/>
      <c r="V182" s="58"/>
      <c r="W182" s="89"/>
      <c r="X182" s="123"/>
      <c r="Y182" s="131"/>
      <c r="Z182" s="131"/>
      <c r="AA182" s="123"/>
      <c r="AB182" s="124"/>
      <c r="AC182" s="100"/>
      <c r="AD182" s="86"/>
    </row>
    <row r="183" spans="1:30" x14ac:dyDescent="0.25">
      <c r="B183" s="73"/>
      <c r="C183" s="73"/>
      <c r="D183" s="73"/>
    </row>
    <row r="184" spans="1:30" x14ac:dyDescent="0.25">
      <c r="B184" s="73"/>
      <c r="C184" s="73"/>
      <c r="D184" s="73"/>
    </row>
    <row r="185" spans="1:30" x14ac:dyDescent="0.25">
      <c r="B185" s="73"/>
      <c r="C185" s="73"/>
      <c r="D185" s="73"/>
    </row>
  </sheetData>
  <mergeCells count="52">
    <mergeCell ref="AC2:AC4"/>
    <mergeCell ref="AD2:AD4"/>
    <mergeCell ref="U3:U4"/>
    <mergeCell ref="V3:V4"/>
    <mergeCell ref="Q2:V2"/>
    <mergeCell ref="Q3:Q4"/>
    <mergeCell ref="R3:R4"/>
    <mergeCell ref="Z2:AB2"/>
    <mergeCell ref="AB3:AB4"/>
    <mergeCell ref="W2:Y2"/>
    <mergeCell ref="Y3:Y4"/>
    <mergeCell ref="G4:H4"/>
    <mergeCell ref="S3:T4"/>
    <mergeCell ref="O3:P3"/>
    <mergeCell ref="K2:P2"/>
    <mergeCell ref="C2:D3"/>
    <mergeCell ref="E2:J3"/>
    <mergeCell ref="K3:L3"/>
    <mergeCell ref="M3:N3"/>
    <mergeCell ref="A161:A182"/>
    <mergeCell ref="B176:B182"/>
    <mergeCell ref="A2:B4"/>
    <mergeCell ref="C161:C175"/>
    <mergeCell ref="B161:B175"/>
    <mergeCell ref="A5:B140"/>
    <mergeCell ref="A141:B149"/>
    <mergeCell ref="A150:B160"/>
    <mergeCell ref="D176:D182"/>
    <mergeCell ref="C176:C182"/>
    <mergeCell ref="D150:D154"/>
    <mergeCell ref="D155:D160"/>
    <mergeCell ref="C150:C160"/>
    <mergeCell ref="D161:D175"/>
    <mergeCell ref="D132:D135"/>
    <mergeCell ref="D136:D140"/>
    <mergeCell ref="C132:C140"/>
    <mergeCell ref="D141:D149"/>
    <mergeCell ref="C141:C149"/>
    <mergeCell ref="D56:D72"/>
    <mergeCell ref="C5:C72"/>
    <mergeCell ref="D73:D97"/>
    <mergeCell ref="C73:C97"/>
    <mergeCell ref="D125:D131"/>
    <mergeCell ref="C125:C131"/>
    <mergeCell ref="D5:D28"/>
    <mergeCell ref="D29:D55"/>
    <mergeCell ref="D98:D107"/>
    <mergeCell ref="C98:C107"/>
    <mergeCell ref="D108:D120"/>
    <mergeCell ref="C108:C120"/>
    <mergeCell ref="D121:D124"/>
    <mergeCell ref="C121:C124"/>
  </mergeCells>
  <pageMargins left="0.25" right="0.25" top="0.25" bottom="0.25" header="0.25" footer="0.3"/>
  <pageSetup paperSize="9" scale="31" fitToHeight="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1"/>
  <sheetViews>
    <sheetView tabSelected="1" topLeftCell="A76" zoomScale="90" zoomScaleNormal="90" workbookViewId="0">
      <selection activeCell="P104" sqref="P104"/>
    </sheetView>
  </sheetViews>
  <sheetFormatPr defaultColWidth="11.25" defaultRowHeight="15" x14ac:dyDescent="0.25"/>
  <cols>
    <col min="1" max="1" width="4.25" style="1" bestFit="1" customWidth="1"/>
    <col min="2" max="2" width="9.625" style="1" bestFit="1" customWidth="1"/>
    <col min="3" max="3" width="19.25" style="1" bestFit="1" customWidth="1"/>
    <col min="4" max="4" width="24.875" style="1" bestFit="1" customWidth="1"/>
    <col min="5" max="5" width="14.875" style="1" customWidth="1"/>
    <col min="6" max="11" width="15.75" style="1" customWidth="1"/>
    <col min="12" max="12" width="13.75" style="1" bestFit="1" customWidth="1"/>
    <col min="13" max="13" width="13.625" style="1" customWidth="1"/>
    <col min="14" max="14" width="22.125" style="1" bestFit="1" customWidth="1"/>
    <col min="15" max="16384" width="11.25" style="1"/>
  </cols>
  <sheetData>
    <row r="1" spans="1:14" ht="33" customHeight="1" x14ac:dyDescent="0.25">
      <c r="A1" s="359" t="s">
        <v>315</v>
      </c>
      <c r="B1" s="360"/>
      <c r="C1" s="348" t="s">
        <v>25</v>
      </c>
      <c r="D1" s="365"/>
      <c r="E1" s="386" t="s">
        <v>332</v>
      </c>
      <c r="F1" s="384" t="s">
        <v>326</v>
      </c>
      <c r="G1" s="384" t="s">
        <v>327</v>
      </c>
      <c r="H1" s="384" t="s">
        <v>328</v>
      </c>
      <c r="I1" s="384" t="s">
        <v>329</v>
      </c>
      <c r="J1" s="384" t="s">
        <v>330</v>
      </c>
      <c r="K1" s="348" t="s">
        <v>331</v>
      </c>
      <c r="L1" s="392" t="s">
        <v>336</v>
      </c>
      <c r="M1" s="393"/>
      <c r="N1" s="159"/>
    </row>
    <row r="2" spans="1:14" ht="16.149999999999999" customHeight="1" x14ac:dyDescent="0.25">
      <c r="A2" s="361"/>
      <c r="B2" s="362"/>
      <c r="C2" s="366"/>
      <c r="D2" s="367"/>
      <c r="E2" s="387"/>
      <c r="F2" s="385"/>
      <c r="G2" s="385"/>
      <c r="H2" s="385"/>
      <c r="I2" s="385"/>
      <c r="J2" s="385"/>
      <c r="K2" s="366"/>
      <c r="L2" s="390" t="s">
        <v>325</v>
      </c>
      <c r="M2" s="388" t="s">
        <v>335</v>
      </c>
      <c r="N2" s="159"/>
    </row>
    <row r="3" spans="1:14" ht="15.75" thickBot="1" x14ac:dyDescent="0.3">
      <c r="A3" s="363"/>
      <c r="B3" s="364"/>
      <c r="C3" s="180" t="s">
        <v>23</v>
      </c>
      <c r="D3" s="181" t="s">
        <v>24</v>
      </c>
      <c r="E3" s="387"/>
      <c r="F3" s="4">
        <v>0.2</v>
      </c>
      <c r="G3" s="4">
        <v>0.15</v>
      </c>
      <c r="H3" s="4">
        <v>0.1</v>
      </c>
      <c r="I3" s="4">
        <v>0.1</v>
      </c>
      <c r="J3" s="4">
        <v>0.05</v>
      </c>
      <c r="K3" s="4">
        <v>0.05</v>
      </c>
      <c r="L3" s="391"/>
      <c r="M3" s="389"/>
      <c r="N3" s="159"/>
    </row>
    <row r="4" spans="1:14" ht="15.6" customHeight="1" x14ac:dyDescent="0.25">
      <c r="A4" s="352" t="s">
        <v>3</v>
      </c>
      <c r="B4" s="378"/>
      <c r="C4" s="358" t="s">
        <v>5</v>
      </c>
      <c r="D4" s="146" t="s">
        <v>6</v>
      </c>
      <c r="E4" s="182">
        <v>2000</v>
      </c>
      <c r="F4" s="74">
        <f>E4*(1+$F$3)</f>
        <v>2400</v>
      </c>
      <c r="G4" s="74">
        <f t="shared" ref="G4:K6" si="0">F4*(1+G$3)</f>
        <v>2760</v>
      </c>
      <c r="H4" s="74">
        <f t="shared" si="0"/>
        <v>3036.0000000000005</v>
      </c>
      <c r="I4" s="74">
        <f t="shared" si="0"/>
        <v>3339.6000000000008</v>
      </c>
      <c r="J4" s="74">
        <f t="shared" si="0"/>
        <v>3506.5800000000008</v>
      </c>
      <c r="K4" s="79">
        <f t="shared" si="0"/>
        <v>3681.909000000001</v>
      </c>
      <c r="L4" s="368">
        <f>(589000+85000+708000)*0.3</f>
        <v>414600</v>
      </c>
      <c r="M4" s="371">
        <f>SUM(K4:K13)/L4</f>
        <v>0.22645605282199718</v>
      </c>
      <c r="N4" s="160"/>
    </row>
    <row r="5" spans="1:14" x14ac:dyDescent="0.25">
      <c r="A5" s="354"/>
      <c r="B5" s="379"/>
      <c r="C5" s="358"/>
      <c r="D5" s="146" t="s">
        <v>7</v>
      </c>
      <c r="E5" s="183">
        <v>5000</v>
      </c>
      <c r="F5" s="75">
        <f t="shared" ref="F5:F18" si="1">E5*(1+$F$3)</f>
        <v>6000</v>
      </c>
      <c r="G5" s="75">
        <f t="shared" si="0"/>
        <v>6899.9999999999991</v>
      </c>
      <c r="H5" s="75">
        <f t="shared" si="0"/>
        <v>7590</v>
      </c>
      <c r="I5" s="75">
        <f t="shared" si="0"/>
        <v>8349</v>
      </c>
      <c r="J5" s="75">
        <f t="shared" si="0"/>
        <v>8766.4500000000007</v>
      </c>
      <c r="K5" s="80">
        <f t="shared" si="0"/>
        <v>9204.7725000000009</v>
      </c>
      <c r="L5" s="369"/>
      <c r="M5" s="372"/>
      <c r="N5" s="160"/>
    </row>
    <row r="6" spans="1:14" ht="15.75" thickBot="1" x14ac:dyDescent="0.3">
      <c r="A6" s="354"/>
      <c r="B6" s="379"/>
      <c r="C6" s="344"/>
      <c r="D6" s="146" t="s">
        <v>8</v>
      </c>
      <c r="E6" s="184">
        <v>4000</v>
      </c>
      <c r="F6" s="76">
        <f t="shared" si="1"/>
        <v>4800</v>
      </c>
      <c r="G6" s="76">
        <f t="shared" si="0"/>
        <v>5520</v>
      </c>
      <c r="H6" s="76">
        <f t="shared" si="0"/>
        <v>6072.0000000000009</v>
      </c>
      <c r="I6" s="76">
        <f t="shared" si="0"/>
        <v>6679.2000000000016</v>
      </c>
      <c r="J6" s="76">
        <f t="shared" si="0"/>
        <v>7013.1600000000017</v>
      </c>
      <c r="K6" s="81">
        <f t="shared" si="0"/>
        <v>7363.818000000002</v>
      </c>
      <c r="L6" s="369"/>
      <c r="M6" s="372"/>
      <c r="N6" s="160"/>
    </row>
    <row r="7" spans="1:14" ht="15.75" thickBot="1" x14ac:dyDescent="0.3">
      <c r="A7" s="354"/>
      <c r="B7" s="379"/>
      <c r="C7" s="5" t="s">
        <v>13</v>
      </c>
      <c r="D7" s="145" t="s">
        <v>14</v>
      </c>
      <c r="E7" s="185">
        <v>10000</v>
      </c>
      <c r="F7" s="77">
        <f t="shared" si="1"/>
        <v>12000</v>
      </c>
      <c r="G7" s="77">
        <f t="shared" ref="G7:H18" si="2">F7*(1+G$3)</f>
        <v>13799.999999999998</v>
      </c>
      <c r="H7" s="77">
        <f t="shared" si="2"/>
        <v>15180</v>
      </c>
      <c r="I7" s="77">
        <f t="shared" ref="I7:K7" si="3">H7*(1+I$3)</f>
        <v>16698</v>
      </c>
      <c r="J7" s="77">
        <f t="shared" si="3"/>
        <v>17532.900000000001</v>
      </c>
      <c r="K7" s="82">
        <f t="shared" si="3"/>
        <v>18409.545000000002</v>
      </c>
      <c r="L7" s="369"/>
      <c r="M7" s="372"/>
      <c r="N7" s="160"/>
    </row>
    <row r="8" spans="1:14" ht="15.75" thickBot="1" x14ac:dyDescent="0.3">
      <c r="A8" s="354"/>
      <c r="B8" s="379"/>
      <c r="C8" s="5" t="s">
        <v>10</v>
      </c>
      <c r="D8" s="145" t="s">
        <v>6</v>
      </c>
      <c r="E8" s="186">
        <v>8000</v>
      </c>
      <c r="F8" s="78">
        <f t="shared" si="1"/>
        <v>9600</v>
      </c>
      <c r="G8" s="78">
        <f t="shared" si="2"/>
        <v>11040</v>
      </c>
      <c r="H8" s="78">
        <f t="shared" si="2"/>
        <v>12144.000000000002</v>
      </c>
      <c r="I8" s="78">
        <f t="shared" ref="I8:K8" si="4">H8*(1+I$3)</f>
        <v>13358.400000000003</v>
      </c>
      <c r="J8" s="78">
        <f t="shared" si="4"/>
        <v>14026.320000000003</v>
      </c>
      <c r="K8" s="83">
        <f t="shared" si="4"/>
        <v>14727.636000000004</v>
      </c>
      <c r="L8" s="369"/>
      <c r="M8" s="372"/>
      <c r="N8" s="160"/>
    </row>
    <row r="9" spans="1:14" ht="15.75" thickBot="1" x14ac:dyDescent="0.3">
      <c r="A9" s="354"/>
      <c r="B9" s="379"/>
      <c r="C9" s="5" t="s">
        <v>20</v>
      </c>
      <c r="D9" s="145" t="s">
        <v>8</v>
      </c>
      <c r="E9" s="186">
        <v>4500</v>
      </c>
      <c r="F9" s="78">
        <f t="shared" si="1"/>
        <v>5400</v>
      </c>
      <c r="G9" s="78">
        <f t="shared" si="2"/>
        <v>6209.9999999999991</v>
      </c>
      <c r="H9" s="78">
        <f t="shared" si="2"/>
        <v>6831</v>
      </c>
      <c r="I9" s="78">
        <f t="shared" ref="I9:K9" si="5">H9*(1+I$3)</f>
        <v>7514.1</v>
      </c>
      <c r="J9" s="78">
        <f t="shared" si="5"/>
        <v>7889.8050000000003</v>
      </c>
      <c r="K9" s="83">
        <f t="shared" si="5"/>
        <v>8284.295250000001</v>
      </c>
      <c r="L9" s="369"/>
      <c r="M9" s="372"/>
      <c r="N9" s="160"/>
    </row>
    <row r="10" spans="1:14" ht="15.75" thickBot="1" x14ac:dyDescent="0.3">
      <c r="A10" s="354"/>
      <c r="B10" s="379"/>
      <c r="C10" s="5" t="s">
        <v>11</v>
      </c>
      <c r="D10" s="145" t="s">
        <v>12</v>
      </c>
      <c r="E10" s="186">
        <v>3000</v>
      </c>
      <c r="F10" s="78">
        <f t="shared" si="1"/>
        <v>3600</v>
      </c>
      <c r="G10" s="78">
        <f t="shared" si="2"/>
        <v>4140</v>
      </c>
      <c r="H10" s="78">
        <f t="shared" si="2"/>
        <v>4554</v>
      </c>
      <c r="I10" s="78">
        <f t="shared" ref="I10:K10" si="6">H10*(1+I$3)</f>
        <v>5009.4000000000005</v>
      </c>
      <c r="J10" s="78">
        <f t="shared" si="6"/>
        <v>5259.8700000000008</v>
      </c>
      <c r="K10" s="83">
        <f t="shared" si="6"/>
        <v>5522.8635000000013</v>
      </c>
      <c r="L10" s="369"/>
      <c r="M10" s="372"/>
      <c r="N10" s="160"/>
    </row>
    <row r="11" spans="1:14" ht="15.75" thickBot="1" x14ac:dyDescent="0.3">
      <c r="A11" s="354"/>
      <c r="B11" s="379"/>
      <c r="C11" s="5" t="s">
        <v>4</v>
      </c>
      <c r="D11" s="145" t="s">
        <v>27</v>
      </c>
      <c r="E11" s="186">
        <v>7000</v>
      </c>
      <c r="F11" s="78">
        <f t="shared" si="1"/>
        <v>8400</v>
      </c>
      <c r="G11" s="78">
        <f t="shared" si="2"/>
        <v>9660</v>
      </c>
      <c r="H11" s="78">
        <f t="shared" si="2"/>
        <v>10626</v>
      </c>
      <c r="I11" s="78">
        <f t="shared" ref="I11:K11" si="7">H11*(1+I$3)</f>
        <v>11688.6</v>
      </c>
      <c r="J11" s="78">
        <f t="shared" si="7"/>
        <v>12273.03</v>
      </c>
      <c r="K11" s="83">
        <f t="shared" si="7"/>
        <v>12886.681500000001</v>
      </c>
      <c r="L11" s="369"/>
      <c r="M11" s="372"/>
      <c r="N11" s="160"/>
    </row>
    <row r="12" spans="1:14" ht="15.6" customHeight="1" x14ac:dyDescent="0.25">
      <c r="A12" s="354"/>
      <c r="B12" s="379"/>
      <c r="C12" s="343" t="s">
        <v>9</v>
      </c>
      <c r="D12" s="147" t="s">
        <v>323</v>
      </c>
      <c r="E12" s="182">
        <v>2500</v>
      </c>
      <c r="F12" s="74">
        <f t="shared" si="1"/>
        <v>3000</v>
      </c>
      <c r="G12" s="74">
        <f>F12*(1+G$3)</f>
        <v>3449.9999999999995</v>
      </c>
      <c r="H12" s="74">
        <f>G12*(1+H$3)</f>
        <v>3795</v>
      </c>
      <c r="I12" s="74">
        <f>H12*(1+I$3)</f>
        <v>4174.5</v>
      </c>
      <c r="J12" s="74">
        <f>I12*(1+J$3)</f>
        <v>4383.2250000000004</v>
      </c>
      <c r="K12" s="79">
        <f>J12*(1+K$3)</f>
        <v>4602.3862500000005</v>
      </c>
      <c r="L12" s="369"/>
      <c r="M12" s="372"/>
      <c r="N12" s="160"/>
    </row>
    <row r="13" spans="1:14" ht="16.149999999999999" customHeight="1" thickBot="1" x14ac:dyDescent="0.3">
      <c r="A13" s="356"/>
      <c r="B13" s="380"/>
      <c r="C13" s="344"/>
      <c r="D13" s="148" t="s">
        <v>324</v>
      </c>
      <c r="E13" s="184">
        <v>5000</v>
      </c>
      <c r="F13" s="76">
        <f t="shared" si="1"/>
        <v>6000</v>
      </c>
      <c r="G13" s="76">
        <f t="shared" si="2"/>
        <v>6899.9999999999991</v>
      </c>
      <c r="H13" s="76">
        <f t="shared" si="2"/>
        <v>7590</v>
      </c>
      <c r="I13" s="76">
        <f t="shared" ref="I13:K13" si="8">H13*(1+I$3)</f>
        <v>8349</v>
      </c>
      <c r="J13" s="76">
        <f t="shared" si="8"/>
        <v>8766.4500000000007</v>
      </c>
      <c r="K13" s="81">
        <f t="shared" si="8"/>
        <v>9204.7725000000009</v>
      </c>
      <c r="L13" s="370"/>
      <c r="M13" s="373"/>
      <c r="N13" s="160"/>
    </row>
    <row r="14" spans="1:14" ht="15.6" customHeight="1" thickBot="1" x14ac:dyDescent="0.3">
      <c r="A14" s="337" t="s">
        <v>18</v>
      </c>
      <c r="B14" s="381"/>
      <c r="C14" s="5" t="s">
        <v>15</v>
      </c>
      <c r="D14" s="145" t="s">
        <v>16</v>
      </c>
      <c r="E14" s="186">
        <v>9000</v>
      </c>
      <c r="F14" s="78">
        <f t="shared" si="1"/>
        <v>10800</v>
      </c>
      <c r="G14" s="78">
        <f t="shared" si="2"/>
        <v>12419.999999999998</v>
      </c>
      <c r="H14" s="78">
        <f t="shared" si="2"/>
        <v>13662</v>
      </c>
      <c r="I14" s="78">
        <f t="shared" ref="I14:K14" si="9">H14*(1+I$3)</f>
        <v>15028.2</v>
      </c>
      <c r="J14" s="78">
        <f t="shared" si="9"/>
        <v>15779.61</v>
      </c>
      <c r="K14" s="83">
        <f t="shared" si="9"/>
        <v>16568.590500000002</v>
      </c>
      <c r="L14" s="144">
        <v>128000</v>
      </c>
      <c r="M14" s="187">
        <f>K14/L14</f>
        <v>0.12944211328125002</v>
      </c>
      <c r="N14" s="160"/>
    </row>
    <row r="15" spans="1:14" ht="15.6" customHeight="1" x14ac:dyDescent="0.25">
      <c r="A15" s="339" t="s">
        <v>19</v>
      </c>
      <c r="B15" s="382"/>
      <c r="C15" s="343" t="s">
        <v>17</v>
      </c>
      <c r="D15" s="145" t="s">
        <v>265</v>
      </c>
      <c r="E15" s="182">
        <v>1500</v>
      </c>
      <c r="F15" s="74">
        <f t="shared" si="1"/>
        <v>1800</v>
      </c>
      <c r="G15" s="74">
        <f t="shared" si="2"/>
        <v>2070</v>
      </c>
      <c r="H15" s="74">
        <f t="shared" si="2"/>
        <v>2277</v>
      </c>
      <c r="I15" s="74">
        <f t="shared" ref="I15:K15" si="10">H15*(1+I$3)</f>
        <v>2504.7000000000003</v>
      </c>
      <c r="J15" s="74">
        <f t="shared" si="10"/>
        <v>2629.9350000000004</v>
      </c>
      <c r="K15" s="79">
        <f t="shared" si="10"/>
        <v>2761.4317500000006</v>
      </c>
      <c r="L15" s="374">
        <f>9670*2.5</f>
        <v>24175</v>
      </c>
      <c r="M15" s="376">
        <f>SUM(K15:K16)/L15</f>
        <v>0.26652908996897628</v>
      </c>
      <c r="N15" s="160"/>
    </row>
    <row r="16" spans="1:14" ht="15.75" thickBot="1" x14ac:dyDescent="0.3">
      <c r="A16" s="341"/>
      <c r="B16" s="383"/>
      <c r="C16" s="344"/>
      <c r="D16" s="146" t="s">
        <v>270</v>
      </c>
      <c r="E16" s="184">
        <v>2000</v>
      </c>
      <c r="F16" s="76">
        <f t="shared" si="1"/>
        <v>2400</v>
      </c>
      <c r="G16" s="76">
        <f t="shared" si="2"/>
        <v>2760</v>
      </c>
      <c r="H16" s="76">
        <f t="shared" si="2"/>
        <v>3036.0000000000005</v>
      </c>
      <c r="I16" s="76">
        <f t="shared" ref="I16:K16" si="11">H16*(1+I$3)</f>
        <v>3339.6000000000008</v>
      </c>
      <c r="J16" s="76">
        <f t="shared" si="11"/>
        <v>3506.5800000000008</v>
      </c>
      <c r="K16" s="81">
        <f t="shared" si="11"/>
        <v>3681.909000000001</v>
      </c>
      <c r="L16" s="375"/>
      <c r="M16" s="377"/>
      <c r="N16" s="160"/>
    </row>
    <row r="17" spans="1:14" ht="15.6" customHeight="1" thickBot="1" x14ac:dyDescent="0.3">
      <c r="A17" s="345" t="s">
        <v>276</v>
      </c>
      <c r="B17" s="6" t="s">
        <v>1</v>
      </c>
      <c r="C17" s="5" t="s">
        <v>0</v>
      </c>
      <c r="D17" s="145" t="s">
        <v>2</v>
      </c>
      <c r="E17" s="186">
        <v>1000</v>
      </c>
      <c r="F17" s="78">
        <f t="shared" si="1"/>
        <v>1200</v>
      </c>
      <c r="G17" s="78">
        <f t="shared" si="2"/>
        <v>1380</v>
      </c>
      <c r="H17" s="78">
        <f t="shared" si="2"/>
        <v>1518.0000000000002</v>
      </c>
      <c r="I17" s="78">
        <f t="shared" ref="I17:K17" si="12">H17*(1+I$3)</f>
        <v>1669.8000000000004</v>
      </c>
      <c r="J17" s="78">
        <f t="shared" si="12"/>
        <v>1753.2900000000004</v>
      </c>
      <c r="K17" s="83">
        <f t="shared" si="12"/>
        <v>1840.9545000000005</v>
      </c>
      <c r="L17" s="188">
        <v>32000</v>
      </c>
      <c r="M17" s="187">
        <f>K17/L17</f>
        <v>5.7529828125000015E-2</v>
      </c>
      <c r="N17" s="160"/>
    </row>
    <row r="18" spans="1:14" ht="15.6" customHeight="1" thickBot="1" x14ac:dyDescent="0.3">
      <c r="A18" s="346"/>
      <c r="B18" s="149" t="s">
        <v>21</v>
      </c>
      <c r="C18" s="150" t="s">
        <v>22</v>
      </c>
      <c r="D18" s="151" t="s">
        <v>314</v>
      </c>
      <c r="E18" s="186">
        <v>1200</v>
      </c>
      <c r="F18" s="78">
        <f t="shared" si="1"/>
        <v>1440</v>
      </c>
      <c r="G18" s="78">
        <f t="shared" si="2"/>
        <v>1655.9999999999998</v>
      </c>
      <c r="H18" s="78">
        <f t="shared" si="2"/>
        <v>1821.6</v>
      </c>
      <c r="I18" s="78">
        <f t="shared" ref="I18:K18" si="13">H18*(1+I$3)</f>
        <v>2003.76</v>
      </c>
      <c r="J18" s="78">
        <f t="shared" si="13"/>
        <v>2103.9479999999999</v>
      </c>
      <c r="K18" s="83">
        <f t="shared" si="13"/>
        <v>2209.1453999999999</v>
      </c>
      <c r="L18" s="189">
        <v>7400</v>
      </c>
      <c r="M18" s="190">
        <f>K18/L18</f>
        <v>0.29853316216216214</v>
      </c>
      <c r="N18" s="160"/>
    </row>
    <row r="19" spans="1:14" ht="7.9" customHeight="1" thickBot="1" x14ac:dyDescent="0.3">
      <c r="A19" s="157"/>
      <c r="B19" s="158"/>
      <c r="C19" s="158"/>
      <c r="D19" s="158"/>
      <c r="E19" s="157"/>
      <c r="F19" s="157"/>
      <c r="G19" s="157"/>
      <c r="H19" s="157"/>
      <c r="I19" s="157"/>
      <c r="J19" s="157"/>
      <c r="K19" s="157"/>
      <c r="L19" s="157"/>
      <c r="M19" s="335">
        <f>1*1.2*1.15*1.1*1.05*1.05</f>
        <v>1.6735950000000002</v>
      </c>
      <c r="N19" s="157"/>
    </row>
    <row r="20" spans="1:14" x14ac:dyDescent="0.25">
      <c r="A20" s="359" t="s">
        <v>315</v>
      </c>
      <c r="B20" s="360"/>
      <c r="C20" s="348" t="s">
        <v>25</v>
      </c>
      <c r="D20" s="365"/>
      <c r="E20" s="348" t="s">
        <v>343</v>
      </c>
      <c r="F20" s="348" t="s">
        <v>345</v>
      </c>
      <c r="G20" s="348" t="s">
        <v>346</v>
      </c>
      <c r="H20" s="348" t="s">
        <v>347</v>
      </c>
      <c r="I20" s="348" t="s">
        <v>348</v>
      </c>
      <c r="J20" s="348" t="s">
        <v>349</v>
      </c>
      <c r="K20" s="350" t="s">
        <v>350</v>
      </c>
      <c r="L20" s="157"/>
      <c r="M20" s="336"/>
      <c r="N20" s="157"/>
    </row>
    <row r="21" spans="1:14" x14ac:dyDescent="0.25">
      <c r="A21" s="361"/>
      <c r="B21" s="362"/>
      <c r="C21" s="366"/>
      <c r="D21" s="367"/>
      <c r="E21" s="349"/>
      <c r="F21" s="349"/>
      <c r="G21" s="349"/>
      <c r="H21" s="349"/>
      <c r="I21" s="349"/>
      <c r="J21" s="349"/>
      <c r="K21" s="351"/>
      <c r="L21" s="157"/>
      <c r="M21" s="157"/>
      <c r="N21" s="157"/>
    </row>
    <row r="22" spans="1:14" ht="15.75" thickBot="1" x14ac:dyDescent="0.3">
      <c r="A22" s="363"/>
      <c r="B22" s="364"/>
      <c r="C22" s="2" t="s">
        <v>23</v>
      </c>
      <c r="D22" s="3" t="s">
        <v>24</v>
      </c>
      <c r="E22" s="349"/>
      <c r="F22" s="349"/>
      <c r="G22" s="349"/>
      <c r="H22" s="349"/>
      <c r="I22" s="349"/>
      <c r="J22" s="349"/>
      <c r="K22" s="351"/>
      <c r="L22" s="157"/>
      <c r="M22" s="157"/>
      <c r="N22" s="157"/>
    </row>
    <row r="23" spans="1:14" x14ac:dyDescent="0.25">
      <c r="A23" s="352" t="s">
        <v>3</v>
      </c>
      <c r="B23" s="353"/>
      <c r="C23" s="343" t="s">
        <v>5</v>
      </c>
      <c r="D23" s="145" t="s">
        <v>6</v>
      </c>
      <c r="E23" s="161">
        <v>0.105</v>
      </c>
      <c r="F23" s="162">
        <f>F4*30*E23</f>
        <v>7560</v>
      </c>
      <c r="G23" s="162">
        <f>G4*30*E23</f>
        <v>8694</v>
      </c>
      <c r="H23" s="162">
        <f t="shared" ref="H23:K33" si="14">H4*30*$E23</f>
        <v>9563.4000000000015</v>
      </c>
      <c r="I23" s="162">
        <f t="shared" si="14"/>
        <v>10519.740000000003</v>
      </c>
      <c r="J23" s="162">
        <f t="shared" si="14"/>
        <v>11045.727000000003</v>
      </c>
      <c r="K23" s="162">
        <f t="shared" si="14"/>
        <v>11598.013350000003</v>
      </c>
      <c r="L23" s="175">
        <f>SUM(F23:K23)</f>
        <v>58980.880350000014</v>
      </c>
      <c r="M23" s="157"/>
      <c r="N23" s="157"/>
    </row>
    <row r="24" spans="1:14" x14ac:dyDescent="0.25">
      <c r="A24" s="354"/>
      <c r="B24" s="355"/>
      <c r="C24" s="358"/>
      <c r="D24" s="146" t="s">
        <v>7</v>
      </c>
      <c r="E24" s="163">
        <v>9.2999999999999999E-2</v>
      </c>
      <c r="F24" s="164">
        <f t="shared" ref="F24:F36" si="15">F5*30*E24</f>
        <v>16740</v>
      </c>
      <c r="G24" s="164">
        <f>G5*30*E24</f>
        <v>19250.999999999996</v>
      </c>
      <c r="H24" s="164">
        <f t="shared" si="14"/>
        <v>21176.1</v>
      </c>
      <c r="I24" s="164">
        <f t="shared" si="14"/>
        <v>23293.71</v>
      </c>
      <c r="J24" s="164">
        <f t="shared" si="14"/>
        <v>24458.395499999999</v>
      </c>
      <c r="K24" s="164">
        <f t="shared" si="14"/>
        <v>25681.315275000004</v>
      </c>
      <c r="L24" s="175">
        <f t="shared" ref="L24:L38" si="16">SUM(F24:K24)</f>
        <v>130600.520775</v>
      </c>
      <c r="M24" s="157"/>
      <c r="N24" s="157"/>
    </row>
    <row r="25" spans="1:14" ht="15.75" thickBot="1" x14ac:dyDescent="0.3">
      <c r="A25" s="354"/>
      <c r="B25" s="355"/>
      <c r="C25" s="344"/>
      <c r="D25" s="146" t="s">
        <v>8</v>
      </c>
      <c r="E25" s="165">
        <v>0.23400000000000001</v>
      </c>
      <c r="F25" s="166">
        <f t="shared" si="15"/>
        <v>33696</v>
      </c>
      <c r="G25" s="166">
        <f>G6*30*E25</f>
        <v>38750.400000000001</v>
      </c>
      <c r="H25" s="166">
        <f t="shared" si="14"/>
        <v>42625.44000000001</v>
      </c>
      <c r="I25" s="166">
        <f t="shared" si="14"/>
        <v>46887.984000000019</v>
      </c>
      <c r="J25" s="166">
        <f t="shared" si="14"/>
        <v>49232.383200000011</v>
      </c>
      <c r="K25" s="166">
        <f t="shared" si="14"/>
        <v>51694.00236000002</v>
      </c>
      <c r="L25" s="175">
        <f t="shared" si="16"/>
        <v>262886.20956000005</v>
      </c>
      <c r="M25" s="157"/>
      <c r="N25" s="157"/>
    </row>
    <row r="26" spans="1:14" ht="15.75" thickBot="1" x14ac:dyDescent="0.3">
      <c r="A26" s="354"/>
      <c r="B26" s="355"/>
      <c r="C26" s="5" t="s">
        <v>13</v>
      </c>
      <c r="D26" s="145" t="s">
        <v>14</v>
      </c>
      <c r="E26" s="167">
        <v>0.06</v>
      </c>
      <c r="F26" s="168">
        <f t="shared" si="15"/>
        <v>21600</v>
      </c>
      <c r="G26" s="172">
        <f>G7*30*E26</f>
        <v>24839.999999999996</v>
      </c>
      <c r="H26" s="172">
        <f t="shared" si="14"/>
        <v>27324</v>
      </c>
      <c r="I26" s="172">
        <f t="shared" si="14"/>
        <v>30056.399999999998</v>
      </c>
      <c r="J26" s="172">
        <f t="shared" si="14"/>
        <v>31559.219999999998</v>
      </c>
      <c r="K26" s="172">
        <f t="shared" si="14"/>
        <v>33137.181000000004</v>
      </c>
      <c r="L26" s="175">
        <f t="shared" si="16"/>
        <v>168516.80100000001</v>
      </c>
      <c r="M26" s="157"/>
      <c r="N26" s="157"/>
    </row>
    <row r="27" spans="1:14" ht="15.75" thickBot="1" x14ac:dyDescent="0.3">
      <c r="A27" s="354"/>
      <c r="B27" s="355"/>
      <c r="C27" s="5" t="s">
        <v>10</v>
      </c>
      <c r="D27" s="145" t="s">
        <v>6</v>
      </c>
      <c r="E27" s="169">
        <v>9.0899999999999995E-2</v>
      </c>
      <c r="F27" s="162">
        <f t="shared" si="15"/>
        <v>26179.199999999997</v>
      </c>
      <c r="G27" s="172">
        <f t="shared" ref="G27:G30" si="17">G8*30*E27</f>
        <v>30106.079999999998</v>
      </c>
      <c r="H27" s="172">
        <f t="shared" si="14"/>
        <v>33116.688000000002</v>
      </c>
      <c r="I27" s="172">
        <f t="shared" si="14"/>
        <v>36428.356800000009</v>
      </c>
      <c r="J27" s="172">
        <f t="shared" si="14"/>
        <v>38249.774640000003</v>
      </c>
      <c r="K27" s="172">
        <f t="shared" si="14"/>
        <v>40162.263372000009</v>
      </c>
      <c r="L27" s="175">
        <f t="shared" si="16"/>
        <v>204242.36281200004</v>
      </c>
      <c r="M27" s="157"/>
      <c r="N27" s="157"/>
    </row>
    <row r="28" spans="1:14" ht="15.75" thickBot="1" x14ac:dyDescent="0.3">
      <c r="A28" s="354"/>
      <c r="B28" s="355"/>
      <c r="C28" s="5" t="s">
        <v>20</v>
      </c>
      <c r="D28" s="145" t="s">
        <v>8</v>
      </c>
      <c r="E28" s="169">
        <v>6.1499999999999999E-2</v>
      </c>
      <c r="F28" s="162">
        <f t="shared" si="15"/>
        <v>9963</v>
      </c>
      <c r="G28" s="172">
        <f t="shared" si="17"/>
        <v>11457.449999999999</v>
      </c>
      <c r="H28" s="172">
        <f t="shared" si="14"/>
        <v>12603.195</v>
      </c>
      <c r="I28" s="172">
        <f t="shared" si="14"/>
        <v>13863.514499999999</v>
      </c>
      <c r="J28" s="172">
        <f t="shared" si="14"/>
        <v>14556.690225000002</v>
      </c>
      <c r="K28" s="172">
        <f t="shared" si="14"/>
        <v>15284.524736250003</v>
      </c>
      <c r="L28" s="175">
        <f t="shared" si="16"/>
        <v>77728.374461250001</v>
      </c>
      <c r="M28" s="157"/>
      <c r="N28" s="157"/>
    </row>
    <row r="29" spans="1:14" ht="15.75" thickBot="1" x14ac:dyDescent="0.3">
      <c r="A29" s="354"/>
      <c r="B29" s="355"/>
      <c r="C29" s="5" t="s">
        <v>11</v>
      </c>
      <c r="D29" s="145" t="s">
        <v>12</v>
      </c>
      <c r="E29" s="169">
        <v>0.21</v>
      </c>
      <c r="F29" s="162">
        <f t="shared" si="15"/>
        <v>22680</v>
      </c>
      <c r="G29" s="172">
        <f t="shared" si="17"/>
        <v>26082</v>
      </c>
      <c r="H29" s="172">
        <f t="shared" si="14"/>
        <v>28690.2</v>
      </c>
      <c r="I29" s="172">
        <f t="shared" si="14"/>
        <v>31559.220000000005</v>
      </c>
      <c r="J29" s="172">
        <f t="shared" si="14"/>
        <v>33137.181000000004</v>
      </c>
      <c r="K29" s="172">
        <f t="shared" si="14"/>
        <v>34794.040050000003</v>
      </c>
      <c r="L29" s="175">
        <f t="shared" si="16"/>
        <v>176942.64105000001</v>
      </c>
      <c r="M29" s="157"/>
      <c r="N29" s="157"/>
    </row>
    <row r="30" spans="1:14" ht="15.75" thickBot="1" x14ac:dyDescent="0.3">
      <c r="A30" s="354"/>
      <c r="B30" s="355"/>
      <c r="C30" s="5" t="s">
        <v>4</v>
      </c>
      <c r="D30" s="145" t="s">
        <v>27</v>
      </c>
      <c r="E30" s="169">
        <v>6.7500000000000004E-2</v>
      </c>
      <c r="F30" s="170">
        <f t="shared" si="15"/>
        <v>17010</v>
      </c>
      <c r="G30" s="168">
        <f t="shared" si="17"/>
        <v>19561.5</v>
      </c>
      <c r="H30" s="168">
        <f t="shared" si="14"/>
        <v>21517.65</v>
      </c>
      <c r="I30" s="168">
        <f t="shared" si="14"/>
        <v>23669.415000000001</v>
      </c>
      <c r="J30" s="168">
        <f t="shared" si="14"/>
        <v>24852.885750000005</v>
      </c>
      <c r="K30" s="168">
        <f t="shared" si="14"/>
        <v>26095.530037500001</v>
      </c>
      <c r="L30" s="175">
        <f t="shared" si="16"/>
        <v>132706.98078750001</v>
      </c>
      <c r="M30" s="157"/>
      <c r="N30" s="157"/>
    </row>
    <row r="31" spans="1:14" x14ac:dyDescent="0.25">
      <c r="A31" s="354"/>
      <c r="B31" s="355"/>
      <c r="C31" s="343" t="s">
        <v>9</v>
      </c>
      <c r="D31" s="147" t="s">
        <v>323</v>
      </c>
      <c r="E31" s="161">
        <v>0.316</v>
      </c>
      <c r="F31" s="162">
        <f t="shared" si="15"/>
        <v>28440</v>
      </c>
      <c r="G31" s="162">
        <f>G12*30*E31</f>
        <v>32705.999999999996</v>
      </c>
      <c r="H31" s="162">
        <f t="shared" si="14"/>
        <v>35976.6</v>
      </c>
      <c r="I31" s="162">
        <f t="shared" si="14"/>
        <v>39574.26</v>
      </c>
      <c r="J31" s="162">
        <f t="shared" si="14"/>
        <v>41552.972999999998</v>
      </c>
      <c r="K31" s="162">
        <f t="shared" si="14"/>
        <v>43630.621650000008</v>
      </c>
      <c r="L31" s="175">
        <f t="shared" si="16"/>
        <v>221880.45465000003</v>
      </c>
      <c r="M31" s="157"/>
      <c r="N31" s="157"/>
    </row>
    <row r="32" spans="1:14" ht="30.75" thickBot="1" x14ac:dyDescent="0.3">
      <c r="A32" s="356"/>
      <c r="B32" s="357"/>
      <c r="C32" s="344"/>
      <c r="D32" s="148" t="s">
        <v>324</v>
      </c>
      <c r="E32" s="165">
        <v>0.38</v>
      </c>
      <c r="F32" s="166">
        <f t="shared" si="15"/>
        <v>68400</v>
      </c>
      <c r="G32" s="166">
        <f>G13*30*E32</f>
        <v>78659.999999999985</v>
      </c>
      <c r="H32" s="166">
        <f t="shared" si="14"/>
        <v>86526</v>
      </c>
      <c r="I32" s="166">
        <f t="shared" si="14"/>
        <v>95178.6</v>
      </c>
      <c r="J32" s="166">
        <f t="shared" si="14"/>
        <v>99937.53</v>
      </c>
      <c r="K32" s="166">
        <f t="shared" si="14"/>
        <v>104934.40650000001</v>
      </c>
      <c r="L32" s="175">
        <f t="shared" si="16"/>
        <v>533636.53650000005</v>
      </c>
      <c r="M32" s="157"/>
      <c r="N32" s="157"/>
    </row>
    <row r="33" spans="1:14" ht="15.75" thickBot="1" x14ac:dyDescent="0.3">
      <c r="A33" s="337" t="s">
        <v>18</v>
      </c>
      <c r="B33" s="338"/>
      <c r="C33" s="5" t="s">
        <v>15</v>
      </c>
      <c r="D33" s="145" t="s">
        <v>16</v>
      </c>
      <c r="E33" s="169">
        <v>0.158</v>
      </c>
      <c r="F33" s="171">
        <f t="shared" si="15"/>
        <v>51192</v>
      </c>
      <c r="G33" s="171">
        <f>G14*30*E33</f>
        <v>58870.799999999988</v>
      </c>
      <c r="H33" s="171">
        <f t="shared" si="14"/>
        <v>64757.88</v>
      </c>
      <c r="I33" s="171">
        <f t="shared" si="14"/>
        <v>71233.668000000005</v>
      </c>
      <c r="J33" s="171">
        <f t="shared" si="14"/>
        <v>74795.351400000014</v>
      </c>
      <c r="K33" s="171">
        <f t="shared" si="14"/>
        <v>78535.11897000001</v>
      </c>
      <c r="L33" s="175">
        <f t="shared" si="16"/>
        <v>399384.81837000005</v>
      </c>
      <c r="M33" s="157"/>
      <c r="N33" s="157"/>
    </row>
    <row r="34" spans="1:14" x14ac:dyDescent="0.25">
      <c r="A34" s="339" t="s">
        <v>19</v>
      </c>
      <c r="B34" s="340"/>
      <c r="C34" s="343" t="s">
        <v>17</v>
      </c>
      <c r="D34" s="145" t="s">
        <v>265</v>
      </c>
      <c r="E34" s="161">
        <v>24.03</v>
      </c>
      <c r="F34" s="162">
        <f>F15*1*E34</f>
        <v>43254</v>
      </c>
      <c r="G34" s="162">
        <f>G15*1*E34</f>
        <v>49742.100000000006</v>
      </c>
      <c r="H34" s="162">
        <f t="shared" ref="H34:K35" si="18">H15*1*$E34</f>
        <v>54716.310000000005</v>
      </c>
      <c r="I34" s="162">
        <f t="shared" si="18"/>
        <v>60187.941000000006</v>
      </c>
      <c r="J34" s="162">
        <f t="shared" si="18"/>
        <v>63197.338050000013</v>
      </c>
      <c r="K34" s="162">
        <f t="shared" si="18"/>
        <v>66357.204952500018</v>
      </c>
      <c r="L34" s="175">
        <f t="shared" si="16"/>
        <v>337454.89400250005</v>
      </c>
      <c r="M34" s="157"/>
      <c r="N34" s="157"/>
    </row>
    <row r="35" spans="1:14" ht="15.75" thickBot="1" x14ac:dyDescent="0.3">
      <c r="A35" s="341"/>
      <c r="B35" s="342"/>
      <c r="C35" s="344"/>
      <c r="D35" s="146" t="s">
        <v>270</v>
      </c>
      <c r="E35" s="165">
        <v>30.01</v>
      </c>
      <c r="F35" s="166">
        <f>F16*1*E35</f>
        <v>72024</v>
      </c>
      <c r="G35" s="166">
        <f>G16*1*E35</f>
        <v>82827.600000000006</v>
      </c>
      <c r="H35" s="166">
        <f t="shared" si="18"/>
        <v>91110.360000000015</v>
      </c>
      <c r="I35" s="166">
        <f t="shared" si="18"/>
        <v>100221.39600000004</v>
      </c>
      <c r="J35" s="166">
        <f t="shared" si="18"/>
        <v>105232.46580000003</v>
      </c>
      <c r="K35" s="166">
        <f t="shared" si="18"/>
        <v>110494.08909000004</v>
      </c>
      <c r="L35" s="175">
        <f t="shared" si="16"/>
        <v>561909.91089000006</v>
      </c>
      <c r="M35" s="157"/>
      <c r="N35" s="157"/>
    </row>
    <row r="36" spans="1:14" ht="15.75" thickBot="1" x14ac:dyDescent="0.3">
      <c r="A36" s="345" t="s">
        <v>276</v>
      </c>
      <c r="B36" s="6" t="s">
        <v>1</v>
      </c>
      <c r="C36" s="5" t="s">
        <v>0</v>
      </c>
      <c r="D36" s="145" t="s">
        <v>2</v>
      </c>
      <c r="E36" s="169">
        <v>6.9599999999999995E-2</v>
      </c>
      <c r="F36" s="168">
        <f t="shared" si="15"/>
        <v>2505.6</v>
      </c>
      <c r="G36" s="168">
        <f>G17*30*E36</f>
        <v>2881.4399999999996</v>
      </c>
      <c r="H36" s="168">
        <f t="shared" ref="H36:K37" si="19">H17*30*$E36</f>
        <v>3169.5840000000003</v>
      </c>
      <c r="I36" s="168">
        <f t="shared" si="19"/>
        <v>3486.5424000000007</v>
      </c>
      <c r="J36" s="168">
        <f t="shared" si="19"/>
        <v>3660.8695200000006</v>
      </c>
      <c r="K36" s="168">
        <f t="shared" si="19"/>
        <v>3843.9129960000009</v>
      </c>
      <c r="L36" s="175">
        <f t="shared" si="16"/>
        <v>19547.948916000001</v>
      </c>
      <c r="M36" s="157"/>
      <c r="N36" s="157"/>
    </row>
    <row r="37" spans="1:14" ht="15.75" thickBot="1" x14ac:dyDescent="0.3">
      <c r="A37" s="346"/>
      <c r="B37" s="149" t="s">
        <v>21</v>
      </c>
      <c r="C37" s="150" t="s">
        <v>22</v>
      </c>
      <c r="D37" s="151" t="s">
        <v>314</v>
      </c>
      <c r="E37" s="169">
        <v>0.51</v>
      </c>
      <c r="F37" s="172">
        <f>F18*30*E37</f>
        <v>22032</v>
      </c>
      <c r="G37" s="172">
        <f>G18*30*E37</f>
        <v>25336.799999999996</v>
      </c>
      <c r="H37" s="172">
        <f t="shared" si="19"/>
        <v>27870.48</v>
      </c>
      <c r="I37" s="172">
        <f t="shared" si="19"/>
        <v>30657.528000000002</v>
      </c>
      <c r="J37" s="172">
        <f t="shared" si="19"/>
        <v>32190.404399999999</v>
      </c>
      <c r="K37" s="172">
        <f t="shared" si="19"/>
        <v>33799.924619999998</v>
      </c>
      <c r="L37" s="175">
        <f t="shared" si="16"/>
        <v>171887.13702000002</v>
      </c>
      <c r="M37" s="157"/>
      <c r="N37" s="157"/>
    </row>
    <row r="38" spans="1:14" x14ac:dyDescent="0.25">
      <c r="A38" s="157"/>
      <c r="B38" s="157"/>
      <c r="C38" s="157"/>
      <c r="D38" s="157"/>
      <c r="E38" s="174"/>
      <c r="F38" s="173">
        <f t="shared" ref="F38:K38" si="20">SUM(F23:F37)</f>
        <v>443275.8</v>
      </c>
      <c r="G38" s="173">
        <f t="shared" si="20"/>
        <v>509767.16999999993</v>
      </c>
      <c r="H38" s="173">
        <f t="shared" si="20"/>
        <v>560743.8870000001</v>
      </c>
      <c r="I38" s="173">
        <f t="shared" si="20"/>
        <v>616818.27570000011</v>
      </c>
      <c r="J38" s="173">
        <f t="shared" si="20"/>
        <v>647659.1894850001</v>
      </c>
      <c r="K38" s="173">
        <f t="shared" si="20"/>
        <v>680042.14895925007</v>
      </c>
      <c r="L38" s="347">
        <f t="shared" si="16"/>
        <v>3458306.4711442501</v>
      </c>
      <c r="M38" s="347"/>
      <c r="N38" s="157"/>
    </row>
    <row r="39" spans="1:14" ht="15.75" thickBot="1" x14ac:dyDescent="0.3">
      <c r="A39" s="157"/>
      <c r="B39" s="157"/>
      <c r="C39" s="179" t="s">
        <v>354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</row>
    <row r="40" spans="1:14" x14ac:dyDescent="0.25">
      <c r="A40" s="359" t="s">
        <v>315</v>
      </c>
      <c r="B40" s="360"/>
      <c r="C40" s="348" t="s">
        <v>25</v>
      </c>
      <c r="D40" s="365"/>
      <c r="E40" s="348" t="s">
        <v>355</v>
      </c>
      <c r="F40" s="348" t="s">
        <v>369</v>
      </c>
      <c r="G40" s="348" t="s">
        <v>370</v>
      </c>
      <c r="H40" s="348" t="s">
        <v>371</v>
      </c>
      <c r="I40" s="348" t="s">
        <v>372</v>
      </c>
      <c r="J40" s="348" t="s">
        <v>373</v>
      </c>
      <c r="K40" s="350" t="s">
        <v>374</v>
      </c>
      <c r="L40" s="157"/>
      <c r="M40" s="157"/>
      <c r="N40" s="157"/>
    </row>
    <row r="41" spans="1:14" x14ac:dyDescent="0.25">
      <c r="A41" s="361"/>
      <c r="B41" s="362"/>
      <c r="C41" s="366"/>
      <c r="D41" s="367"/>
      <c r="E41" s="349"/>
      <c r="F41" s="349"/>
      <c r="G41" s="349"/>
      <c r="H41" s="349"/>
      <c r="I41" s="349"/>
      <c r="J41" s="349"/>
      <c r="K41" s="351"/>
      <c r="L41" s="157"/>
      <c r="M41" s="157"/>
      <c r="N41" s="157"/>
    </row>
    <row r="42" spans="1:14" ht="15.75" thickBot="1" x14ac:dyDescent="0.3">
      <c r="A42" s="363"/>
      <c r="B42" s="364"/>
      <c r="C42" s="2" t="s">
        <v>23</v>
      </c>
      <c r="D42" s="3" t="s">
        <v>24</v>
      </c>
      <c r="E42" s="349"/>
      <c r="F42" s="349"/>
      <c r="G42" s="349"/>
      <c r="H42" s="349"/>
      <c r="I42" s="349"/>
      <c r="J42" s="349"/>
      <c r="K42" s="351"/>
      <c r="L42" s="157"/>
      <c r="M42" s="255" t="s">
        <v>378</v>
      </c>
      <c r="N42" s="157"/>
    </row>
    <row r="43" spans="1:14" x14ac:dyDescent="0.25">
      <c r="A43" s="352" t="s">
        <v>3</v>
      </c>
      <c r="B43" s="353"/>
      <c r="C43" s="343" t="s">
        <v>5</v>
      </c>
      <c r="D43" s="145" t="s">
        <v>6</v>
      </c>
      <c r="E43" s="154">
        <v>6.2249999999999993E-2</v>
      </c>
      <c r="F43" s="162">
        <f t="shared" ref="F43:K53" si="21">F4*$E43*30</f>
        <v>4481.9999999999991</v>
      </c>
      <c r="G43" s="162">
        <f t="shared" si="21"/>
        <v>5154.2999999999993</v>
      </c>
      <c r="H43" s="162">
        <f t="shared" si="21"/>
        <v>5669.7300000000005</v>
      </c>
      <c r="I43" s="162">
        <f t="shared" si="21"/>
        <v>6236.7030000000004</v>
      </c>
      <c r="J43" s="162">
        <f t="shared" si="21"/>
        <v>6548.5381500000012</v>
      </c>
      <c r="K43" s="162">
        <f t="shared" si="21"/>
        <v>6875.9650575000005</v>
      </c>
      <c r="L43" s="175">
        <f>SUM(F43:K43)</f>
        <v>34967.236207499998</v>
      </c>
      <c r="M43" s="254">
        <f>(L43-L23)/L23</f>
        <v>-0.40714285714285731</v>
      </c>
      <c r="N43" s="176" t="s">
        <v>88</v>
      </c>
    </row>
    <row r="44" spans="1:14" x14ac:dyDescent="0.25">
      <c r="A44" s="354"/>
      <c r="B44" s="355"/>
      <c r="C44" s="358"/>
      <c r="D44" s="146" t="s">
        <v>7</v>
      </c>
      <c r="E44" s="155">
        <v>0.09</v>
      </c>
      <c r="F44" s="164">
        <f t="shared" si="21"/>
        <v>16200</v>
      </c>
      <c r="G44" s="164">
        <f t="shared" si="21"/>
        <v>18629.999999999996</v>
      </c>
      <c r="H44" s="164">
        <f t="shared" si="21"/>
        <v>20493</v>
      </c>
      <c r="I44" s="164">
        <f t="shared" si="21"/>
        <v>22542.3</v>
      </c>
      <c r="J44" s="164">
        <f t="shared" si="21"/>
        <v>23669.415000000001</v>
      </c>
      <c r="K44" s="164">
        <f t="shared" si="21"/>
        <v>24852.885750000001</v>
      </c>
      <c r="L44" s="175">
        <f t="shared" ref="L44:L58" si="22">SUM(F44:K44)</f>
        <v>126387.60075</v>
      </c>
      <c r="M44" s="254">
        <f t="shared" ref="M44:M57" si="23">(L44-L24)/L24</f>
        <v>-3.2258064516129031E-2</v>
      </c>
      <c r="N44" s="176" t="s">
        <v>351</v>
      </c>
    </row>
    <row r="45" spans="1:14" ht="15.75" thickBot="1" x14ac:dyDescent="0.3">
      <c r="A45" s="354"/>
      <c r="B45" s="355"/>
      <c r="C45" s="344"/>
      <c r="D45" s="146" t="s">
        <v>8</v>
      </c>
      <c r="E45" s="156">
        <v>0.43491999999999997</v>
      </c>
      <c r="F45" s="166">
        <f t="shared" si="21"/>
        <v>62628.479999999996</v>
      </c>
      <c r="G45" s="166">
        <f t="shared" si="21"/>
        <v>72022.751999999993</v>
      </c>
      <c r="H45" s="166">
        <f t="shared" si="21"/>
        <v>79225.027200000011</v>
      </c>
      <c r="I45" s="166">
        <f t="shared" si="21"/>
        <v>87147.529920000015</v>
      </c>
      <c r="J45" s="166">
        <f t="shared" si="21"/>
        <v>91504.906416000027</v>
      </c>
      <c r="K45" s="166">
        <f t="shared" si="21"/>
        <v>96080.15173680002</v>
      </c>
      <c r="L45" s="175">
        <f t="shared" si="22"/>
        <v>488608.84727280011</v>
      </c>
      <c r="M45" s="254">
        <f t="shared" si="23"/>
        <v>0.85863247863247871</v>
      </c>
      <c r="N45" s="176" t="s">
        <v>352</v>
      </c>
    </row>
    <row r="46" spans="1:14" ht="15.75" thickBot="1" x14ac:dyDescent="0.3">
      <c r="A46" s="354"/>
      <c r="B46" s="355"/>
      <c r="C46" s="5" t="s">
        <v>13</v>
      </c>
      <c r="D46" s="145" t="s">
        <v>14</v>
      </c>
      <c r="E46" s="152">
        <v>0.06</v>
      </c>
      <c r="F46" s="168">
        <f t="shared" si="21"/>
        <v>21600</v>
      </c>
      <c r="G46" s="168">
        <f t="shared" si="21"/>
        <v>24839.999999999996</v>
      </c>
      <c r="H46" s="168">
        <f t="shared" si="21"/>
        <v>27324</v>
      </c>
      <c r="I46" s="168">
        <f t="shared" si="21"/>
        <v>30056.400000000001</v>
      </c>
      <c r="J46" s="168">
        <f t="shared" si="21"/>
        <v>31559.220000000005</v>
      </c>
      <c r="K46" s="168">
        <f t="shared" si="21"/>
        <v>33137.181000000004</v>
      </c>
      <c r="L46" s="175">
        <f t="shared" si="22"/>
        <v>168516.80100000001</v>
      </c>
      <c r="M46" s="254">
        <f t="shared" si="23"/>
        <v>0</v>
      </c>
      <c r="N46" s="176" t="s">
        <v>351</v>
      </c>
    </row>
    <row r="47" spans="1:14" ht="15.75" thickBot="1" x14ac:dyDescent="0.3">
      <c r="A47" s="354"/>
      <c r="B47" s="355"/>
      <c r="C47" s="5" t="s">
        <v>10</v>
      </c>
      <c r="D47" s="145" t="s">
        <v>6</v>
      </c>
      <c r="E47" s="153">
        <v>9.7110000000000002E-2</v>
      </c>
      <c r="F47" s="162">
        <f t="shared" si="21"/>
        <v>27967.68</v>
      </c>
      <c r="G47" s="162">
        <f t="shared" si="21"/>
        <v>32162.831999999999</v>
      </c>
      <c r="H47" s="162">
        <f t="shared" si="21"/>
        <v>35379.115200000007</v>
      </c>
      <c r="I47" s="162">
        <f t="shared" si="21"/>
        <v>38917.026720000009</v>
      </c>
      <c r="J47" s="162">
        <f t="shared" si="21"/>
        <v>40862.878056000016</v>
      </c>
      <c r="K47" s="162">
        <f t="shared" si="21"/>
        <v>42906.021958800011</v>
      </c>
      <c r="L47" s="175">
        <f t="shared" si="22"/>
        <v>218195.55393480003</v>
      </c>
      <c r="M47" s="254">
        <f t="shared" si="23"/>
        <v>6.831683168316828E-2</v>
      </c>
      <c r="N47" s="176" t="s">
        <v>352</v>
      </c>
    </row>
    <row r="48" spans="1:14" ht="15.75" thickBot="1" x14ac:dyDescent="0.3">
      <c r="A48" s="354"/>
      <c r="B48" s="355"/>
      <c r="C48" s="5" t="s">
        <v>20</v>
      </c>
      <c r="D48" s="145" t="s">
        <v>8</v>
      </c>
      <c r="E48" s="153">
        <v>3.7073333333333333E-2</v>
      </c>
      <c r="F48" s="162">
        <f t="shared" si="21"/>
        <v>6005.88</v>
      </c>
      <c r="G48" s="162">
        <f t="shared" si="21"/>
        <v>6906.7619999999997</v>
      </c>
      <c r="H48" s="162">
        <f t="shared" si="21"/>
        <v>7597.4381999999996</v>
      </c>
      <c r="I48" s="162">
        <f t="shared" si="21"/>
        <v>8357.1820200000002</v>
      </c>
      <c r="J48" s="162">
        <f t="shared" si="21"/>
        <v>8775.0411210000002</v>
      </c>
      <c r="K48" s="162">
        <f t="shared" si="21"/>
        <v>9213.7931770499999</v>
      </c>
      <c r="L48" s="175">
        <f t="shared" si="22"/>
        <v>46856.096518049999</v>
      </c>
      <c r="M48" s="254">
        <f t="shared" si="23"/>
        <v>-0.39718157181571817</v>
      </c>
      <c r="N48" s="253" t="s">
        <v>208</v>
      </c>
    </row>
    <row r="49" spans="1:14" ht="15.75" thickBot="1" x14ac:dyDescent="0.3">
      <c r="A49" s="354"/>
      <c r="B49" s="355"/>
      <c r="C49" s="5" t="s">
        <v>11</v>
      </c>
      <c r="D49" s="145" t="s">
        <v>12</v>
      </c>
      <c r="E49" s="153">
        <v>0.21</v>
      </c>
      <c r="F49" s="162">
        <f t="shared" si="21"/>
        <v>22680</v>
      </c>
      <c r="G49" s="162">
        <f t="shared" si="21"/>
        <v>26082</v>
      </c>
      <c r="H49" s="162">
        <f t="shared" si="21"/>
        <v>28690.199999999997</v>
      </c>
      <c r="I49" s="162">
        <f t="shared" si="21"/>
        <v>31559.220000000005</v>
      </c>
      <c r="J49" s="162">
        <f t="shared" si="21"/>
        <v>33137.181000000004</v>
      </c>
      <c r="K49" s="162">
        <f t="shared" si="21"/>
        <v>34794.040050000011</v>
      </c>
      <c r="L49" s="175">
        <f t="shared" si="22"/>
        <v>176942.64105000001</v>
      </c>
      <c r="M49" s="254">
        <f t="shared" si="23"/>
        <v>0</v>
      </c>
      <c r="N49" s="176" t="s">
        <v>199</v>
      </c>
    </row>
    <row r="50" spans="1:14" ht="15.75" thickBot="1" x14ac:dyDescent="0.3">
      <c r="A50" s="354"/>
      <c r="B50" s="355"/>
      <c r="C50" s="5" t="s">
        <v>4</v>
      </c>
      <c r="D50" s="145" t="s">
        <v>27</v>
      </c>
      <c r="E50" s="153">
        <v>0.12449999999999999</v>
      </c>
      <c r="F50" s="170">
        <f t="shared" si="21"/>
        <v>31374</v>
      </c>
      <c r="G50" s="170">
        <f t="shared" si="21"/>
        <v>36080.1</v>
      </c>
      <c r="H50" s="170">
        <f t="shared" si="21"/>
        <v>39688.11</v>
      </c>
      <c r="I50" s="170">
        <f t="shared" si="21"/>
        <v>43656.920999999995</v>
      </c>
      <c r="J50" s="170">
        <f t="shared" si="21"/>
        <v>45839.767049999995</v>
      </c>
      <c r="K50" s="170">
        <f t="shared" si="21"/>
        <v>48131.755402499992</v>
      </c>
      <c r="L50" s="175">
        <f t="shared" si="22"/>
        <v>244770.65345249997</v>
      </c>
      <c r="M50" s="254">
        <f t="shared" si="23"/>
        <v>0.84444444444444411</v>
      </c>
      <c r="N50" s="176" t="s">
        <v>352</v>
      </c>
    </row>
    <row r="51" spans="1:14" x14ac:dyDescent="0.25">
      <c r="A51" s="354"/>
      <c r="B51" s="355"/>
      <c r="C51" s="343" t="s">
        <v>9</v>
      </c>
      <c r="D51" s="147" t="s">
        <v>323</v>
      </c>
      <c r="E51" s="154">
        <v>0.316</v>
      </c>
      <c r="F51" s="162">
        <f t="shared" si="21"/>
        <v>28440</v>
      </c>
      <c r="G51" s="162">
        <f t="shared" si="21"/>
        <v>32705.999999999993</v>
      </c>
      <c r="H51" s="162">
        <f t="shared" si="21"/>
        <v>35976.6</v>
      </c>
      <c r="I51" s="162">
        <f t="shared" si="21"/>
        <v>39574.26</v>
      </c>
      <c r="J51" s="162">
        <f t="shared" si="21"/>
        <v>41552.973000000005</v>
      </c>
      <c r="K51" s="162">
        <f t="shared" si="21"/>
        <v>43630.621650000008</v>
      </c>
      <c r="L51" s="175">
        <f t="shared" si="22"/>
        <v>221880.45465</v>
      </c>
      <c r="M51" s="254">
        <f t="shared" si="23"/>
        <v>-1.3116896890554348E-16</v>
      </c>
      <c r="N51" s="176" t="s">
        <v>351</v>
      </c>
    </row>
    <row r="52" spans="1:14" ht="30.75" thickBot="1" x14ac:dyDescent="0.3">
      <c r="A52" s="356"/>
      <c r="B52" s="357"/>
      <c r="C52" s="344"/>
      <c r="D52" s="148" t="s">
        <v>324</v>
      </c>
      <c r="E52" s="156">
        <v>0.38</v>
      </c>
      <c r="F52" s="166">
        <f t="shared" si="21"/>
        <v>68400</v>
      </c>
      <c r="G52" s="166">
        <f t="shared" si="21"/>
        <v>78659.999999999985</v>
      </c>
      <c r="H52" s="166">
        <f t="shared" si="21"/>
        <v>86526</v>
      </c>
      <c r="I52" s="166">
        <f t="shared" si="21"/>
        <v>95178.599999999991</v>
      </c>
      <c r="J52" s="166">
        <f t="shared" si="21"/>
        <v>99937.53</v>
      </c>
      <c r="K52" s="166">
        <f t="shared" si="21"/>
        <v>104934.40650000001</v>
      </c>
      <c r="L52" s="175">
        <f t="shared" si="22"/>
        <v>533636.53650000005</v>
      </c>
      <c r="M52" s="254">
        <f t="shared" si="23"/>
        <v>0</v>
      </c>
      <c r="N52" s="176" t="s">
        <v>351</v>
      </c>
    </row>
    <row r="53" spans="1:14" ht="15.75" thickBot="1" x14ac:dyDescent="0.3">
      <c r="A53" s="337" t="s">
        <v>18</v>
      </c>
      <c r="B53" s="338"/>
      <c r="C53" s="5" t="s">
        <v>15</v>
      </c>
      <c r="D53" s="145" t="s">
        <v>16</v>
      </c>
      <c r="E53" s="153">
        <v>0.158</v>
      </c>
      <c r="F53" s="171">
        <f t="shared" si="21"/>
        <v>51192</v>
      </c>
      <c r="G53" s="171">
        <f t="shared" si="21"/>
        <v>58870.799999999988</v>
      </c>
      <c r="H53" s="171">
        <f t="shared" si="21"/>
        <v>64757.88</v>
      </c>
      <c r="I53" s="171">
        <f t="shared" si="21"/>
        <v>71233.668000000005</v>
      </c>
      <c r="J53" s="171">
        <f t="shared" si="21"/>
        <v>74795.351400000014</v>
      </c>
      <c r="K53" s="171">
        <f t="shared" si="21"/>
        <v>78535.11897000001</v>
      </c>
      <c r="L53" s="175">
        <f t="shared" si="22"/>
        <v>399384.81837000005</v>
      </c>
      <c r="M53" s="254">
        <f t="shared" si="23"/>
        <v>0</v>
      </c>
      <c r="N53" s="176" t="s">
        <v>250</v>
      </c>
    </row>
    <row r="54" spans="1:14" x14ac:dyDescent="0.25">
      <c r="A54" s="339" t="s">
        <v>19</v>
      </c>
      <c r="B54" s="340"/>
      <c r="C54" s="343" t="s">
        <v>17</v>
      </c>
      <c r="D54" s="145" t="s">
        <v>265</v>
      </c>
      <c r="E54" s="154">
        <v>24.03</v>
      </c>
      <c r="F54" s="162">
        <f t="shared" ref="F54" si="24">F15*$E54</f>
        <v>43254</v>
      </c>
      <c r="G54" s="162">
        <f t="shared" ref="G54" si="25">G15*$E54</f>
        <v>49742.100000000006</v>
      </c>
      <c r="H54" s="162">
        <f t="shared" ref="H54:I55" si="26">H15*$E54</f>
        <v>54716.310000000005</v>
      </c>
      <c r="I54" s="162">
        <f t="shared" si="26"/>
        <v>60187.941000000006</v>
      </c>
      <c r="J54" s="162">
        <f t="shared" ref="J54" si="27">J15*$E54</f>
        <v>63197.338050000013</v>
      </c>
      <c r="K54" s="162">
        <f t="shared" ref="K54" si="28">K15*$E54</f>
        <v>66357.204952500018</v>
      </c>
      <c r="L54" s="175">
        <f t="shared" si="22"/>
        <v>337454.89400250005</v>
      </c>
      <c r="M54" s="254">
        <f t="shared" si="23"/>
        <v>0</v>
      </c>
      <c r="N54" s="176" t="s">
        <v>259</v>
      </c>
    </row>
    <row r="55" spans="1:14" ht="15.75" thickBot="1" x14ac:dyDescent="0.3">
      <c r="A55" s="341"/>
      <c r="B55" s="342"/>
      <c r="C55" s="344"/>
      <c r="D55" s="146" t="s">
        <v>270</v>
      </c>
      <c r="E55" s="156">
        <v>30.1</v>
      </c>
      <c r="F55" s="166">
        <f t="shared" ref="F55" si="29">F16*$E55</f>
        <v>72240</v>
      </c>
      <c r="G55" s="166">
        <f t="shared" ref="G55" si="30">G16*$E55</f>
        <v>83076</v>
      </c>
      <c r="H55" s="166">
        <f t="shared" si="26"/>
        <v>91383.60000000002</v>
      </c>
      <c r="I55" s="166">
        <f t="shared" si="26"/>
        <v>100521.96000000004</v>
      </c>
      <c r="J55" s="166">
        <f t="shared" ref="J55" si="31">J16*$E55</f>
        <v>105548.05800000003</v>
      </c>
      <c r="K55" s="166">
        <f t="shared" ref="K55" si="32">K16*$E55</f>
        <v>110825.46090000003</v>
      </c>
      <c r="L55" s="175">
        <f t="shared" si="22"/>
        <v>563595.07890000008</v>
      </c>
      <c r="M55" s="254">
        <f t="shared" si="23"/>
        <v>2.9990003332222999E-3</v>
      </c>
      <c r="N55" s="176" t="s">
        <v>259</v>
      </c>
    </row>
    <row r="56" spans="1:14" ht="15.75" thickBot="1" x14ac:dyDescent="0.3">
      <c r="A56" s="345" t="s">
        <v>276</v>
      </c>
      <c r="B56" s="6" t="s">
        <v>1</v>
      </c>
      <c r="C56" s="5" t="s">
        <v>0</v>
      </c>
      <c r="D56" s="145" t="s">
        <v>2</v>
      </c>
      <c r="E56" s="153">
        <v>6.9599999999999995E-2</v>
      </c>
      <c r="F56" s="168">
        <f t="shared" ref="F56:K57" si="33">F17*$E56*30</f>
        <v>2505.6</v>
      </c>
      <c r="G56" s="168">
        <f t="shared" si="33"/>
        <v>2881.4399999999996</v>
      </c>
      <c r="H56" s="168">
        <f t="shared" si="33"/>
        <v>3169.5840000000003</v>
      </c>
      <c r="I56" s="168">
        <f t="shared" si="33"/>
        <v>3486.5424000000003</v>
      </c>
      <c r="J56" s="168">
        <f t="shared" si="33"/>
        <v>3660.8695200000006</v>
      </c>
      <c r="K56" s="168">
        <f t="shared" si="33"/>
        <v>3843.9129960000009</v>
      </c>
      <c r="L56" s="175">
        <f t="shared" si="22"/>
        <v>19547.948916000001</v>
      </c>
      <c r="M56" s="254">
        <f t="shared" si="23"/>
        <v>0</v>
      </c>
      <c r="N56" s="176" t="s">
        <v>351</v>
      </c>
    </row>
    <row r="57" spans="1:14" ht="15.75" thickBot="1" x14ac:dyDescent="0.3">
      <c r="A57" s="346"/>
      <c r="B57" s="149" t="s">
        <v>21</v>
      </c>
      <c r="C57" s="150" t="s">
        <v>22</v>
      </c>
      <c r="D57" s="151" t="s">
        <v>314</v>
      </c>
      <c r="E57" s="153">
        <v>0.51</v>
      </c>
      <c r="F57" s="172">
        <f t="shared" si="33"/>
        <v>22032</v>
      </c>
      <c r="G57" s="172">
        <f t="shared" si="33"/>
        <v>25336.799999999999</v>
      </c>
      <c r="H57" s="172">
        <f t="shared" si="33"/>
        <v>27870.48</v>
      </c>
      <c r="I57" s="172">
        <f t="shared" si="33"/>
        <v>30657.527999999998</v>
      </c>
      <c r="J57" s="172">
        <f t="shared" si="33"/>
        <v>32190.404399999996</v>
      </c>
      <c r="K57" s="172">
        <f t="shared" si="33"/>
        <v>33799.924620000005</v>
      </c>
      <c r="L57" s="175">
        <f t="shared" si="22"/>
        <v>171887.13701999999</v>
      </c>
      <c r="M57" s="254">
        <f t="shared" si="23"/>
        <v>-1.6931942064604468E-16</v>
      </c>
      <c r="N57" s="179"/>
    </row>
    <row r="58" spans="1:14" x14ac:dyDescent="0.25">
      <c r="A58" s="157"/>
      <c r="B58" s="157"/>
      <c r="C58" s="157"/>
      <c r="D58" s="157"/>
      <c r="E58" s="157"/>
      <c r="F58" s="173">
        <f t="shared" ref="F58:K58" si="34">SUM(F43:F57)</f>
        <v>481001.64</v>
      </c>
      <c r="G58" s="173">
        <f t="shared" si="34"/>
        <v>553151.88599999994</v>
      </c>
      <c r="H58" s="173">
        <f t="shared" si="34"/>
        <v>608467.07459999993</v>
      </c>
      <c r="I58" s="173">
        <f t="shared" si="34"/>
        <v>669313.78206000023</v>
      </c>
      <c r="J58" s="173">
        <f t="shared" si="34"/>
        <v>702779.4711630001</v>
      </c>
      <c r="K58" s="173">
        <f t="shared" si="34"/>
        <v>737918.44472115021</v>
      </c>
      <c r="L58" s="347">
        <f t="shared" si="22"/>
        <v>3752632.2985441503</v>
      </c>
      <c r="M58" s="347"/>
      <c r="N58" s="157"/>
    </row>
    <row r="59" spans="1:14" x14ac:dyDescent="0.25">
      <c r="A59" s="157"/>
      <c r="B59" s="157"/>
      <c r="C59" s="157"/>
      <c r="D59" s="157"/>
      <c r="E59" s="178" t="s">
        <v>353</v>
      </c>
      <c r="F59" s="177">
        <f>(F58-F38)/F38</f>
        <v>8.5106924402369874E-2</v>
      </c>
      <c r="G59" s="177">
        <f t="shared" ref="G59:L59" si="35">(G58-G38)/G38</f>
        <v>8.5106924402369846E-2</v>
      </c>
      <c r="H59" s="177">
        <f t="shared" si="35"/>
        <v>8.5106924402369499E-2</v>
      </c>
      <c r="I59" s="177">
        <f t="shared" si="35"/>
        <v>8.5106924402369985E-2</v>
      </c>
      <c r="J59" s="177">
        <f t="shared" si="35"/>
        <v>8.5106924402369791E-2</v>
      </c>
      <c r="K59" s="177">
        <f t="shared" si="35"/>
        <v>8.5106924402370013E-2</v>
      </c>
      <c r="L59" s="177">
        <f t="shared" si="35"/>
        <v>8.510692440236986E-2</v>
      </c>
      <c r="M59" s="157"/>
      <c r="N59" s="157"/>
    </row>
    <row r="60" spans="1:14" ht="15.75" thickBot="1" x14ac:dyDescent="0.3">
      <c r="A60" s="157"/>
      <c r="B60" s="157"/>
      <c r="C60" s="179" t="s">
        <v>376</v>
      </c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</row>
    <row r="61" spans="1:14" x14ac:dyDescent="0.25">
      <c r="A61" s="359" t="s">
        <v>315</v>
      </c>
      <c r="B61" s="360"/>
      <c r="C61" s="348" t="s">
        <v>25</v>
      </c>
      <c r="D61" s="365"/>
      <c r="E61" s="348" t="s">
        <v>344</v>
      </c>
      <c r="F61" s="348" t="s">
        <v>356</v>
      </c>
      <c r="G61" s="348" t="s">
        <v>357</v>
      </c>
      <c r="H61" s="348" t="s">
        <v>358</v>
      </c>
      <c r="I61" s="348" t="s">
        <v>359</v>
      </c>
      <c r="J61" s="348" t="s">
        <v>360</v>
      </c>
      <c r="K61" s="350" t="s">
        <v>361</v>
      </c>
      <c r="L61" s="157"/>
      <c r="M61" s="157"/>
      <c r="N61" s="157"/>
    </row>
    <row r="62" spans="1:14" x14ac:dyDescent="0.25">
      <c r="A62" s="361"/>
      <c r="B62" s="362"/>
      <c r="C62" s="366"/>
      <c r="D62" s="367"/>
      <c r="E62" s="349"/>
      <c r="F62" s="349"/>
      <c r="G62" s="349"/>
      <c r="H62" s="349"/>
      <c r="I62" s="349"/>
      <c r="J62" s="349"/>
      <c r="K62" s="351"/>
      <c r="L62" s="157"/>
      <c r="M62" s="157"/>
      <c r="N62" s="157"/>
    </row>
    <row r="63" spans="1:14" ht="15.75" thickBot="1" x14ac:dyDescent="0.3">
      <c r="A63" s="363"/>
      <c r="B63" s="364"/>
      <c r="C63" s="2" t="s">
        <v>23</v>
      </c>
      <c r="D63" s="3" t="s">
        <v>24</v>
      </c>
      <c r="E63" s="349"/>
      <c r="F63" s="349"/>
      <c r="G63" s="349"/>
      <c r="H63" s="349"/>
      <c r="I63" s="349"/>
      <c r="J63" s="349"/>
      <c r="K63" s="351"/>
      <c r="L63" s="157"/>
      <c r="M63" s="255" t="s">
        <v>378</v>
      </c>
      <c r="N63" s="157"/>
    </row>
    <row r="64" spans="1:14" x14ac:dyDescent="0.25">
      <c r="A64" s="352" t="s">
        <v>3</v>
      </c>
      <c r="B64" s="353"/>
      <c r="C64" s="343" t="s">
        <v>5</v>
      </c>
      <c r="D64" s="145" t="s">
        <v>6</v>
      </c>
      <c r="E64" s="154">
        <v>0.26</v>
      </c>
      <c r="F64" s="162">
        <f t="shared" ref="F64:K74" si="36">F4*$E64*30</f>
        <v>18720</v>
      </c>
      <c r="G64" s="162">
        <f t="shared" si="36"/>
        <v>21528</v>
      </c>
      <c r="H64" s="162">
        <f t="shared" si="36"/>
        <v>23680.800000000003</v>
      </c>
      <c r="I64" s="162">
        <f t="shared" si="36"/>
        <v>26048.880000000008</v>
      </c>
      <c r="J64" s="162">
        <f t="shared" si="36"/>
        <v>27351.324000000008</v>
      </c>
      <c r="K64" s="162">
        <f t="shared" si="36"/>
        <v>28718.890200000009</v>
      </c>
      <c r="L64" s="175">
        <f>SUM(F64:K64)</f>
        <v>146047.89420000004</v>
      </c>
      <c r="M64" s="254">
        <f>(L64-L23)/L23</f>
        <v>1.4761904761904761</v>
      </c>
      <c r="N64" s="176" t="s">
        <v>40</v>
      </c>
    </row>
    <row r="65" spans="1:14" x14ac:dyDescent="0.25">
      <c r="A65" s="354"/>
      <c r="B65" s="355"/>
      <c r="C65" s="358"/>
      <c r="D65" s="146" t="s">
        <v>7</v>
      </c>
      <c r="E65" s="155">
        <v>0.23333333333333334</v>
      </c>
      <c r="F65" s="164">
        <f t="shared" si="36"/>
        <v>42000</v>
      </c>
      <c r="G65" s="164">
        <f t="shared" si="36"/>
        <v>48299.999999999993</v>
      </c>
      <c r="H65" s="164">
        <f t="shared" si="36"/>
        <v>53130</v>
      </c>
      <c r="I65" s="164">
        <f t="shared" si="36"/>
        <v>58443.000000000007</v>
      </c>
      <c r="J65" s="164">
        <f t="shared" si="36"/>
        <v>61365.15</v>
      </c>
      <c r="K65" s="164">
        <f t="shared" si="36"/>
        <v>64433.407500000008</v>
      </c>
      <c r="L65" s="175">
        <f t="shared" ref="L65:L79" si="37">SUM(F65:K65)</f>
        <v>327671.55750000005</v>
      </c>
      <c r="M65" s="254">
        <f t="shared" ref="M65:M78" si="38">(L65-L24)/L24</f>
        <v>1.5089605734767031</v>
      </c>
      <c r="N65" s="176" t="s">
        <v>40</v>
      </c>
    </row>
    <row r="66" spans="1:14" ht="15.75" thickBot="1" x14ac:dyDescent="0.3">
      <c r="A66" s="354"/>
      <c r="B66" s="355"/>
      <c r="C66" s="344"/>
      <c r="D66" s="146" t="s">
        <v>8</v>
      </c>
      <c r="E66" s="156">
        <v>0.76800000000000002</v>
      </c>
      <c r="F66" s="166">
        <f t="shared" si="36"/>
        <v>110592</v>
      </c>
      <c r="G66" s="166">
        <f t="shared" si="36"/>
        <v>127180.79999999999</v>
      </c>
      <c r="H66" s="166">
        <f t="shared" si="36"/>
        <v>139898.88000000003</v>
      </c>
      <c r="I66" s="166">
        <f t="shared" si="36"/>
        <v>153888.76800000004</v>
      </c>
      <c r="J66" s="166">
        <f t="shared" si="36"/>
        <v>161583.20640000002</v>
      </c>
      <c r="K66" s="166">
        <f t="shared" si="36"/>
        <v>169662.36672000005</v>
      </c>
      <c r="L66" s="175">
        <f t="shared" si="37"/>
        <v>862806.02112000016</v>
      </c>
      <c r="M66" s="254">
        <f t="shared" si="38"/>
        <v>2.2820512820512819</v>
      </c>
      <c r="N66" s="176" t="s">
        <v>40</v>
      </c>
    </row>
    <row r="67" spans="1:14" ht="15.75" thickBot="1" x14ac:dyDescent="0.3">
      <c r="A67" s="354"/>
      <c r="B67" s="355"/>
      <c r="C67" s="5" t="s">
        <v>13</v>
      </c>
      <c r="D67" s="145" t="s">
        <v>14</v>
      </c>
      <c r="E67" s="152">
        <v>0.2</v>
      </c>
      <c r="F67" s="168">
        <f t="shared" si="36"/>
        <v>72000</v>
      </c>
      <c r="G67" s="168">
        <f t="shared" si="36"/>
        <v>82800</v>
      </c>
      <c r="H67" s="168">
        <f t="shared" si="36"/>
        <v>91080</v>
      </c>
      <c r="I67" s="168">
        <f t="shared" si="36"/>
        <v>100188.00000000001</v>
      </c>
      <c r="J67" s="168">
        <f t="shared" si="36"/>
        <v>105197.40000000001</v>
      </c>
      <c r="K67" s="168">
        <f t="shared" si="36"/>
        <v>110457.27000000002</v>
      </c>
      <c r="L67" s="175">
        <f t="shared" si="37"/>
        <v>561722.67000000004</v>
      </c>
      <c r="M67" s="254">
        <f t="shared" si="38"/>
        <v>2.3333333333333335</v>
      </c>
      <c r="N67" s="176" t="s">
        <v>77</v>
      </c>
    </row>
    <row r="68" spans="1:14" ht="15.75" thickBot="1" x14ac:dyDescent="0.3">
      <c r="A68" s="354"/>
      <c r="B68" s="355"/>
      <c r="C68" s="5" t="s">
        <v>10</v>
      </c>
      <c r="D68" s="145" t="s">
        <v>6</v>
      </c>
      <c r="E68" s="153">
        <v>0.16</v>
      </c>
      <c r="F68" s="162">
        <f t="shared" si="36"/>
        <v>46080</v>
      </c>
      <c r="G68" s="162">
        <f t="shared" si="36"/>
        <v>52992</v>
      </c>
      <c r="H68" s="162">
        <f t="shared" si="36"/>
        <v>58291.200000000012</v>
      </c>
      <c r="I68" s="162">
        <f t="shared" si="36"/>
        <v>64120.320000000014</v>
      </c>
      <c r="J68" s="162">
        <f t="shared" si="36"/>
        <v>67326.336000000025</v>
      </c>
      <c r="K68" s="162">
        <f t="shared" si="36"/>
        <v>70692.652800000025</v>
      </c>
      <c r="L68" s="175">
        <f t="shared" si="37"/>
        <v>359502.50880000007</v>
      </c>
      <c r="M68" s="254">
        <f t="shared" si="38"/>
        <v>0.76017601760176023</v>
      </c>
      <c r="N68" s="176" t="s">
        <v>40</v>
      </c>
    </row>
    <row r="69" spans="1:14" ht="15.75" thickBot="1" x14ac:dyDescent="0.3">
      <c r="A69" s="354"/>
      <c r="B69" s="355"/>
      <c r="C69" s="5" t="s">
        <v>20</v>
      </c>
      <c r="D69" s="145" t="s">
        <v>8</v>
      </c>
      <c r="E69" s="153">
        <v>6.4000000000000001E-2</v>
      </c>
      <c r="F69" s="162">
        <f t="shared" si="36"/>
        <v>10368</v>
      </c>
      <c r="G69" s="162">
        <f t="shared" si="36"/>
        <v>11923.199999999999</v>
      </c>
      <c r="H69" s="162">
        <f t="shared" si="36"/>
        <v>13115.52</v>
      </c>
      <c r="I69" s="162">
        <f t="shared" si="36"/>
        <v>14427.072000000002</v>
      </c>
      <c r="J69" s="162">
        <f t="shared" si="36"/>
        <v>15148.425600000002</v>
      </c>
      <c r="K69" s="162">
        <f t="shared" si="36"/>
        <v>15905.846880000003</v>
      </c>
      <c r="L69" s="175">
        <f t="shared" si="37"/>
        <v>80888.064480000001</v>
      </c>
      <c r="M69" s="254">
        <f t="shared" si="38"/>
        <v>4.0650406504065033E-2</v>
      </c>
      <c r="N69" s="176" t="s">
        <v>204</v>
      </c>
    </row>
    <row r="70" spans="1:14" ht="15.75" thickBot="1" x14ac:dyDescent="0.3">
      <c r="A70" s="354"/>
      <c r="B70" s="355"/>
      <c r="C70" s="5" t="s">
        <v>11</v>
      </c>
      <c r="D70" s="145" t="s">
        <v>12</v>
      </c>
      <c r="E70" s="153">
        <v>0.7142857142857143</v>
      </c>
      <c r="F70" s="162">
        <f t="shared" si="36"/>
        <v>77142.857142857145</v>
      </c>
      <c r="G70" s="162">
        <f t="shared" si="36"/>
        <v>88714.285714285725</v>
      </c>
      <c r="H70" s="162">
        <f t="shared" si="36"/>
        <v>97585.71428571429</v>
      </c>
      <c r="I70" s="162">
        <f t="shared" si="36"/>
        <v>107344.28571428574</v>
      </c>
      <c r="J70" s="162">
        <f t="shared" si="36"/>
        <v>112711.50000000001</v>
      </c>
      <c r="K70" s="162">
        <f t="shared" si="36"/>
        <v>118347.07500000003</v>
      </c>
      <c r="L70" s="175">
        <f t="shared" si="37"/>
        <v>601845.71785714291</v>
      </c>
      <c r="M70" s="254">
        <f t="shared" si="38"/>
        <v>2.4013605442176873</v>
      </c>
      <c r="N70" s="176" t="s">
        <v>199</v>
      </c>
    </row>
    <row r="71" spans="1:14" ht="15.75" thickBot="1" x14ac:dyDescent="0.3">
      <c r="A71" s="354"/>
      <c r="B71" s="355"/>
      <c r="C71" s="5" t="s">
        <v>4</v>
      </c>
      <c r="D71" s="145" t="s">
        <v>27</v>
      </c>
      <c r="E71" s="153">
        <v>0.21428571428571427</v>
      </c>
      <c r="F71" s="170">
        <f t="shared" si="36"/>
        <v>54000</v>
      </c>
      <c r="G71" s="170">
        <f t="shared" si="36"/>
        <v>62100</v>
      </c>
      <c r="H71" s="170">
        <f t="shared" si="36"/>
        <v>68310</v>
      </c>
      <c r="I71" s="170">
        <f t="shared" si="36"/>
        <v>75141</v>
      </c>
      <c r="J71" s="170">
        <f t="shared" si="36"/>
        <v>78898.05</v>
      </c>
      <c r="K71" s="170">
        <f t="shared" si="36"/>
        <v>82842.952499999999</v>
      </c>
      <c r="L71" s="175">
        <f t="shared" si="37"/>
        <v>421292.0025</v>
      </c>
      <c r="M71" s="254">
        <f t="shared" si="38"/>
        <v>2.1746031746031744</v>
      </c>
      <c r="N71" s="176" t="s">
        <v>40</v>
      </c>
    </row>
    <row r="72" spans="1:14" x14ac:dyDescent="0.25">
      <c r="A72" s="354"/>
      <c r="B72" s="355"/>
      <c r="C72" s="343" t="s">
        <v>9</v>
      </c>
      <c r="D72" s="147" t="s">
        <v>323</v>
      </c>
      <c r="E72" s="154">
        <v>0.6</v>
      </c>
      <c r="F72" s="162">
        <f t="shared" si="36"/>
        <v>54000</v>
      </c>
      <c r="G72" s="162">
        <f t="shared" si="36"/>
        <v>62099.999999999985</v>
      </c>
      <c r="H72" s="162">
        <f t="shared" si="36"/>
        <v>68310</v>
      </c>
      <c r="I72" s="162">
        <f t="shared" si="36"/>
        <v>75141</v>
      </c>
      <c r="J72" s="162">
        <f t="shared" si="36"/>
        <v>78898.05</v>
      </c>
      <c r="K72" s="162">
        <f t="shared" si="36"/>
        <v>82842.952499999999</v>
      </c>
      <c r="L72" s="175">
        <f t="shared" si="37"/>
        <v>421292.0025</v>
      </c>
      <c r="M72" s="254">
        <f t="shared" si="38"/>
        <v>0.89873417721518967</v>
      </c>
      <c r="N72" s="176" t="s">
        <v>351</v>
      </c>
    </row>
    <row r="73" spans="1:14" ht="30.75" thickBot="1" x14ac:dyDescent="0.3">
      <c r="A73" s="356"/>
      <c r="B73" s="357"/>
      <c r="C73" s="344"/>
      <c r="D73" s="148" t="s">
        <v>324</v>
      </c>
      <c r="E73" s="156">
        <v>0.8666666666666667</v>
      </c>
      <c r="F73" s="166">
        <f t="shared" si="36"/>
        <v>156000</v>
      </c>
      <c r="G73" s="166">
        <f t="shared" si="36"/>
        <v>179399.99999999997</v>
      </c>
      <c r="H73" s="166">
        <f t="shared" si="36"/>
        <v>197340</v>
      </c>
      <c r="I73" s="166">
        <f t="shared" si="36"/>
        <v>217074</v>
      </c>
      <c r="J73" s="166">
        <f t="shared" si="36"/>
        <v>227927.70000000004</v>
      </c>
      <c r="K73" s="166">
        <f t="shared" si="36"/>
        <v>239324.08500000002</v>
      </c>
      <c r="L73" s="175">
        <f t="shared" si="37"/>
        <v>1217065.7850000001</v>
      </c>
      <c r="M73" s="254">
        <f t="shared" si="38"/>
        <v>1.2807017543859649</v>
      </c>
      <c r="N73" s="176" t="s">
        <v>40</v>
      </c>
    </row>
    <row r="74" spans="1:14" ht="15.75" thickBot="1" x14ac:dyDescent="0.3">
      <c r="A74" s="337" t="s">
        <v>18</v>
      </c>
      <c r="B74" s="338"/>
      <c r="C74" s="5" t="s">
        <v>15</v>
      </c>
      <c r="D74" s="145" t="s">
        <v>16</v>
      </c>
      <c r="E74" s="153">
        <v>0.152</v>
      </c>
      <c r="F74" s="171">
        <f t="shared" si="36"/>
        <v>49248</v>
      </c>
      <c r="G74" s="171">
        <f t="shared" si="36"/>
        <v>56635.19999999999</v>
      </c>
      <c r="H74" s="171">
        <f t="shared" si="36"/>
        <v>62298.719999999994</v>
      </c>
      <c r="I74" s="171">
        <f t="shared" si="36"/>
        <v>68528.592000000004</v>
      </c>
      <c r="J74" s="171">
        <f t="shared" si="36"/>
        <v>71955.021600000007</v>
      </c>
      <c r="K74" s="171">
        <f t="shared" si="36"/>
        <v>75552.772680000009</v>
      </c>
      <c r="L74" s="175">
        <f t="shared" si="37"/>
        <v>384218.30627999996</v>
      </c>
      <c r="M74" s="254">
        <f t="shared" si="38"/>
        <v>-3.7974683544304021E-2</v>
      </c>
      <c r="N74" s="176" t="s">
        <v>77</v>
      </c>
    </row>
    <row r="75" spans="1:14" x14ac:dyDescent="0.25">
      <c r="A75" s="339" t="s">
        <v>19</v>
      </c>
      <c r="B75" s="340"/>
      <c r="C75" s="343" t="s">
        <v>17</v>
      </c>
      <c r="D75" s="145" t="s">
        <v>265</v>
      </c>
      <c r="E75" s="154">
        <v>61.6</v>
      </c>
      <c r="F75" s="162">
        <f t="shared" ref="F75:K76" si="39">F15*$E75</f>
        <v>110880</v>
      </c>
      <c r="G75" s="162">
        <f t="shared" si="39"/>
        <v>127512</v>
      </c>
      <c r="H75" s="162">
        <f t="shared" si="39"/>
        <v>140263.20000000001</v>
      </c>
      <c r="I75" s="162">
        <f t="shared" si="39"/>
        <v>154289.52000000002</v>
      </c>
      <c r="J75" s="162">
        <f t="shared" si="39"/>
        <v>162003.99600000004</v>
      </c>
      <c r="K75" s="162">
        <f t="shared" si="39"/>
        <v>170104.19580000004</v>
      </c>
      <c r="L75" s="175">
        <f t="shared" si="37"/>
        <v>865052.91180000012</v>
      </c>
      <c r="M75" s="254">
        <f t="shared" si="38"/>
        <v>1.5634623387432378</v>
      </c>
      <c r="N75" s="176" t="s">
        <v>258</v>
      </c>
    </row>
    <row r="76" spans="1:14" ht="15.75" thickBot="1" x14ac:dyDescent="0.3">
      <c r="A76" s="341"/>
      <c r="B76" s="342"/>
      <c r="C76" s="344"/>
      <c r="D76" s="146" t="s">
        <v>270</v>
      </c>
      <c r="E76" s="156">
        <v>82.5</v>
      </c>
      <c r="F76" s="166">
        <f t="shared" si="39"/>
        <v>198000</v>
      </c>
      <c r="G76" s="166">
        <f t="shared" si="39"/>
        <v>227700</v>
      </c>
      <c r="H76" s="166">
        <f t="shared" si="39"/>
        <v>250470.00000000003</v>
      </c>
      <c r="I76" s="166">
        <f t="shared" si="39"/>
        <v>275517.00000000006</v>
      </c>
      <c r="J76" s="166">
        <f t="shared" si="39"/>
        <v>289292.85000000009</v>
      </c>
      <c r="K76" s="166">
        <f t="shared" si="39"/>
        <v>303757.49250000011</v>
      </c>
      <c r="L76" s="175">
        <f t="shared" si="37"/>
        <v>1544737.3425000003</v>
      </c>
      <c r="M76" s="254">
        <f t="shared" si="38"/>
        <v>1.7490836387870712</v>
      </c>
      <c r="N76" s="176" t="s">
        <v>258</v>
      </c>
    </row>
    <row r="77" spans="1:14" ht="15.75" thickBot="1" x14ac:dyDescent="0.3">
      <c r="A77" s="345" t="s">
        <v>276</v>
      </c>
      <c r="B77" s="6" t="s">
        <v>1</v>
      </c>
      <c r="C77" s="5" t="s">
        <v>0</v>
      </c>
      <c r="D77" s="145" t="s">
        <v>2</v>
      </c>
      <c r="E77" s="153">
        <v>9.6000000000000002E-2</v>
      </c>
      <c r="F77" s="168">
        <f t="shared" ref="F77:K78" si="40">F17*$E77*30</f>
        <v>3456</v>
      </c>
      <c r="G77" s="168">
        <f t="shared" si="40"/>
        <v>3974.3999999999996</v>
      </c>
      <c r="H77" s="168">
        <f t="shared" si="40"/>
        <v>4371.8400000000011</v>
      </c>
      <c r="I77" s="168">
        <f t="shared" si="40"/>
        <v>4809.0240000000013</v>
      </c>
      <c r="J77" s="168">
        <f t="shared" si="40"/>
        <v>5049.4752000000008</v>
      </c>
      <c r="K77" s="168">
        <f t="shared" si="40"/>
        <v>5301.9489600000015</v>
      </c>
      <c r="L77" s="175">
        <f t="shared" si="37"/>
        <v>26962.688160000005</v>
      </c>
      <c r="M77" s="254">
        <f t="shared" si="38"/>
        <v>0.37931034482758641</v>
      </c>
      <c r="N77" s="176" t="s">
        <v>287</v>
      </c>
    </row>
    <row r="78" spans="1:14" ht="15.75" thickBot="1" x14ac:dyDescent="0.3">
      <c r="A78" s="346"/>
      <c r="B78" s="149" t="s">
        <v>21</v>
      </c>
      <c r="C78" s="150" t="s">
        <v>22</v>
      </c>
      <c r="D78" s="151" t="s">
        <v>314</v>
      </c>
      <c r="E78" s="153">
        <v>0.625</v>
      </c>
      <c r="F78" s="172">
        <f t="shared" si="40"/>
        <v>27000</v>
      </c>
      <c r="G78" s="172">
        <f t="shared" si="40"/>
        <v>31049.999999999993</v>
      </c>
      <c r="H78" s="172">
        <f t="shared" si="40"/>
        <v>34155</v>
      </c>
      <c r="I78" s="172">
        <f t="shared" si="40"/>
        <v>37570.5</v>
      </c>
      <c r="J78" s="172">
        <f t="shared" si="40"/>
        <v>39449.025000000001</v>
      </c>
      <c r="K78" s="172">
        <f t="shared" si="40"/>
        <v>41421.476249999992</v>
      </c>
      <c r="L78" s="175">
        <f t="shared" si="37"/>
        <v>210646.00124999997</v>
      </c>
      <c r="M78" s="254">
        <f t="shared" si="38"/>
        <v>0.22549019607843104</v>
      </c>
      <c r="N78" s="176" t="s">
        <v>307</v>
      </c>
    </row>
    <row r="79" spans="1:14" x14ac:dyDescent="0.25">
      <c r="A79" s="157"/>
      <c r="B79" s="157"/>
      <c r="C79" s="157"/>
      <c r="D79" s="157"/>
      <c r="E79" s="157"/>
      <c r="F79" s="173">
        <f t="shared" ref="F79:K79" si="41">SUM(F64:F78)</f>
        <v>1029486.8571428572</v>
      </c>
      <c r="G79" s="173">
        <f t="shared" si="41"/>
        <v>1183909.8857142855</v>
      </c>
      <c r="H79" s="173">
        <f t="shared" si="41"/>
        <v>1302300.8742857145</v>
      </c>
      <c r="I79" s="173">
        <f t="shared" si="41"/>
        <v>1432530.9617142857</v>
      </c>
      <c r="J79" s="173">
        <f t="shared" si="41"/>
        <v>1504157.5098000003</v>
      </c>
      <c r="K79" s="173">
        <f t="shared" si="41"/>
        <v>1579365.3852900004</v>
      </c>
      <c r="L79" s="347">
        <f t="shared" si="37"/>
        <v>8031751.4739471432</v>
      </c>
      <c r="M79" s="347"/>
      <c r="N79" s="157"/>
    </row>
    <row r="80" spans="1:14" x14ac:dyDescent="0.25">
      <c r="A80" s="157"/>
      <c r="B80" s="157"/>
      <c r="C80" s="157"/>
      <c r="D80" s="157"/>
      <c r="E80" s="178" t="s">
        <v>353</v>
      </c>
      <c r="F80" s="177">
        <f t="shared" ref="F80:L80" si="42">(F79-F38)/F38</f>
        <v>1.3224522005100601</v>
      </c>
      <c r="G80" s="177">
        <f t="shared" si="42"/>
        <v>1.3224522005100598</v>
      </c>
      <c r="H80" s="177">
        <f t="shared" si="42"/>
        <v>1.3224522005100596</v>
      </c>
      <c r="I80" s="177">
        <f t="shared" si="42"/>
        <v>1.3224522005100592</v>
      </c>
      <c r="J80" s="177">
        <f t="shared" si="42"/>
        <v>1.3224522005100598</v>
      </c>
      <c r="K80" s="177">
        <f t="shared" si="42"/>
        <v>1.3224522005100601</v>
      </c>
      <c r="L80" s="177">
        <f t="shared" si="42"/>
        <v>1.3224522005100598</v>
      </c>
      <c r="M80" s="157"/>
      <c r="N80" s="157"/>
    </row>
    <row r="81" spans="1:14" ht="15.75" thickBot="1" x14ac:dyDescent="0.3">
      <c r="A81" s="157"/>
      <c r="B81" s="157"/>
      <c r="C81" s="179" t="s">
        <v>375</v>
      </c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1:14" x14ac:dyDescent="0.25">
      <c r="A82" s="359" t="s">
        <v>315</v>
      </c>
      <c r="B82" s="360"/>
      <c r="C82" s="348" t="s">
        <v>25</v>
      </c>
      <c r="D82" s="365"/>
      <c r="E82" s="348" t="s">
        <v>363</v>
      </c>
      <c r="F82" s="348" t="s">
        <v>362</v>
      </c>
      <c r="G82" s="348" t="s">
        <v>364</v>
      </c>
      <c r="H82" s="348" t="s">
        <v>365</v>
      </c>
      <c r="I82" s="348" t="s">
        <v>366</v>
      </c>
      <c r="J82" s="348" t="s">
        <v>367</v>
      </c>
      <c r="K82" s="350" t="s">
        <v>368</v>
      </c>
      <c r="L82" s="157"/>
      <c r="M82" s="157"/>
      <c r="N82" s="157"/>
    </row>
    <row r="83" spans="1:14" x14ac:dyDescent="0.25">
      <c r="A83" s="361"/>
      <c r="B83" s="362"/>
      <c r="C83" s="366"/>
      <c r="D83" s="367"/>
      <c r="E83" s="349"/>
      <c r="F83" s="349"/>
      <c r="G83" s="349"/>
      <c r="H83" s="349"/>
      <c r="I83" s="349"/>
      <c r="J83" s="349"/>
      <c r="K83" s="351"/>
      <c r="L83" s="157"/>
      <c r="M83" s="157"/>
      <c r="N83" s="157"/>
    </row>
    <row r="84" spans="1:14" ht="15.75" thickBot="1" x14ac:dyDescent="0.3">
      <c r="A84" s="363"/>
      <c r="B84" s="364"/>
      <c r="C84" s="2" t="s">
        <v>23</v>
      </c>
      <c r="D84" s="3" t="s">
        <v>24</v>
      </c>
      <c r="E84" s="349"/>
      <c r="F84" s="349"/>
      <c r="G84" s="349"/>
      <c r="H84" s="349"/>
      <c r="I84" s="349"/>
      <c r="J84" s="349"/>
      <c r="K84" s="351"/>
      <c r="L84" s="157"/>
      <c r="M84" s="255" t="s">
        <v>378</v>
      </c>
      <c r="N84" s="157"/>
    </row>
    <row r="85" spans="1:14" x14ac:dyDescent="0.25">
      <c r="A85" s="352" t="s">
        <v>3</v>
      </c>
      <c r="B85" s="353"/>
      <c r="C85" s="343" t="s">
        <v>5</v>
      </c>
      <c r="D85" s="145" t="s">
        <v>6</v>
      </c>
      <c r="E85" s="154">
        <v>1.0231999999999999</v>
      </c>
      <c r="F85" s="162">
        <f t="shared" ref="F85:K95" si="43">F4*$E85*30</f>
        <v>73670.399999999994</v>
      </c>
      <c r="G85" s="162">
        <f t="shared" si="43"/>
        <v>84720.959999999992</v>
      </c>
      <c r="H85" s="162">
        <f t="shared" si="43"/>
        <v>93193.056000000011</v>
      </c>
      <c r="I85" s="162">
        <f t="shared" si="43"/>
        <v>102512.36160000002</v>
      </c>
      <c r="J85" s="162">
        <f t="shared" si="43"/>
        <v>107637.97968000002</v>
      </c>
      <c r="K85" s="162">
        <f t="shared" si="43"/>
        <v>113019.87866400002</v>
      </c>
      <c r="L85" s="175">
        <f>SUM(F85:K85)</f>
        <v>574754.63594399998</v>
      </c>
      <c r="M85" s="254">
        <f>(L85-L23)/L23</f>
        <v>8.7447619047619032</v>
      </c>
      <c r="N85" s="176" t="s">
        <v>377</v>
      </c>
    </row>
    <row r="86" spans="1:14" x14ac:dyDescent="0.25">
      <c r="A86" s="354"/>
      <c r="B86" s="355"/>
      <c r="C86" s="358"/>
      <c r="D86" s="146" t="s">
        <v>7</v>
      </c>
      <c r="E86" s="155">
        <v>0.88</v>
      </c>
      <c r="F86" s="164">
        <f t="shared" si="43"/>
        <v>158400</v>
      </c>
      <c r="G86" s="164">
        <f t="shared" si="43"/>
        <v>182159.99999999997</v>
      </c>
      <c r="H86" s="164">
        <f t="shared" si="43"/>
        <v>200376</v>
      </c>
      <c r="I86" s="164">
        <f t="shared" si="43"/>
        <v>220413.6</v>
      </c>
      <c r="J86" s="164">
        <f t="shared" si="43"/>
        <v>231434.28000000003</v>
      </c>
      <c r="K86" s="164">
        <f t="shared" si="43"/>
        <v>243005.99400000004</v>
      </c>
      <c r="L86" s="175">
        <f t="shared" ref="L86:L100" si="44">SUM(F86:K86)</f>
        <v>1235789.8740000001</v>
      </c>
      <c r="M86" s="254">
        <f t="shared" ref="M86:M99" si="45">(L86-L24)/L24</f>
        <v>8.4623655913978499</v>
      </c>
      <c r="N86" s="176" t="s">
        <v>127</v>
      </c>
    </row>
    <row r="87" spans="1:14" ht="15.75" thickBot="1" x14ac:dyDescent="0.3">
      <c r="A87" s="354"/>
      <c r="B87" s="355"/>
      <c r="C87" s="344"/>
      <c r="D87" s="146" t="s">
        <v>8</v>
      </c>
      <c r="E87" s="156">
        <v>3.1920000000000002</v>
      </c>
      <c r="F87" s="166">
        <f t="shared" si="43"/>
        <v>459648</v>
      </c>
      <c r="G87" s="166">
        <f t="shared" si="43"/>
        <v>528595.19999999995</v>
      </c>
      <c r="H87" s="166">
        <f t="shared" si="43"/>
        <v>581454.72000000009</v>
      </c>
      <c r="I87" s="166">
        <f t="shared" si="43"/>
        <v>639600.19200000016</v>
      </c>
      <c r="J87" s="166">
        <f t="shared" si="43"/>
        <v>671580.20160000015</v>
      </c>
      <c r="K87" s="166">
        <f t="shared" si="43"/>
        <v>705159.2116800003</v>
      </c>
      <c r="L87" s="175">
        <f t="shared" si="44"/>
        <v>3586037.5252800006</v>
      </c>
      <c r="M87" s="254">
        <f t="shared" si="45"/>
        <v>12.641025641025642</v>
      </c>
      <c r="N87" s="176" t="s">
        <v>377</v>
      </c>
    </row>
    <row r="88" spans="1:14" ht="15.75" thickBot="1" x14ac:dyDescent="0.3">
      <c r="A88" s="354"/>
      <c r="B88" s="355"/>
      <c r="C88" s="5" t="s">
        <v>13</v>
      </c>
      <c r="D88" s="145" t="s">
        <v>14</v>
      </c>
      <c r="E88" s="152">
        <v>0.33333333333333331</v>
      </c>
      <c r="F88" s="168">
        <f t="shared" si="43"/>
        <v>120000</v>
      </c>
      <c r="G88" s="168">
        <f t="shared" si="43"/>
        <v>137999.99999999997</v>
      </c>
      <c r="H88" s="168">
        <f t="shared" si="43"/>
        <v>151800</v>
      </c>
      <c r="I88" s="168">
        <f t="shared" si="43"/>
        <v>166980</v>
      </c>
      <c r="J88" s="168">
        <f t="shared" si="43"/>
        <v>175329</v>
      </c>
      <c r="K88" s="168">
        <f t="shared" si="43"/>
        <v>184095.45</v>
      </c>
      <c r="L88" s="175">
        <f t="shared" si="44"/>
        <v>936204.45</v>
      </c>
      <c r="M88" s="254">
        <f t="shared" si="45"/>
        <v>4.5555555555555554</v>
      </c>
      <c r="N88" s="176" t="s">
        <v>181</v>
      </c>
    </row>
    <row r="89" spans="1:14" ht="15.75" thickBot="1" x14ac:dyDescent="0.3">
      <c r="A89" s="354"/>
      <c r="B89" s="355"/>
      <c r="C89" s="5" t="s">
        <v>10</v>
      </c>
      <c r="D89" s="145" t="s">
        <v>6</v>
      </c>
      <c r="E89" s="153">
        <v>0.27142857142857141</v>
      </c>
      <c r="F89" s="162">
        <f t="shared" si="43"/>
        <v>78171.428571428565</v>
      </c>
      <c r="G89" s="162">
        <f t="shared" si="43"/>
        <v>89897.142857142855</v>
      </c>
      <c r="H89" s="162">
        <f t="shared" si="43"/>
        <v>98886.857142857159</v>
      </c>
      <c r="I89" s="162">
        <f t="shared" si="43"/>
        <v>108775.54285714288</v>
      </c>
      <c r="J89" s="162">
        <f t="shared" si="43"/>
        <v>114214.32000000002</v>
      </c>
      <c r="K89" s="162">
        <f t="shared" si="43"/>
        <v>119925.03600000002</v>
      </c>
      <c r="L89" s="175">
        <f t="shared" si="44"/>
        <v>609870.32742857141</v>
      </c>
      <c r="M89" s="254">
        <f t="shared" si="45"/>
        <v>1.9860128870029854</v>
      </c>
      <c r="N89" s="176" t="s">
        <v>190</v>
      </c>
    </row>
    <row r="90" spans="1:14" ht="15.75" thickBot="1" x14ac:dyDescent="0.3">
      <c r="A90" s="354"/>
      <c r="B90" s="355"/>
      <c r="C90" s="5" t="s">
        <v>20</v>
      </c>
      <c r="D90" s="145" t="s">
        <v>8</v>
      </c>
      <c r="E90" s="153">
        <v>6.4000000000000001E-2</v>
      </c>
      <c r="F90" s="162">
        <f t="shared" si="43"/>
        <v>10368</v>
      </c>
      <c r="G90" s="162">
        <f t="shared" si="43"/>
        <v>11923.199999999999</v>
      </c>
      <c r="H90" s="162">
        <f t="shared" si="43"/>
        <v>13115.52</v>
      </c>
      <c r="I90" s="162">
        <f t="shared" si="43"/>
        <v>14427.072000000002</v>
      </c>
      <c r="J90" s="162">
        <f t="shared" si="43"/>
        <v>15148.425600000002</v>
      </c>
      <c r="K90" s="162">
        <f t="shared" si="43"/>
        <v>15905.846880000003</v>
      </c>
      <c r="L90" s="175">
        <f t="shared" si="44"/>
        <v>80888.064480000001</v>
      </c>
      <c r="M90" s="254">
        <f t="shared" si="45"/>
        <v>4.0650406504065033E-2</v>
      </c>
      <c r="N90" s="176" t="s">
        <v>204</v>
      </c>
    </row>
    <row r="91" spans="1:14" ht="15.75" thickBot="1" x14ac:dyDescent="0.3">
      <c r="A91" s="354"/>
      <c r="B91" s="355"/>
      <c r="C91" s="5" t="s">
        <v>11</v>
      </c>
      <c r="D91" s="145" t="s">
        <v>12</v>
      </c>
      <c r="E91" s="153">
        <v>0.73035714285714282</v>
      </c>
      <c r="F91" s="162">
        <f t="shared" si="43"/>
        <v>78878.57142857142</v>
      </c>
      <c r="G91" s="162">
        <f t="shared" si="43"/>
        <v>90710.35714285713</v>
      </c>
      <c r="H91" s="162">
        <f t="shared" si="43"/>
        <v>99781.392857142855</v>
      </c>
      <c r="I91" s="162">
        <f t="shared" si="43"/>
        <v>109759.53214285715</v>
      </c>
      <c r="J91" s="162">
        <f t="shared" si="43"/>
        <v>115247.50875000001</v>
      </c>
      <c r="K91" s="162">
        <f t="shared" si="43"/>
        <v>121009.88418750002</v>
      </c>
      <c r="L91" s="175">
        <f t="shared" si="44"/>
        <v>615387.2465089286</v>
      </c>
      <c r="M91" s="254">
        <f t="shared" si="45"/>
        <v>2.4778911564625852</v>
      </c>
      <c r="N91" s="176" t="s">
        <v>40</v>
      </c>
    </row>
    <row r="92" spans="1:14" ht="15.75" thickBot="1" x14ac:dyDescent="0.3">
      <c r="A92" s="354"/>
      <c r="B92" s="355"/>
      <c r="C92" s="5" t="s">
        <v>4</v>
      </c>
      <c r="D92" s="145" t="s">
        <v>27</v>
      </c>
      <c r="E92" s="153">
        <v>0.88</v>
      </c>
      <c r="F92" s="170">
        <f t="shared" si="43"/>
        <v>221760</v>
      </c>
      <c r="G92" s="170">
        <f t="shared" si="43"/>
        <v>255023.99999999997</v>
      </c>
      <c r="H92" s="170">
        <f t="shared" si="43"/>
        <v>280526.39999999997</v>
      </c>
      <c r="I92" s="170">
        <f t="shared" si="43"/>
        <v>308579.04000000004</v>
      </c>
      <c r="J92" s="170">
        <f t="shared" si="43"/>
        <v>324007.99200000003</v>
      </c>
      <c r="K92" s="170">
        <f t="shared" si="43"/>
        <v>340208.39160000003</v>
      </c>
      <c r="L92" s="175">
        <f t="shared" si="44"/>
        <v>1730105.8236</v>
      </c>
      <c r="M92" s="254">
        <f t="shared" si="45"/>
        <v>12.037037037037036</v>
      </c>
      <c r="N92" s="176" t="s">
        <v>49</v>
      </c>
    </row>
    <row r="93" spans="1:14" x14ac:dyDescent="0.25">
      <c r="A93" s="354"/>
      <c r="B93" s="355"/>
      <c r="C93" s="343" t="s">
        <v>9</v>
      </c>
      <c r="D93" s="147" t="s">
        <v>323</v>
      </c>
      <c r="E93" s="154">
        <v>0.90666666666666662</v>
      </c>
      <c r="F93" s="162">
        <f t="shared" si="43"/>
        <v>81600</v>
      </c>
      <c r="G93" s="162">
        <f t="shared" si="43"/>
        <v>93839.999999999985</v>
      </c>
      <c r="H93" s="162">
        <f t="shared" si="43"/>
        <v>103223.99999999999</v>
      </c>
      <c r="I93" s="162">
        <f t="shared" si="43"/>
        <v>113546.4</v>
      </c>
      <c r="J93" s="162">
        <f t="shared" si="43"/>
        <v>119223.72</v>
      </c>
      <c r="K93" s="162">
        <f t="shared" si="43"/>
        <v>125184.90600000002</v>
      </c>
      <c r="L93" s="175">
        <f t="shared" si="44"/>
        <v>636619.02600000007</v>
      </c>
      <c r="M93" s="254">
        <f t="shared" si="45"/>
        <v>1.869198312236287</v>
      </c>
      <c r="N93" s="176" t="s">
        <v>234</v>
      </c>
    </row>
    <row r="94" spans="1:14" ht="30.75" thickBot="1" x14ac:dyDescent="0.3">
      <c r="A94" s="356"/>
      <c r="B94" s="357"/>
      <c r="C94" s="344"/>
      <c r="D94" s="148" t="s">
        <v>324</v>
      </c>
      <c r="E94" s="156">
        <v>1.2</v>
      </c>
      <c r="F94" s="166">
        <f t="shared" si="43"/>
        <v>216000</v>
      </c>
      <c r="G94" s="166">
        <f t="shared" si="43"/>
        <v>248399.99999999994</v>
      </c>
      <c r="H94" s="166">
        <f t="shared" si="43"/>
        <v>273240</v>
      </c>
      <c r="I94" s="166">
        <f t="shared" si="43"/>
        <v>300564</v>
      </c>
      <c r="J94" s="166">
        <f t="shared" si="43"/>
        <v>315592.2</v>
      </c>
      <c r="K94" s="166">
        <f t="shared" si="43"/>
        <v>331371.81</v>
      </c>
      <c r="L94" s="175">
        <f t="shared" si="44"/>
        <v>1685168.01</v>
      </c>
      <c r="M94" s="254">
        <f t="shared" si="45"/>
        <v>2.1578947368421049</v>
      </c>
      <c r="N94" s="176" t="s">
        <v>234</v>
      </c>
    </row>
    <row r="95" spans="1:14" ht="15.75" thickBot="1" x14ac:dyDescent="0.3">
      <c r="A95" s="337" t="s">
        <v>18</v>
      </c>
      <c r="B95" s="338"/>
      <c r="C95" s="5" t="s">
        <v>15</v>
      </c>
      <c r="D95" s="145" t="s">
        <v>16</v>
      </c>
      <c r="E95" s="153">
        <v>0.26666666666666666</v>
      </c>
      <c r="F95" s="171">
        <f t="shared" si="43"/>
        <v>86400</v>
      </c>
      <c r="G95" s="171">
        <f t="shared" si="43"/>
        <v>99359.999999999985</v>
      </c>
      <c r="H95" s="171">
        <f t="shared" si="43"/>
        <v>109296</v>
      </c>
      <c r="I95" s="171">
        <f t="shared" si="43"/>
        <v>120225.60000000001</v>
      </c>
      <c r="J95" s="171">
        <f t="shared" si="43"/>
        <v>126236.87999999999</v>
      </c>
      <c r="K95" s="171">
        <f t="shared" si="43"/>
        <v>132548.72400000002</v>
      </c>
      <c r="L95" s="175">
        <f t="shared" si="44"/>
        <v>674067.20400000003</v>
      </c>
      <c r="M95" s="254">
        <f t="shared" si="45"/>
        <v>0.68776371308016859</v>
      </c>
      <c r="N95" s="176" t="s">
        <v>234</v>
      </c>
    </row>
    <row r="96" spans="1:14" x14ac:dyDescent="0.25">
      <c r="A96" s="339" t="s">
        <v>19</v>
      </c>
      <c r="B96" s="340"/>
      <c r="C96" s="343" t="s">
        <v>17</v>
      </c>
      <c r="D96" s="145" t="s">
        <v>265</v>
      </c>
      <c r="E96" s="154">
        <v>61.6</v>
      </c>
      <c r="F96" s="162">
        <f t="shared" ref="F96:K97" si="46">F15*$E96</f>
        <v>110880</v>
      </c>
      <c r="G96" s="162">
        <f t="shared" si="46"/>
        <v>127512</v>
      </c>
      <c r="H96" s="162">
        <f t="shared" si="46"/>
        <v>140263.20000000001</v>
      </c>
      <c r="I96" s="162">
        <f t="shared" si="46"/>
        <v>154289.52000000002</v>
      </c>
      <c r="J96" s="162">
        <f t="shared" si="46"/>
        <v>162003.99600000004</v>
      </c>
      <c r="K96" s="162">
        <f t="shared" si="46"/>
        <v>170104.19580000004</v>
      </c>
      <c r="L96" s="175">
        <f t="shared" si="44"/>
        <v>865052.91180000012</v>
      </c>
      <c r="M96" s="254">
        <f t="shared" si="45"/>
        <v>1.5634623387432378</v>
      </c>
      <c r="N96" s="176" t="s">
        <v>258</v>
      </c>
    </row>
    <row r="97" spans="1:14" ht="15.75" thickBot="1" x14ac:dyDescent="0.3">
      <c r="A97" s="341"/>
      <c r="B97" s="342"/>
      <c r="C97" s="344"/>
      <c r="D97" s="146" t="s">
        <v>270</v>
      </c>
      <c r="E97" s="156">
        <v>82.5</v>
      </c>
      <c r="F97" s="166">
        <f t="shared" si="46"/>
        <v>198000</v>
      </c>
      <c r="G97" s="166">
        <f t="shared" si="46"/>
        <v>227700</v>
      </c>
      <c r="H97" s="166">
        <f t="shared" si="46"/>
        <v>250470.00000000003</v>
      </c>
      <c r="I97" s="166">
        <f t="shared" si="46"/>
        <v>275517.00000000006</v>
      </c>
      <c r="J97" s="166">
        <f t="shared" si="46"/>
        <v>289292.85000000009</v>
      </c>
      <c r="K97" s="166">
        <f t="shared" si="46"/>
        <v>303757.49250000011</v>
      </c>
      <c r="L97" s="175">
        <f t="shared" si="44"/>
        <v>1544737.3425000003</v>
      </c>
      <c r="M97" s="254">
        <f t="shared" si="45"/>
        <v>1.7490836387870712</v>
      </c>
      <c r="N97" s="176" t="s">
        <v>258</v>
      </c>
    </row>
    <row r="98" spans="1:14" ht="15.75" thickBot="1" x14ac:dyDescent="0.3">
      <c r="A98" s="345" t="s">
        <v>276</v>
      </c>
      <c r="B98" s="6" t="s">
        <v>1</v>
      </c>
      <c r="C98" s="5" t="s">
        <v>0</v>
      </c>
      <c r="D98" s="145" t="s">
        <v>2</v>
      </c>
      <c r="E98" s="153">
        <v>0.8</v>
      </c>
      <c r="F98" s="168">
        <f t="shared" ref="F98:K99" si="47">F17*$E98*30</f>
        <v>28800</v>
      </c>
      <c r="G98" s="168">
        <f t="shared" si="47"/>
        <v>33120</v>
      </c>
      <c r="H98" s="168">
        <f t="shared" si="47"/>
        <v>36432.000000000007</v>
      </c>
      <c r="I98" s="168">
        <f t="shared" si="47"/>
        <v>40075.200000000012</v>
      </c>
      <c r="J98" s="168">
        <f t="shared" si="47"/>
        <v>42078.960000000014</v>
      </c>
      <c r="K98" s="168">
        <f t="shared" si="47"/>
        <v>44182.90800000001</v>
      </c>
      <c r="L98" s="175">
        <f t="shared" si="44"/>
        <v>224689.06800000003</v>
      </c>
      <c r="M98" s="254">
        <f t="shared" si="45"/>
        <v>10.494252873563219</v>
      </c>
      <c r="N98" s="176" t="s">
        <v>291</v>
      </c>
    </row>
    <row r="99" spans="1:14" ht="15.75" thickBot="1" x14ac:dyDescent="0.3">
      <c r="A99" s="346"/>
      <c r="B99" s="149" t="s">
        <v>21</v>
      </c>
      <c r="C99" s="150" t="s">
        <v>22</v>
      </c>
      <c r="D99" s="151" t="s">
        <v>314</v>
      </c>
      <c r="E99" s="153">
        <v>0.625</v>
      </c>
      <c r="F99" s="172">
        <f t="shared" si="47"/>
        <v>27000</v>
      </c>
      <c r="G99" s="172">
        <f t="shared" si="47"/>
        <v>31049.999999999993</v>
      </c>
      <c r="H99" s="172">
        <f t="shared" si="47"/>
        <v>34155</v>
      </c>
      <c r="I99" s="172">
        <f t="shared" si="47"/>
        <v>37570.5</v>
      </c>
      <c r="J99" s="172">
        <f t="shared" si="47"/>
        <v>39449.025000000001</v>
      </c>
      <c r="K99" s="172">
        <f t="shared" si="47"/>
        <v>41421.476249999992</v>
      </c>
      <c r="L99" s="175">
        <f t="shared" si="44"/>
        <v>210646.00124999997</v>
      </c>
      <c r="M99" s="254">
        <f t="shared" si="45"/>
        <v>0.22549019607843104</v>
      </c>
      <c r="N99" s="176" t="s">
        <v>307</v>
      </c>
    </row>
    <row r="100" spans="1:14" x14ac:dyDescent="0.25">
      <c r="A100" s="157"/>
      <c r="B100" s="157"/>
      <c r="C100" s="157"/>
      <c r="D100" s="157"/>
      <c r="E100" s="157"/>
      <c r="F100" s="173">
        <f t="shared" ref="F100:K100" si="48">SUM(F85:F99)</f>
        <v>1949576.4</v>
      </c>
      <c r="G100" s="173">
        <f t="shared" si="48"/>
        <v>2242012.86</v>
      </c>
      <c r="H100" s="173">
        <f t="shared" si="48"/>
        <v>2466214.1460000002</v>
      </c>
      <c r="I100" s="173">
        <f t="shared" si="48"/>
        <v>2712835.5606000004</v>
      </c>
      <c r="J100" s="173">
        <f t="shared" si="48"/>
        <v>2848477.3386300001</v>
      </c>
      <c r="K100" s="173">
        <f t="shared" si="48"/>
        <v>2990901.2055615</v>
      </c>
      <c r="L100" s="347">
        <f t="shared" si="44"/>
        <v>15210017.510791501</v>
      </c>
      <c r="M100" s="347"/>
      <c r="N100" s="157"/>
    </row>
    <row r="101" spans="1:14" x14ac:dyDescent="0.25">
      <c r="A101" s="157"/>
      <c r="B101" s="157"/>
      <c r="C101" s="157"/>
      <c r="D101" s="157"/>
      <c r="E101" s="178" t="s">
        <v>353</v>
      </c>
      <c r="F101" s="177">
        <f t="shared" ref="F101:L101" si="49">(F100-F38)/F38</f>
        <v>3.3981115143213318</v>
      </c>
      <c r="G101" s="177">
        <f t="shared" si="49"/>
        <v>3.3981115143213327</v>
      </c>
      <c r="H101" s="177">
        <f t="shared" si="49"/>
        <v>3.3981115143213318</v>
      </c>
      <c r="I101" s="177">
        <f t="shared" si="49"/>
        <v>3.3981115143213323</v>
      </c>
      <c r="J101" s="177">
        <f t="shared" si="49"/>
        <v>3.3981115143213318</v>
      </c>
      <c r="K101" s="177">
        <f t="shared" si="49"/>
        <v>3.3981115143213318</v>
      </c>
      <c r="L101" s="177">
        <f t="shared" si="49"/>
        <v>3.3981115143213323</v>
      </c>
      <c r="M101" s="157"/>
      <c r="N101" s="157"/>
    </row>
  </sheetData>
  <mergeCells count="92">
    <mergeCell ref="A17:A18"/>
    <mergeCell ref="C15:C16"/>
    <mergeCell ref="F1:F2"/>
    <mergeCell ref="G1:G2"/>
    <mergeCell ref="H1:H2"/>
    <mergeCell ref="E1:E3"/>
    <mergeCell ref="C4:C6"/>
    <mergeCell ref="A1:B3"/>
    <mergeCell ref="C1:D2"/>
    <mergeCell ref="L4:L13"/>
    <mergeCell ref="M4:M13"/>
    <mergeCell ref="L15:L16"/>
    <mergeCell ref="M15:M16"/>
    <mergeCell ref="C12:C13"/>
    <mergeCell ref="A4:B13"/>
    <mergeCell ref="A14:B14"/>
    <mergeCell ref="A15:B16"/>
    <mergeCell ref="I1:I2"/>
    <mergeCell ref="J1:J2"/>
    <mergeCell ref="K1:K2"/>
    <mergeCell ref="M2:M3"/>
    <mergeCell ref="L2:L3"/>
    <mergeCell ref="L1:M1"/>
    <mergeCell ref="A20:B22"/>
    <mergeCell ref="C20:D21"/>
    <mergeCell ref="A23:B32"/>
    <mergeCell ref="C23:C25"/>
    <mergeCell ref="C31:C32"/>
    <mergeCell ref="A53:B53"/>
    <mergeCell ref="A54:B55"/>
    <mergeCell ref="C54:C55"/>
    <mergeCell ref="A56:A57"/>
    <mergeCell ref="F20:F22"/>
    <mergeCell ref="A40:B42"/>
    <mergeCell ref="C40:D41"/>
    <mergeCell ref="E40:E42"/>
    <mergeCell ref="A43:B52"/>
    <mergeCell ref="C43:C45"/>
    <mergeCell ref="C51:C52"/>
    <mergeCell ref="A33:B33"/>
    <mergeCell ref="A34:B35"/>
    <mergeCell ref="C34:C35"/>
    <mergeCell ref="A36:A37"/>
    <mergeCell ref="E20:E22"/>
    <mergeCell ref="G20:G22"/>
    <mergeCell ref="H20:H22"/>
    <mergeCell ref="I20:I22"/>
    <mergeCell ref="J20:J22"/>
    <mergeCell ref="K20:K22"/>
    <mergeCell ref="L38:M38"/>
    <mergeCell ref="F40:F42"/>
    <mergeCell ref="G40:G42"/>
    <mergeCell ref="H40:H42"/>
    <mergeCell ref="I40:I42"/>
    <mergeCell ref="J40:J42"/>
    <mergeCell ref="K40:K42"/>
    <mergeCell ref="L58:M58"/>
    <mergeCell ref="C61:D62"/>
    <mergeCell ref="E61:E63"/>
    <mergeCell ref="F61:F63"/>
    <mergeCell ref="G61:G63"/>
    <mergeCell ref="H61:H63"/>
    <mergeCell ref="I61:I63"/>
    <mergeCell ref="J61:J63"/>
    <mergeCell ref="K61:K63"/>
    <mergeCell ref="L79:M79"/>
    <mergeCell ref="A61:B63"/>
    <mergeCell ref="A64:B73"/>
    <mergeCell ref="A74:B74"/>
    <mergeCell ref="A75:B76"/>
    <mergeCell ref="A77:A78"/>
    <mergeCell ref="L100:M100"/>
    <mergeCell ref="H82:H84"/>
    <mergeCell ref="I82:I84"/>
    <mergeCell ref="J82:J84"/>
    <mergeCell ref="K82:K84"/>
    <mergeCell ref="M19:M20"/>
    <mergeCell ref="A95:B95"/>
    <mergeCell ref="A96:B97"/>
    <mergeCell ref="C96:C97"/>
    <mergeCell ref="A98:A99"/>
    <mergeCell ref="A85:B94"/>
    <mergeCell ref="C85:C87"/>
    <mergeCell ref="C93:C94"/>
    <mergeCell ref="A82:B84"/>
    <mergeCell ref="C82:D83"/>
    <mergeCell ref="E82:E84"/>
    <mergeCell ref="F82:F84"/>
    <mergeCell ref="G82:G84"/>
    <mergeCell ref="C64:C66"/>
    <mergeCell ref="C72:C73"/>
    <mergeCell ref="C75:C76"/>
  </mergeCells>
  <pageMargins left="0.25" right="0.25" top="0.25" bottom="0.25" header="0.3" footer="0.3"/>
  <pageSetup paperSize="9" scale="62" fitToHeight="2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FILTR</vt:lpstr>
      <vt:lpstr>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Irakli</cp:lastModifiedBy>
  <cp:lastPrinted>2019-11-11T14:12:40Z</cp:lastPrinted>
  <dcterms:created xsi:type="dcterms:W3CDTF">2019-11-10T07:00:43Z</dcterms:created>
  <dcterms:modified xsi:type="dcterms:W3CDTF">2019-11-12T06:49:59Z</dcterms:modified>
</cp:coreProperties>
</file>