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435"/>
  </bookViews>
  <sheets>
    <sheet name="naerti" sheetId="17" r:id="rId1"/>
  </sheets>
  <definedNames>
    <definedName name="_xlnm._FilterDatabase" localSheetId="0" hidden="1">naerti!$B$4:$I$123</definedName>
    <definedName name="_xlnm.Print_Area" localSheetId="0">naerti!$B$2:$G$123</definedName>
    <definedName name="_xlnm.Print_Titles" localSheetId="0">naerti!$2:$4</definedName>
  </definedNames>
  <calcPr calcId="152511"/>
</workbook>
</file>

<file path=xl/calcChain.xml><?xml version="1.0" encoding="utf-8"?>
<calcChain xmlns="http://schemas.openxmlformats.org/spreadsheetml/2006/main">
  <c r="E66" i="17" l="1"/>
  <c r="E111" i="17"/>
  <c r="E109" i="17"/>
  <c r="E103" i="17"/>
  <c r="E91" i="17"/>
  <c r="E87" i="17"/>
  <c r="E82" i="17"/>
  <c r="E69" i="17"/>
  <c r="E117" i="17"/>
  <c r="E106" i="17"/>
  <c r="E80" i="17"/>
  <c r="E75" i="17"/>
  <c r="E86" i="17"/>
  <c r="E71" i="17"/>
  <c r="E70" i="17"/>
  <c r="E74" i="17"/>
  <c r="E49" i="17" l="1"/>
  <c r="F40" i="17" l="1"/>
  <c r="F26" i="17" l="1"/>
  <c r="G65" i="17"/>
  <c r="G63" i="17"/>
  <c r="G62" i="17"/>
  <c r="G61" i="17"/>
  <c r="G60" i="17"/>
  <c r="G59" i="17"/>
  <c r="G58" i="17"/>
  <c r="G57" i="17"/>
  <c r="G56" i="17"/>
  <c r="G55" i="17"/>
  <c r="G53" i="17"/>
  <c r="G52" i="17"/>
  <c r="F64" i="17"/>
  <c r="F54" i="17" l="1"/>
  <c r="F51" i="17" l="1"/>
  <c r="F47" i="17"/>
  <c r="G49" i="17" l="1"/>
  <c r="G48" i="17"/>
  <c r="F44" i="17" l="1"/>
  <c r="G46" i="17"/>
  <c r="G45" i="17"/>
  <c r="G43" i="17"/>
  <c r="G42" i="17"/>
  <c r="G41" i="17"/>
  <c r="G39" i="17" l="1"/>
  <c r="G38" i="17"/>
  <c r="F37" i="17"/>
  <c r="F32" i="17"/>
  <c r="G36" i="17" l="1"/>
  <c r="G35" i="17"/>
  <c r="G34" i="17"/>
  <c r="G33" i="17"/>
  <c r="G31" i="17" l="1"/>
  <c r="G30" i="17"/>
  <c r="G29" i="17"/>
  <c r="G28" i="17"/>
  <c r="G27" i="17"/>
  <c r="G25" i="17" l="1"/>
  <c r="G24" i="17"/>
  <c r="G23" i="17"/>
  <c r="G22" i="17"/>
  <c r="G21" i="17"/>
  <c r="G20" i="17"/>
  <c r="F19" i="17"/>
  <c r="G18" i="17" l="1"/>
  <c r="G17" i="17"/>
  <c r="G16" i="17"/>
  <c r="G15" i="17"/>
  <c r="G14" i="17"/>
  <c r="G13" i="17"/>
  <c r="G11" i="17"/>
  <c r="F10" i="17"/>
  <c r="E64" i="17" l="1"/>
  <c r="D64" i="17"/>
  <c r="E54" i="17"/>
  <c r="D54" i="17"/>
  <c r="E51" i="17"/>
  <c r="D51" i="17"/>
  <c r="E47" i="17"/>
  <c r="D47" i="17"/>
  <c r="E44" i="17"/>
  <c r="D44" i="17"/>
  <c r="E40" i="17"/>
  <c r="D40" i="17"/>
  <c r="E37" i="17"/>
  <c r="D37" i="17"/>
  <c r="E32" i="17"/>
  <c r="D32" i="17"/>
  <c r="E26" i="17"/>
  <c r="D26" i="17"/>
  <c r="E19" i="17"/>
  <c r="D19" i="17"/>
  <c r="E10" i="17"/>
  <c r="D10" i="17"/>
  <c r="F9" i="17"/>
  <c r="E9" i="17" l="1"/>
  <c r="D9" i="17"/>
  <c r="E6" i="17" l="1"/>
  <c r="E5" i="17" l="1"/>
  <c r="D110" i="17"/>
  <c r="F68" i="17" l="1"/>
  <c r="F7" i="17"/>
  <c r="F117" i="17"/>
  <c r="F106" i="17"/>
  <c r="F80" i="17"/>
  <c r="F75" i="17"/>
  <c r="F86" i="17"/>
  <c r="F71" i="17"/>
  <c r="F70" i="17"/>
  <c r="F74" i="17"/>
  <c r="D117" i="17" l="1"/>
  <c r="D84" i="17" l="1"/>
  <c r="G101" i="17" l="1"/>
  <c r="D108" i="17" l="1"/>
  <c r="G107" i="17"/>
  <c r="D111" i="17" l="1"/>
  <c r="G122" i="17" l="1"/>
  <c r="G100" i="17" l="1"/>
  <c r="F111" i="17" l="1"/>
  <c r="G99" i="17" l="1"/>
  <c r="D98" i="17" l="1"/>
  <c r="G98" i="17" s="1"/>
  <c r="D73" i="17"/>
  <c r="G121" i="17" l="1"/>
  <c r="D106" i="17" l="1"/>
  <c r="D103" i="17" s="1"/>
  <c r="D50" i="17" l="1"/>
  <c r="D93" i="17" l="1"/>
  <c r="G120" i="17" l="1"/>
  <c r="G119" i="17" l="1"/>
  <c r="G118" i="17"/>
  <c r="F66" i="17"/>
  <c r="D95" i="17" l="1"/>
  <c r="D91" i="17" s="1"/>
  <c r="D74" i="17" l="1"/>
  <c r="D75" i="17" l="1"/>
  <c r="G77" i="17" l="1"/>
  <c r="D71" i="17" l="1"/>
  <c r="D70" i="17"/>
  <c r="G97" i="17" l="1"/>
  <c r="D80" i="17"/>
  <c r="G106" i="17" l="1"/>
  <c r="G96" i="17"/>
  <c r="G95" i="17" l="1"/>
  <c r="G115" i="17" l="1"/>
  <c r="G92" i="17" l="1"/>
  <c r="G79" i="17"/>
  <c r="G117" i="17" l="1"/>
  <c r="F91" i="17" l="1"/>
  <c r="G94" i="17" l="1"/>
  <c r="G102" i="17"/>
  <c r="G105" i="17" l="1"/>
  <c r="G110" i="17" l="1"/>
  <c r="F109" i="17"/>
  <c r="D109" i="17" l="1"/>
  <c r="G109" i="17" l="1"/>
  <c r="G93" i="17"/>
  <c r="G123" i="17" l="1"/>
  <c r="G116" i="17"/>
  <c r="G108" i="17"/>
  <c r="G51" i="17"/>
  <c r="G50" i="17"/>
  <c r="G47" i="17"/>
  <c r="G44" i="17"/>
  <c r="G40" i="17"/>
  <c r="G37" i="17"/>
  <c r="G32" i="17"/>
  <c r="G19" i="17"/>
  <c r="G74" i="17"/>
  <c r="G81" i="17"/>
  <c r="G78" i="17"/>
  <c r="G76" i="17"/>
  <c r="G80" i="17"/>
  <c r="G75" i="17"/>
  <c r="G90" i="17"/>
  <c r="F87" i="17"/>
  <c r="G89" i="17"/>
  <c r="G88" i="17"/>
  <c r="G64" i="17"/>
  <c r="D6" i="17"/>
  <c r="G26" i="17"/>
  <c r="G10" i="17"/>
  <c r="F103" i="17"/>
  <c r="G86" i="17"/>
  <c r="G84" i="17"/>
  <c r="G83" i="17"/>
  <c r="G67" i="17"/>
  <c r="G68" i="17"/>
  <c r="F82" i="17"/>
  <c r="G113" i="17"/>
  <c r="G114" i="17"/>
  <c r="G85" i="17"/>
  <c r="G73" i="17"/>
  <c r="G72" i="17"/>
  <c r="G71" i="17"/>
  <c r="G70" i="17"/>
  <c r="F69" i="17"/>
  <c r="F6" i="17"/>
  <c r="G8" i="17"/>
  <c r="F5" i="17" l="1"/>
  <c r="G91" i="17"/>
  <c r="G9" i="17"/>
  <c r="D66" i="17"/>
  <c r="D82" i="17"/>
  <c r="G7" i="17"/>
  <c r="D69" i="17"/>
  <c r="G104" i="17"/>
  <c r="D87" i="17"/>
  <c r="G112" i="17"/>
  <c r="G54" i="17"/>
  <c r="G103" i="17"/>
  <c r="G6" i="17"/>
  <c r="G87" i="17" l="1"/>
  <c r="G69" i="17"/>
  <c r="G82" i="17"/>
  <c r="G111" i="17"/>
  <c r="D5" i="17"/>
  <c r="G66" i="17"/>
  <c r="G5" i="17" l="1"/>
</calcChain>
</file>

<file path=xl/sharedStrings.xml><?xml version="1.0" encoding="utf-8"?>
<sst xmlns="http://schemas.openxmlformats.org/spreadsheetml/2006/main" count="214" uniqueCount="213">
  <si>
    <t>ორგ. კოდი</t>
  </si>
  <si>
    <t>sul</t>
  </si>
  <si>
    <t>სსიპ - ლ. საყვარელიძის სახელობის დავადებათა კონტროლისა და საზოგადოებრივი ჯანმრთელობის ეროვნული ცენტრი</t>
  </si>
  <si>
    <t>01 00</t>
  </si>
  <si>
    <t>ადმინისტრაცია</t>
  </si>
  <si>
    <t>01 01</t>
  </si>
  <si>
    <t>01 02</t>
  </si>
  <si>
    <t>02 00</t>
  </si>
  <si>
    <t>საზოგადოებრივი ჯანმრთელობის დაცვა</t>
  </si>
  <si>
    <t>02 01</t>
  </si>
  <si>
    <t>02 02</t>
  </si>
  <si>
    <t>02 03</t>
  </si>
  <si>
    <t>02 04</t>
  </si>
  <si>
    <t>02 05</t>
  </si>
  <si>
    <t>დ ა ს ა ხ ე ლ ე ბ ა</t>
  </si>
  <si>
    <t>%</t>
  </si>
  <si>
    <t>02 06</t>
  </si>
  <si>
    <t>02 08</t>
  </si>
  <si>
    <t>WHO</t>
  </si>
  <si>
    <t>04 00</t>
  </si>
  <si>
    <t>04 01</t>
  </si>
  <si>
    <t>05 00</t>
  </si>
  <si>
    <t>06 00</t>
  </si>
  <si>
    <t>06 01</t>
  </si>
  <si>
    <t>07 00</t>
  </si>
  <si>
    <t>07 01</t>
  </si>
  <si>
    <t>სხვა დანარჩენი საგრანტო პროექტები</t>
  </si>
  <si>
    <t>CDC - საგრანტო პროექტები</t>
  </si>
  <si>
    <t>DTRA  - საგრანტო პროექტები</t>
  </si>
  <si>
    <t>გლობალური ფონდის  საგრანტო პროექტები</t>
  </si>
  <si>
    <t>05 04</t>
  </si>
  <si>
    <t>02 09</t>
  </si>
  <si>
    <t>02 10</t>
  </si>
  <si>
    <t>02 11</t>
  </si>
  <si>
    <t>04 02</t>
  </si>
  <si>
    <t>02 07</t>
  </si>
  <si>
    <t>07 02</t>
  </si>
  <si>
    <t>02 12</t>
  </si>
  <si>
    <t>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 (1225)</t>
  </si>
  <si>
    <t>03 00</t>
  </si>
  <si>
    <t>03 01</t>
  </si>
  <si>
    <t>03 02</t>
  </si>
  <si>
    <t>04 03</t>
  </si>
  <si>
    <t>04 04</t>
  </si>
  <si>
    <t>04 05</t>
  </si>
  <si>
    <t>04 06</t>
  </si>
  <si>
    <t>04 07</t>
  </si>
  <si>
    <t>04 08</t>
  </si>
  <si>
    <t>04 10</t>
  </si>
  <si>
    <t>04 11</t>
  </si>
  <si>
    <t>06 02</t>
  </si>
  <si>
    <t>WRAIR - საგრანტო პროექტები</t>
  </si>
  <si>
    <t>07 03</t>
  </si>
  <si>
    <t>09 00</t>
  </si>
  <si>
    <t>09 01</t>
  </si>
  <si>
    <t>08 00</t>
  </si>
  <si>
    <t>08 01</t>
  </si>
  <si>
    <t>08 02</t>
  </si>
  <si>
    <t>ქართულ-ნორვეგიული თანამშრომლობა საზოგადოებრივ ჯანდაცვაში (GeNoC-PH) (1290)</t>
  </si>
  <si>
    <t>The Artic University of Norway</t>
  </si>
  <si>
    <t>The Union Vital Strategies</t>
  </si>
  <si>
    <t>10 00</t>
  </si>
  <si>
    <t>10 01</t>
  </si>
  <si>
    <t>10 02</t>
  </si>
  <si>
    <t>FIND-საგრანტო პროექტები</t>
  </si>
  <si>
    <t>გავის მხარდაჭერა ქვეყნის შერჩევით ადმინისტრაციულ ტერიტორიებზე ადამიანის პაპილომა ვირუსის (აპვ) საწინააღმდეგო ვაქცინაციის დანერგვის მიზნით (1419)</t>
  </si>
  <si>
    <t>Cambridge University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</si>
  <si>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(1475)</t>
  </si>
  <si>
    <t>07 04</t>
  </si>
  <si>
    <t>06 03</t>
  </si>
  <si>
    <t>ანტიმიკრობული რეზისტენტობის გავრცელებასთან ბრძოლა საქართველოში GHSA (1320-1531)</t>
  </si>
  <si>
    <t>ერთიანი ჯანმრთელობის პრინციპებზე დამყარებული ზედამხედველობის დაწესება გადამტანებით გადაცემად დაავადებებზე GHSA (1538)</t>
  </si>
  <si>
    <t>გავის გარდამავალი გრანტის აქტივობების განხორცილება საქართველოში (1602)</t>
  </si>
  <si>
    <t>რუსთაველის ფონდის  საგრანტო პროექტები</t>
  </si>
  <si>
    <t>ვირუსები შავ ზღვაში : მრავალფეროვნება, თანასაზიგადოებების დინამიკა და ვირუს-მასპინძლის ურთიერთქმედებანი</t>
  </si>
  <si>
    <t>Xpert HBV VL ტესტირების შესრულების კლინიკური შეფასება (1605)</t>
  </si>
  <si>
    <t>საქართველოში დაავადებათა კონტროლისა და საზოგადობრივი ჯანმრთელობის ეროვნული ცენტრის MICS კვლევაში წყლის ხარისხის ტესტირების მხარდაჭერა (1634)</t>
  </si>
  <si>
    <t>ქიმიური ნივთიერებების მდგრადი მართვის ეროვნული სისტემის ძირითადი ელემენტების დანერგვა აღმოსავლეთ ევროპის, კავკასიის და ცენტრალური აზიის ზოგიერთ ქვეყანაში: ბელარუსი, საქართველო, ყაზახეთი (1637)</t>
  </si>
  <si>
    <t>Emory Universitety</t>
  </si>
  <si>
    <t>თამბაქოს კვამლისგან თავისუფალი კოალიციები საქართველოსა და სომხეთში: რანდომიზირებული სათემო კვლევა (1653)</t>
  </si>
  <si>
    <t>დაავადაბათა კონტროლისა და ეპიდემიოლოგიური უსაფრთხოების პროგრამის მართვა - 27 01 03</t>
  </si>
  <si>
    <t>დაავადებათა ადრეული გამოვლენა და სკრინინგი - 27 03 02 01</t>
  </si>
  <si>
    <t xml:space="preserve">იმუნიზაცია - 27 03 02 02 </t>
  </si>
  <si>
    <t>ეპიდზედამხედველობის პროგრამა - 27 03 02 03</t>
  </si>
  <si>
    <t>უსაფრთხო სისხლი - 27 03 02 04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</si>
  <si>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(1657-1440)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</si>
  <si>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(1658-1441)</t>
  </si>
  <si>
    <t>მიკრონუტრიენტთა დეფიციტის ზედამხედველობის სისტემის გაძლიერება საქართველოში (1675)</t>
  </si>
  <si>
    <t>C  ჰეპატიტის ვირუსის გენეტიკური მახასიათებლები: შედეგები და მათი როლი C ჰეპატიტის ელემინაციის პროგრამის წარმატებაში  (1676)</t>
  </si>
  <si>
    <t>სამხრეთ კავკასიის საველე ეპიდემიოლოგიური და ლაბორატორიული სწავლების პროგრამა  GHSA (1537-1669)</t>
  </si>
  <si>
    <t>იმუნიზაციისა და ვაქცინაციით მართვადი  დაავადებების ზედამხედველობის სისტემების გაძლიერება GHSA (1533)</t>
  </si>
  <si>
    <t>ენტეროვირუსების  ზედამხედველობის  დანერგვა საქართველო GHSA (1535)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</si>
  <si>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GHSA (1532-1668)</t>
  </si>
  <si>
    <t xml:space="preserve"> ლაბორატორიების ხარისხის კონტროლის ეროვნული პროგრამის შექმნა და დანერგვა საქართველოში GHSA (1536)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</si>
  <si>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(1497-1663)</t>
  </si>
  <si>
    <t>05 01</t>
  </si>
  <si>
    <t>05 02</t>
  </si>
  <si>
    <t>05 03</t>
  </si>
  <si>
    <t>ველურ ფრინველებში A გრიპის ვირუსების ზედამხედველობის კვლევა (1617)</t>
  </si>
  <si>
    <t>თამბაქოს კონტროლის ჩარჩო-კონვენცია 2030 (1679)</t>
  </si>
  <si>
    <t>EMCDDA</t>
  </si>
  <si>
    <t>GAVI</t>
  </si>
  <si>
    <t>08 03</t>
  </si>
  <si>
    <t>10 03</t>
  </si>
  <si>
    <t>10 04</t>
  </si>
  <si>
    <t>10 05</t>
  </si>
  <si>
    <t>10 06</t>
  </si>
  <si>
    <t>დაბადების რეგისტრის სისტემის გაძლიერების ხელშეწყობა (1689)</t>
  </si>
  <si>
    <t>UNICEF</t>
  </si>
  <si>
    <t>ცე ჰეპატიტის ვირუსის საწინააღმდეგო ანტისხეულების გამომვლენი სწრაფი დიაგნოსტიკური ტესტების (სდტ) შეფასება (1630-1699)</t>
  </si>
  <si>
    <t>07 05</t>
  </si>
  <si>
    <t>შუალედური შეხვედრა ეროვნული დონის დაინტერესებულ მხარეებს შორის აივ და საყოველთაო ჯანდაცვის საკითხებზე აქცენტით 2018 (1695)</t>
  </si>
  <si>
    <t>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(1059)</t>
  </si>
  <si>
    <t>დკსჯეც-ს შტამების საცავის დახასიათება ახალი შტამების სეკვენირები   (1060-1603)</t>
  </si>
  <si>
    <t>მოლეკულურ ვირუსოლოგიური კვლევები საქართველოში (1635)</t>
  </si>
  <si>
    <t>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- 27 03 02 06 03</t>
  </si>
  <si>
    <t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 - 27 03 02 07 03</t>
  </si>
  <si>
    <t>ჯანმრთელობის ხელშეწყობის პროგრამა - 27 03 02 10</t>
  </si>
  <si>
    <t>C ჰეპატიტის მართვა - 27 03 02 11 02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</si>
  <si>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- 27 03 02 05</t>
  </si>
  <si>
    <t>07 06</t>
  </si>
  <si>
    <t>CAESAR ამრ მონაცემთა შეგროვების ხელშეწყობა საქართველოში  (1712)</t>
  </si>
  <si>
    <t>08 04</t>
  </si>
  <si>
    <t>NCV RNA(NAT) ტესტირების ვალიდაცია სისხლის მშრალი წვეთების გამოყენებით და C ჰეპატიტის აქტიური ინფექციის კონფირმაციისას Genedrive HCV მეთოდის დიაგნოსტიკური შეაძლებლობების შეფასება (1713)</t>
  </si>
  <si>
    <t>პოლიომიელიტის ზედამხედველობა გარემოში საქართველო 2019 წელი  (1709)</t>
  </si>
  <si>
    <t>2019 წ. გეგმა</t>
  </si>
  <si>
    <t>04 09</t>
  </si>
  <si>
    <t>04 12</t>
  </si>
  <si>
    <t>რესპირატორულ დაავადებებზე ზედამხედველობა (1534)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</si>
  <si>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 27 03 02 07 03  (1248)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</si>
  <si>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27 03 02 08 03 (1149)</t>
  </si>
  <si>
    <t>10 07</t>
  </si>
  <si>
    <t>10 08</t>
  </si>
  <si>
    <t>GIZ</t>
  </si>
  <si>
    <t xml:space="preserve"> ტექნიკური მხარდაჭერა C - ჰეპატიტის მეექვსე ორდღიანი ეროვნული სემინარისთვის, რომელიც ჩატარდება 2019 წლის 6 და 7 მარტს (1733)</t>
  </si>
  <si>
    <t>ცენტრის ფუნქციონირების ორგანიზაციულ-ტექნიკური მხარდაჭერა   (1545) Utility</t>
  </si>
  <si>
    <t>ცენტრის ფუნქციონირების ორგანიზაციულ-ტექნიკური მხარდაჭერა  (1139-1543) Security</t>
  </si>
  <si>
    <t>ცენტრის ფუნქციონირების ორგანიზაციულ-ტექნიკური მხარდაჭერა   (1544) O &amp; M</t>
  </si>
  <si>
    <t>10 09</t>
  </si>
  <si>
    <t>EcoHealth Alliance</t>
  </si>
  <si>
    <t>დასავლეთ აზიაში  ღამურის მიერ გამოწვეული ზოონოზური დავადებების რისკების ანალიზი (1742)</t>
  </si>
  <si>
    <t xml:space="preserve">EASL </t>
  </si>
  <si>
    <t>10 10</t>
  </si>
  <si>
    <t>UNFPA</t>
  </si>
  <si>
    <t>საშვილოსნოს ყელის კიბოს სკრინინგის რეგისტრის შექმნა (1756)</t>
  </si>
  <si>
    <t>07 07</t>
  </si>
  <si>
    <t>07 08</t>
  </si>
  <si>
    <t>2019 წლის ევროპის იმუნიზაციის კვირეულის საკომუნიკაციო კამპანია საქართველოში (1755)</t>
  </si>
  <si>
    <t>07 09</t>
  </si>
  <si>
    <t>საქართველოს მაღალმთიან რაიონებში ნაწლავურ ჰელმინთებზე ეპიდემიოლოგიური მდგომარეობის შეფასება (1764)</t>
  </si>
  <si>
    <t>გაეროს საგზაო უსაფრთხოების მე-5 გლობალური კვირეულის გახსნის ღონისძიებისა და გაფართოებული მულტისექტორული შეხვედრის მხარდაჭერა საქართველო 6 მაისი  (1753)</t>
  </si>
  <si>
    <t>10 11</t>
  </si>
  <si>
    <t>EU</t>
  </si>
  <si>
    <t>08 05</t>
  </si>
  <si>
    <t>HCVcAg ტესტის დიაგნოსტიკური ეფექტურობის შეფასება  საქართველოში C ჰეპატიტის სამკურნალოდ</t>
  </si>
  <si>
    <t>დარგობრივი ინსტიტუტების მხარდაჭერა საქართველოში-დასავლეთ აზიური ქსელის შექმნა კავკასიის რეგიონში ბიოუსაფრთხოების გასაუმჯობესებლად GIZ (1734)</t>
  </si>
  <si>
    <t>07 10</t>
  </si>
  <si>
    <t>07 11</t>
  </si>
  <si>
    <t>მსოფლიო თამბაქოს გარეაშე 2019 - ს აღნიშვნა WNTD 2019 (1785)</t>
  </si>
  <si>
    <t>რისკების თაობაზე ცნობიერების ამაღლება და თბური ტალღების ტრანსსასაზღვრო ზემოქმედების შემცირების კომუნიკაცია (1775)</t>
  </si>
  <si>
    <t>2019 ESPAD მონაცემთა შეგროვებისთვის ქვეყნების მხარდაჭერა საქათველო (1640-1754)</t>
  </si>
  <si>
    <t>ფაქტი</t>
  </si>
  <si>
    <t>ვალდებულება</t>
  </si>
  <si>
    <t>6 თვე</t>
  </si>
  <si>
    <t>კიბოს სკრინინგის კომპონენტი</t>
  </si>
  <si>
    <t>საშვილოსნოს ყელის ორგანიზებული სკრინინგი</t>
  </si>
  <si>
    <t>1-დან 6 წლამდე ასაკის ბავშვთა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</si>
  <si>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</si>
  <si>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</si>
  <si>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საინფორმაციო რეგისტრებისა და ელექტრონული მოდულების განვითარება</t>
  </si>
  <si>
    <t>პრევენციული ღონისძიებების პოპულარიზაცია და საინფორმაციო მხარდაჭერა</t>
  </si>
  <si>
    <t>საკუთარი სახსრები  - 27 01 03</t>
  </si>
  <si>
    <t>ბავშვთა სისხლში ტყვიის შემცველობის ბიომონიტორინგი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</si>
  <si>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</si>
  <si>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</si>
  <si>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</si>
  <si>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</si>
  <si>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</si>
  <si>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 xml:space="preserve">"ცივი ჯაჭვის“ მოწყობილობების/ინვენტარის შესყიდვა და მონტაჟი 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</si>
  <si>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</si>
  <si>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</t>
  </si>
  <si>
    <t>ნოზოკომური ინფექციების ეპიდზედამხედველობა</t>
  </si>
  <si>
    <t>ვირუსული დიარეების კვლევა</t>
  </si>
  <si>
    <t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</t>
  </si>
  <si>
    <t>დონორული  სისხლის კვლევა В და С ჰეპატიტზე, აივ-ინფექციასა/ შიდსა და სიფილისზე</t>
  </si>
  <si>
    <t>ხარისხის გარე კონტროლის და მონიტორინგის უზრუნველყოფა</t>
  </si>
  <si>
    <t>სისხლის უანგარო რეგულარული დონორობის მხარდაჭერისა და მოზიდვის 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დღესთან"დაკავშირებული ღონისძიებების მხარდაჭერა)</t>
  </si>
  <si>
    <t>სისხლის დონორთა ერთიანი ელექტრონული ბაზის ადმინისტრირება</t>
  </si>
  <si>
    <t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</t>
  </si>
  <si>
    <t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</t>
  </si>
  <si>
    <t>ტუბერკულოზის მართვა  - 27 03 02 06 02)</t>
  </si>
  <si>
    <t xml:space="preserve">ლაბორატორიული კონტროლი და ნახველის ლოჯისტიკა, მ.შ: </t>
  </si>
  <si>
    <t xml:space="preserve"> 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აბორატორიებისათვის პროგრამის მე-3 მუხლის გ.დ“ ქვეპუნქტით გათვალისწინებული საქონლის შესყიდვა</t>
  </si>
  <si>
    <t>ტუბერკულოზის პროგრამის რეგიონული მართვა და მონიტორინგი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</si>
  <si>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</si>
  <si>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 </t>
  </si>
  <si>
    <t>აივ-ინფექცია/შიდსი   -27 03 02 07 02)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</si>
  <si>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</si>
  <si>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</si>
  <si>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დედათა და ბავშვთა ჯანმრთელობა  - 27 03 02 08 02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</si>
  <si>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</si>
  <si>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სმენის სკრინინგული გამოკვლევა </t>
  </si>
  <si>
    <t xml:space="preserve"> თამბაქოს მოხმარების კონტროლის გაძლიერება</t>
  </si>
  <si>
    <t>ალკოჰოლის ჭარბი მოხმარების შესახებ ცნობიერების ამაღლება</t>
  </si>
  <si>
    <t>ჯანსაღი კვების შესახებ განათლება</t>
  </si>
  <si>
    <t xml:space="preserve"> ფიზიკური აქტივობის ხელშეწყობა</t>
  </si>
  <si>
    <t xml:space="preserve"> C ჰეპატიტის პრევენცია და მოსახლეობის განათლების ხელშეწყობა</t>
  </si>
  <si>
    <t>ფსიქიკური ჯანმრთელობის ხელშეწყობა</t>
  </si>
  <si>
    <t>ნივთიერებადამოკიდებულების და აზარტულ თამაშებზე დამოკიდებულების პრევენცია</t>
  </si>
  <si>
    <t>გარემო და ჯანმრთელობა</t>
  </si>
  <si>
    <t xml:space="preserve">ჯანმრთელობის ხელშეწყობის პოპულარიზაცია და გაძლიერება (მათ შორის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თემებზე). </t>
  </si>
  <si>
    <t>სკრინინგული კვლევის კომპონენტი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</si>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</sst>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sz val="11"/>
      <color theme="3" tint="-0.249977111117893"/>
      <name val="Calibri"/>
      <family val="2"/>
    </font>
    <font>
      <sz val="12"/>
      <color theme="3" tint="-0.249977111117893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theme="3" tint="-0.249977111117893"/>
      <name val="Calibri"/>
      <family val="2"/>
    </font>
    <font>
      <b/>
      <sz val="12"/>
      <name val="Sylfaen"/>
      <family val="1"/>
      <charset val="204"/>
    </font>
    <font>
      <sz val="12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3" fillId="0" borderId="0" xfId="0" applyFont="1"/>
    <xf numFmtId="166" fontId="3" fillId="0" borderId="0" xfId="0" applyNumberFormat="1" applyFont="1"/>
    <xf numFmtId="16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6" fillId="0" borderId="0" xfId="0" applyNumberFormat="1" applyFont="1" applyAlignment="1">
      <alignment horizontal="center" vertical="center"/>
    </xf>
    <xf numFmtId="43" fontId="3" fillId="0" borderId="0" xfId="0" applyNumberFormat="1" applyFont="1"/>
    <xf numFmtId="2" fontId="3" fillId="0" borderId="0" xfId="0" applyNumberFormat="1" applyFont="1"/>
    <xf numFmtId="0" fontId="10" fillId="0" borderId="0" xfId="0" applyFont="1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65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7" fillId="2" borderId="1" xfId="3" applyNumberFormat="1" applyFont="1" applyFill="1" applyBorder="1" applyAlignment="1">
      <alignment horizontal="center" vertical="center" wrapText="1"/>
    </xf>
    <xf numFmtId="9" fontId="11" fillId="2" borderId="3" xfId="2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1" applyNumberFormat="1" applyFont="1" applyFill="1" applyBorder="1" applyAlignment="1" applyProtection="1">
      <alignment horizontal="left" vertical="center" wrapText="1" indent="2"/>
      <protection locked="0"/>
    </xf>
    <xf numFmtId="166" fontId="7" fillId="0" borderId="1" xfId="3" applyNumberFormat="1" applyFont="1" applyFill="1" applyBorder="1" applyAlignment="1">
      <alignment horizontal="center" vertical="center" wrapText="1"/>
    </xf>
    <xf numFmtId="9" fontId="11" fillId="0" borderId="3" xfId="2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5" xfId="1" applyNumberFormat="1" applyFont="1" applyFill="1" applyBorder="1" applyAlignment="1" applyProtection="1">
      <alignment horizontal="left" vertical="center" wrapText="1" indent="2"/>
      <protection locked="0"/>
    </xf>
    <xf numFmtId="166" fontId="7" fillId="0" borderId="5" xfId="3" applyNumberFormat="1" applyFont="1" applyFill="1" applyBorder="1" applyAlignment="1">
      <alignment horizontal="center" vertical="center" wrapText="1"/>
    </xf>
    <xf numFmtId="9" fontId="11" fillId="0" borderId="6" xfId="2" applyFont="1" applyFill="1" applyBorder="1" applyAlignment="1">
      <alignment horizontal="center" vertical="center" wrapText="1"/>
    </xf>
    <xf numFmtId="166" fontId="10" fillId="0" borderId="0" xfId="0" applyNumberFormat="1" applyFont="1"/>
    <xf numFmtId="166" fontId="14" fillId="0" borderId="1" xfId="3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 applyProtection="1">
      <alignment horizontal="left" vertical="center" wrapText="1" indent="4"/>
      <protection locked="0"/>
    </xf>
    <xf numFmtId="166" fontId="14" fillId="0" borderId="14" xfId="3" applyNumberFormat="1" applyFont="1" applyFill="1" applyBorder="1" applyAlignment="1">
      <alignment horizontal="center" vertical="center" wrapText="1"/>
    </xf>
    <xf numFmtId="165" fontId="9" fillId="0" borderId="16" xfId="1" applyNumberFormat="1" applyFont="1" applyFill="1" applyBorder="1" applyAlignment="1" applyProtection="1">
      <alignment horizontal="left" vertical="center" wrapText="1" indent="4"/>
      <protection locked="0"/>
    </xf>
    <xf numFmtId="166" fontId="14" fillId="0" borderId="16" xfId="3" applyNumberFormat="1" applyFont="1" applyFill="1" applyBorder="1" applyAlignment="1">
      <alignment horizontal="center" vertical="center" wrapText="1"/>
    </xf>
    <xf numFmtId="165" fontId="9" fillId="0" borderId="18" xfId="1" applyNumberFormat="1" applyFont="1" applyFill="1" applyBorder="1" applyAlignment="1" applyProtection="1">
      <alignment horizontal="left" vertical="center" wrapText="1" indent="4"/>
      <protection locked="0"/>
    </xf>
    <xf numFmtId="166" fontId="14" fillId="0" borderId="18" xfId="3" applyNumberFormat="1" applyFont="1" applyFill="1" applyBorder="1" applyAlignment="1">
      <alignment horizontal="center" vertical="center" wrapText="1"/>
    </xf>
    <xf numFmtId="166" fontId="15" fillId="0" borderId="16" xfId="3" applyNumberFormat="1" applyFont="1" applyFill="1" applyBorder="1" applyAlignment="1">
      <alignment horizontal="center" vertical="center" wrapText="1"/>
    </xf>
    <xf numFmtId="166" fontId="4" fillId="0" borderId="16" xfId="3" applyNumberFormat="1" applyFont="1" applyFill="1" applyBorder="1" applyAlignment="1">
      <alignment horizontal="center" vertical="center" wrapText="1"/>
    </xf>
    <xf numFmtId="165" fontId="8" fillId="0" borderId="16" xfId="1" applyNumberFormat="1" applyFont="1" applyFill="1" applyBorder="1" applyAlignment="1" applyProtection="1">
      <alignment horizontal="left" vertical="center" wrapText="1" indent="6"/>
      <protection locked="0"/>
    </xf>
    <xf numFmtId="9" fontId="16" fillId="0" borderId="3" xfId="2" applyFont="1" applyFill="1" applyBorder="1" applyAlignment="1">
      <alignment horizontal="center" vertical="center" wrapText="1"/>
    </xf>
    <xf numFmtId="9" fontId="16" fillId="0" borderId="15" xfId="2" applyFont="1" applyFill="1" applyBorder="1" applyAlignment="1">
      <alignment horizontal="center" vertical="center" wrapText="1"/>
    </xf>
    <xf numFmtId="9" fontId="16" fillId="0" borderId="17" xfId="2" applyFont="1" applyFill="1" applyBorder="1" applyAlignment="1">
      <alignment horizontal="center" vertical="center" wrapText="1"/>
    </xf>
    <xf numFmtId="9" fontId="16" fillId="0" borderId="19" xfId="2" applyFont="1" applyFill="1" applyBorder="1" applyAlignment="1">
      <alignment horizontal="center" vertical="center" wrapText="1"/>
    </xf>
    <xf numFmtId="9" fontId="6" fillId="0" borderId="17" xfId="2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165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2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3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Comma" xfId="3" builtinId="3"/>
    <cellStyle name="Normal" xfId="0" builtinId="0"/>
    <cellStyle name="Normal 4" xfId="4"/>
    <cellStyle name="Normal 4 2" xfId="5"/>
    <cellStyle name="Normal_cxrili 30.12.2008 BOLOOOOO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0"/>
  <sheetViews>
    <sheetView tabSelected="1" view="pageBreakPreview" zoomScale="85" zoomScaleNormal="85" zoomScaleSheetLayoutView="85" workbookViewId="0">
      <pane xSplit="3" ySplit="3" topLeftCell="D67" activePane="bottomRight" state="frozen"/>
      <selection pane="topRight" activeCell="D1" sqref="D1"/>
      <selection pane="bottomLeft" activeCell="A4" sqref="A4"/>
      <selection pane="bottomRight" activeCell="K6" sqref="K6"/>
    </sheetView>
  </sheetViews>
  <sheetFormatPr defaultColWidth="9" defaultRowHeight="15.75" x14ac:dyDescent="0.25"/>
  <cols>
    <col min="1" max="1" width="1.5703125" style="1" customWidth="1"/>
    <col min="2" max="2" width="7" style="10" customWidth="1"/>
    <col min="3" max="3" width="62.7109375" style="10" customWidth="1"/>
    <col min="4" max="4" width="15.85546875" style="10" customWidth="1"/>
    <col min="5" max="5" width="14.5703125" style="10" customWidth="1"/>
    <col min="6" max="6" width="17.42578125" style="10" customWidth="1"/>
    <col min="7" max="7" width="13.85546875" style="10" customWidth="1"/>
    <col min="8" max="8" width="13.42578125" style="1" customWidth="1"/>
    <col min="9" max="9" width="13.140625" style="1" bestFit="1" customWidth="1"/>
    <col min="10" max="10" width="17.5703125" style="1" bestFit="1" customWidth="1"/>
    <col min="11" max="11" width="20.42578125" style="1" bestFit="1" customWidth="1"/>
    <col min="12" max="12" width="15.42578125" style="1" customWidth="1"/>
    <col min="13" max="13" width="11.5703125" style="1" bestFit="1" customWidth="1"/>
    <col min="14" max="14" width="15.42578125" style="1" customWidth="1"/>
    <col min="15" max="15" width="14.5703125" style="1" customWidth="1"/>
    <col min="16" max="16" width="9.85546875" style="1" bestFit="1" customWidth="1"/>
    <col min="17" max="16384" width="9" style="1"/>
  </cols>
  <sheetData>
    <row r="1" spans="2:15" ht="5.25" customHeight="1" x14ac:dyDescent="0.25"/>
    <row r="2" spans="2:15" ht="34.5" customHeight="1" x14ac:dyDescent="0.25">
      <c r="B2" s="47" t="s">
        <v>0</v>
      </c>
      <c r="C2" s="47" t="s">
        <v>14</v>
      </c>
      <c r="D2" s="47" t="s">
        <v>125</v>
      </c>
      <c r="E2" s="51" t="s">
        <v>163</v>
      </c>
      <c r="F2" s="52"/>
      <c r="G2" s="49" t="s">
        <v>15</v>
      </c>
    </row>
    <row r="3" spans="2:15" ht="48" customHeight="1" x14ac:dyDescent="0.25">
      <c r="B3" s="48"/>
      <c r="C3" s="48"/>
      <c r="D3" s="48"/>
      <c r="E3" s="11" t="s">
        <v>162</v>
      </c>
      <c r="F3" s="11" t="s">
        <v>161</v>
      </c>
      <c r="G3" s="50"/>
    </row>
    <row r="4" spans="2:15" ht="19.5" customHeight="1" x14ac:dyDescent="0.25">
      <c r="B4" s="12">
        <v>1</v>
      </c>
      <c r="C4" s="13">
        <v>2</v>
      </c>
      <c r="D4" s="14">
        <v>3</v>
      </c>
      <c r="E4" s="14">
        <v>4</v>
      </c>
      <c r="F4" s="14">
        <v>5</v>
      </c>
      <c r="G4" s="15">
        <v>6</v>
      </c>
    </row>
    <row r="5" spans="2:15" ht="63" customHeight="1" x14ac:dyDescent="0.25">
      <c r="B5" s="16" t="s">
        <v>1</v>
      </c>
      <c r="C5" s="17" t="s">
        <v>2</v>
      </c>
      <c r="D5" s="18">
        <f>D6+D9+D66+D69+D82+D91+D87+D103+D109+D111</f>
        <v>89406738.359399989</v>
      </c>
      <c r="E5" s="18">
        <f>E6+E9+E66+E69+E82+E91+E87+E103+E109+E111</f>
        <v>59153702.654999994</v>
      </c>
      <c r="F5" s="18">
        <f>F6+F9+F66+F69+F82+F91+F87+F103+F109+F111</f>
        <v>31172879.492159314</v>
      </c>
      <c r="G5" s="19">
        <f>F5/D5</f>
        <v>0.34866364732879085</v>
      </c>
      <c r="I5" s="2"/>
      <c r="J5" s="2"/>
      <c r="K5" s="2"/>
      <c r="L5" s="2"/>
      <c r="M5" s="2"/>
      <c r="N5" s="2"/>
      <c r="O5" s="2"/>
    </row>
    <row r="6" spans="2:15" ht="34.5" customHeight="1" x14ac:dyDescent="0.25">
      <c r="B6" s="20" t="s">
        <v>3</v>
      </c>
      <c r="C6" s="17" t="s">
        <v>4</v>
      </c>
      <c r="D6" s="18">
        <f>SUM(D7:D8)</f>
        <v>11958000</v>
      </c>
      <c r="E6" s="18">
        <f>SUM(E7:E8)</f>
        <v>11885000</v>
      </c>
      <c r="F6" s="18">
        <f>SUM(F7:F8)</f>
        <v>4722100.79</v>
      </c>
      <c r="G6" s="19">
        <f t="shared" ref="G6:G65" si="0">F6/D6</f>
        <v>0.39489051597257069</v>
      </c>
      <c r="I6" s="2"/>
      <c r="J6" s="8"/>
      <c r="M6" s="2"/>
      <c r="N6" s="8"/>
      <c r="O6" s="8"/>
    </row>
    <row r="7" spans="2:15" ht="54.75" customHeight="1" x14ac:dyDescent="0.25">
      <c r="B7" s="21" t="s">
        <v>5</v>
      </c>
      <c r="C7" s="22" t="s">
        <v>80</v>
      </c>
      <c r="D7" s="23">
        <v>11258000</v>
      </c>
      <c r="E7" s="23">
        <v>11240000</v>
      </c>
      <c r="F7" s="23">
        <f>4592673.57+21491.22</f>
        <v>4614164.79</v>
      </c>
      <c r="G7" s="24">
        <f>F7/D7</f>
        <v>0.40985652780245158</v>
      </c>
      <c r="I7" s="2"/>
      <c r="J7" s="2"/>
      <c r="M7" s="2"/>
      <c r="N7" s="8"/>
      <c r="O7" s="8"/>
    </row>
    <row r="8" spans="2:15" ht="34.5" customHeight="1" x14ac:dyDescent="0.25">
      <c r="B8" s="21" t="s">
        <v>6</v>
      </c>
      <c r="C8" s="22" t="s">
        <v>171</v>
      </c>
      <c r="D8" s="23">
        <v>700000</v>
      </c>
      <c r="E8" s="23">
        <v>645000</v>
      </c>
      <c r="F8" s="23">
        <v>107936</v>
      </c>
      <c r="G8" s="24">
        <f t="shared" si="0"/>
        <v>0.15419428571428573</v>
      </c>
      <c r="I8" s="2"/>
      <c r="J8" s="2"/>
      <c r="K8" s="2"/>
      <c r="M8" s="2"/>
      <c r="N8" s="8"/>
      <c r="O8" s="8"/>
    </row>
    <row r="9" spans="2:15" ht="33" customHeight="1" x14ac:dyDescent="0.25">
      <c r="B9" s="20" t="s">
        <v>7</v>
      </c>
      <c r="C9" s="17" t="s">
        <v>8</v>
      </c>
      <c r="D9" s="18">
        <f>D10+D19+D26+D32+D37+D40+D44+D47+D50+D51+D54+D64</f>
        <v>40713800</v>
      </c>
      <c r="E9" s="18">
        <f t="shared" ref="E9:F9" si="1">E10+E19+E26+E32+E37+E40+E44+E47+E50+E51+E54+E64</f>
        <v>24068587.944999997</v>
      </c>
      <c r="F9" s="18">
        <f t="shared" si="1"/>
        <v>13333971.262159321</v>
      </c>
      <c r="G9" s="19">
        <f t="shared" si="0"/>
        <v>0.32750495562092757</v>
      </c>
      <c r="I9" s="2"/>
      <c r="J9" s="8"/>
      <c r="M9" s="2"/>
      <c r="N9" s="8"/>
      <c r="O9" s="8"/>
    </row>
    <row r="10" spans="2:15" ht="46.5" customHeight="1" x14ac:dyDescent="0.25">
      <c r="B10" s="21" t="s">
        <v>9</v>
      </c>
      <c r="C10" s="22" t="s">
        <v>81</v>
      </c>
      <c r="D10" s="23">
        <f>SUM(D11:D18)</f>
        <v>2485000</v>
      </c>
      <c r="E10" s="23">
        <f>SUM(E11:E18)</f>
        <v>2382373.92</v>
      </c>
      <c r="F10" s="23">
        <f>SUM(F11:F18)</f>
        <v>709086.34</v>
      </c>
      <c r="G10" s="24">
        <f t="shared" si="0"/>
        <v>0.28534661569416497</v>
      </c>
      <c r="I10" s="2"/>
      <c r="J10" s="2"/>
      <c r="O10" s="8"/>
    </row>
    <row r="11" spans="2:15" ht="29.25" customHeight="1" x14ac:dyDescent="0.25">
      <c r="B11" s="53"/>
      <c r="C11" s="33" t="s">
        <v>164</v>
      </c>
      <c r="D11" s="34">
        <v>885000</v>
      </c>
      <c r="E11" s="34">
        <v>885000</v>
      </c>
      <c r="F11" s="34">
        <v>379261.52</v>
      </c>
      <c r="G11" s="43">
        <f>F11/D11</f>
        <v>0.42854409039548025</v>
      </c>
      <c r="I11" s="2"/>
      <c r="J11" s="2"/>
      <c r="O11" s="8"/>
    </row>
    <row r="12" spans="2:15" ht="29.25" customHeight="1" x14ac:dyDescent="0.25">
      <c r="B12" s="54"/>
      <c r="C12" s="35" t="s">
        <v>165</v>
      </c>
      <c r="D12" s="36">
        <v>20000</v>
      </c>
      <c r="E12" s="36">
        <v>20000</v>
      </c>
      <c r="F12" s="36">
        <v>6594</v>
      </c>
      <c r="G12" s="44" t="s">
        <v>212</v>
      </c>
      <c r="I12" s="2"/>
      <c r="J12" s="2"/>
      <c r="O12" s="8"/>
    </row>
    <row r="13" spans="2:15" ht="51.75" customHeight="1" x14ac:dyDescent="0.25">
      <c r="B13" s="54"/>
      <c r="C13" s="35" t="s">
        <v>166</v>
      </c>
      <c r="D13" s="36">
        <v>83000</v>
      </c>
      <c r="E13" s="36">
        <v>80197</v>
      </c>
      <c r="F13" s="36">
        <v>33044</v>
      </c>
      <c r="G13" s="44">
        <f t="shared" ref="G13:G31" si="2">F13/D13</f>
        <v>0.39812048192771082</v>
      </c>
      <c r="I13" s="2"/>
      <c r="J13" s="2"/>
      <c r="O13" s="8"/>
    </row>
    <row r="14" spans="2:15" ht="29.25" customHeight="1" x14ac:dyDescent="0.25">
      <c r="B14" s="54"/>
      <c r="C14" s="35" t="s">
        <v>167</v>
      </c>
      <c r="D14" s="36">
        <v>318000</v>
      </c>
      <c r="E14" s="36">
        <v>297996</v>
      </c>
      <c r="F14" s="36">
        <v>137207</v>
      </c>
      <c r="G14" s="44">
        <f t="shared" si="2"/>
        <v>0.4314685534591195</v>
      </c>
      <c r="I14" s="2"/>
      <c r="J14" s="2"/>
      <c r="O14" s="8"/>
    </row>
    <row r="15" spans="2:15" ht="29.25" customHeight="1" x14ac:dyDescent="0.25">
      <c r="B15" s="54"/>
      <c r="C15" s="35" t="s">
        <v>168</v>
      </c>
      <c r="D15" s="36">
        <v>117000</v>
      </c>
      <c r="E15" s="36">
        <v>114956.92</v>
      </c>
      <c r="F15" s="36">
        <v>51429.82</v>
      </c>
      <c r="G15" s="44">
        <f t="shared" si="2"/>
        <v>0.43957111111111113</v>
      </c>
      <c r="I15" s="2"/>
      <c r="J15" s="2"/>
      <c r="O15" s="8"/>
    </row>
    <row r="16" spans="2:15" ht="36" customHeight="1" x14ac:dyDescent="0.25">
      <c r="B16" s="54"/>
      <c r="C16" s="35" t="s">
        <v>169</v>
      </c>
      <c r="D16" s="36">
        <v>202000</v>
      </c>
      <c r="E16" s="36">
        <v>201900</v>
      </c>
      <c r="F16" s="36">
        <v>101550</v>
      </c>
      <c r="G16" s="44">
        <f t="shared" si="2"/>
        <v>0.50272277227722773</v>
      </c>
      <c r="I16" s="2"/>
      <c r="J16" s="2"/>
      <c r="O16" s="8"/>
    </row>
    <row r="17" spans="2:15" ht="39.75" customHeight="1" x14ac:dyDescent="0.25">
      <c r="B17" s="54"/>
      <c r="C17" s="35" t="s">
        <v>170</v>
      </c>
      <c r="D17" s="36">
        <v>100000</v>
      </c>
      <c r="E17" s="36">
        <v>94900</v>
      </c>
      <c r="F17" s="36"/>
      <c r="G17" s="44">
        <f t="shared" si="2"/>
        <v>0</v>
      </c>
      <c r="I17" s="2"/>
      <c r="J17" s="2"/>
      <c r="O17" s="8"/>
    </row>
    <row r="18" spans="2:15" ht="29.25" customHeight="1" x14ac:dyDescent="0.25">
      <c r="B18" s="55"/>
      <c r="C18" s="37" t="s">
        <v>172</v>
      </c>
      <c r="D18" s="38">
        <v>760000</v>
      </c>
      <c r="E18" s="38">
        <v>687424</v>
      </c>
      <c r="F18" s="38"/>
      <c r="G18" s="45">
        <f t="shared" si="2"/>
        <v>0</v>
      </c>
      <c r="I18" s="2"/>
      <c r="J18" s="2"/>
      <c r="O18" s="8"/>
    </row>
    <row r="19" spans="2:15" ht="27" customHeight="1" x14ac:dyDescent="0.25">
      <c r="B19" s="21" t="s">
        <v>10</v>
      </c>
      <c r="C19" s="22" t="s">
        <v>82</v>
      </c>
      <c r="D19" s="23">
        <f>SUM(D20:D25)</f>
        <v>21956000</v>
      </c>
      <c r="E19" s="23">
        <f>SUM(E20:E25)</f>
        <v>8532214.1999999993</v>
      </c>
      <c r="F19" s="23">
        <f>SUM(F20:F25)</f>
        <v>8394282.1799999997</v>
      </c>
      <c r="G19" s="24">
        <f t="shared" si="0"/>
        <v>0.38232292676261614</v>
      </c>
      <c r="I19" s="2"/>
      <c r="J19" s="2"/>
    </row>
    <row r="20" spans="2:15" ht="27" customHeight="1" x14ac:dyDescent="0.25">
      <c r="B20" s="53"/>
      <c r="C20" s="35" t="s">
        <v>173</v>
      </c>
      <c r="D20" s="36">
        <v>14366000</v>
      </c>
      <c r="E20" s="36">
        <v>8239808.2000000002</v>
      </c>
      <c r="F20" s="36">
        <v>8239808.1799999997</v>
      </c>
      <c r="G20" s="44">
        <f t="shared" si="2"/>
        <v>0.57356314770987049</v>
      </c>
      <c r="I20" s="2"/>
      <c r="J20" s="2"/>
    </row>
    <row r="21" spans="2:15" ht="27" customHeight="1" x14ac:dyDescent="0.25">
      <c r="B21" s="54"/>
      <c r="C21" s="35" t="s">
        <v>174</v>
      </c>
      <c r="D21" s="36">
        <v>160000</v>
      </c>
      <c r="E21" s="36">
        <v>155115</v>
      </c>
      <c r="F21" s="36">
        <v>34500</v>
      </c>
      <c r="G21" s="44">
        <f t="shared" si="2"/>
        <v>0.21562500000000001</v>
      </c>
      <c r="I21" s="2"/>
      <c r="J21" s="2"/>
    </row>
    <row r="22" spans="2:15" ht="45" customHeight="1" x14ac:dyDescent="0.25">
      <c r="B22" s="54"/>
      <c r="C22" s="35" t="s">
        <v>175</v>
      </c>
      <c r="D22" s="36">
        <v>5370000</v>
      </c>
      <c r="E22" s="36">
        <v>0</v>
      </c>
      <c r="F22" s="36">
        <v>0</v>
      </c>
      <c r="G22" s="44">
        <f t="shared" si="2"/>
        <v>0</v>
      </c>
      <c r="I22" s="2"/>
      <c r="J22" s="2"/>
    </row>
    <row r="23" spans="2:15" ht="27" customHeight="1" x14ac:dyDescent="0.25">
      <c r="B23" s="54"/>
      <c r="C23" s="35" t="s">
        <v>176</v>
      </c>
      <c r="D23" s="36">
        <v>1500000</v>
      </c>
      <c r="E23" s="36">
        <v>22680</v>
      </c>
      <c r="F23" s="36">
        <v>22680</v>
      </c>
      <c r="G23" s="44">
        <f t="shared" si="2"/>
        <v>1.512E-2</v>
      </c>
      <c r="I23" s="2"/>
      <c r="J23" s="2"/>
    </row>
    <row r="24" spans="2:15" ht="38.25" customHeight="1" x14ac:dyDescent="0.25">
      <c r="B24" s="54"/>
      <c r="C24" s="35" t="s">
        <v>177</v>
      </c>
      <c r="D24" s="36">
        <v>60000</v>
      </c>
      <c r="E24" s="36">
        <v>60000</v>
      </c>
      <c r="F24" s="36">
        <v>42683</v>
      </c>
      <c r="G24" s="44">
        <f t="shared" si="2"/>
        <v>0.71138333333333337</v>
      </c>
      <c r="I24" s="2"/>
      <c r="J24" s="2"/>
    </row>
    <row r="25" spans="2:15" ht="40.5" customHeight="1" x14ac:dyDescent="0.25">
      <c r="B25" s="55"/>
      <c r="C25" s="35" t="s">
        <v>178</v>
      </c>
      <c r="D25" s="36">
        <v>500000</v>
      </c>
      <c r="E25" s="36">
        <v>54611</v>
      </c>
      <c r="F25" s="36">
        <v>54611</v>
      </c>
      <c r="G25" s="44">
        <f t="shared" si="2"/>
        <v>0.109222</v>
      </c>
      <c r="I25" s="2"/>
      <c r="J25" s="2"/>
    </row>
    <row r="26" spans="2:15" ht="42" customHeight="1" x14ac:dyDescent="0.25">
      <c r="B26" s="21" t="s">
        <v>11</v>
      </c>
      <c r="C26" s="22" t="s">
        <v>83</v>
      </c>
      <c r="D26" s="23">
        <f>SUM(D27:D31)</f>
        <v>1700000</v>
      </c>
      <c r="E26" s="23">
        <f>SUM(E27:E31)</f>
        <v>1589691.385</v>
      </c>
      <c r="F26" s="23">
        <f>SUM(F27:F31)</f>
        <v>1108538.6999999995</v>
      </c>
      <c r="G26" s="24">
        <f t="shared" si="0"/>
        <v>0.65208158823529383</v>
      </c>
      <c r="H26" s="2"/>
      <c r="I26" s="2"/>
      <c r="J26" s="2"/>
    </row>
    <row r="27" spans="2:15" ht="88.5" customHeight="1" x14ac:dyDescent="0.25">
      <c r="B27" s="53"/>
      <c r="C27" s="35" t="s">
        <v>179</v>
      </c>
      <c r="D27" s="36">
        <v>553500</v>
      </c>
      <c r="E27" s="36">
        <v>553500</v>
      </c>
      <c r="F27" s="36">
        <v>272653.22000000003</v>
      </c>
      <c r="G27" s="44">
        <f t="shared" si="2"/>
        <v>0.49259841011743455</v>
      </c>
      <c r="H27" s="2"/>
      <c r="I27" s="2"/>
      <c r="J27" s="2"/>
    </row>
    <row r="28" spans="2:15" ht="69.75" customHeight="1" x14ac:dyDescent="0.25">
      <c r="B28" s="54"/>
      <c r="C28" s="35" t="s">
        <v>180</v>
      </c>
      <c r="D28" s="36">
        <v>976500</v>
      </c>
      <c r="E28" s="36">
        <v>969657.42999999993</v>
      </c>
      <c r="F28" s="36">
        <v>814288.4799999994</v>
      </c>
      <c r="G28" s="44">
        <f t="shared" si="2"/>
        <v>0.83388477214541668</v>
      </c>
      <c r="H28" s="2"/>
      <c r="I28" s="2"/>
      <c r="J28" s="2"/>
    </row>
    <row r="29" spans="2:15" ht="27" customHeight="1" x14ac:dyDescent="0.25">
      <c r="B29" s="54"/>
      <c r="C29" s="35" t="s">
        <v>181</v>
      </c>
      <c r="D29" s="36">
        <v>30000</v>
      </c>
      <c r="E29" s="36">
        <v>23000.955000000002</v>
      </c>
      <c r="F29" s="36">
        <v>2014</v>
      </c>
      <c r="G29" s="44">
        <f t="shared" si="2"/>
        <v>6.7133333333333337E-2</v>
      </c>
      <c r="H29" s="2"/>
      <c r="I29" s="2"/>
      <c r="J29" s="2"/>
    </row>
    <row r="30" spans="2:15" ht="27" customHeight="1" x14ac:dyDescent="0.25">
      <c r="B30" s="54"/>
      <c r="C30" s="35" t="s">
        <v>182</v>
      </c>
      <c r="D30" s="36">
        <v>30000</v>
      </c>
      <c r="E30" s="36">
        <v>933</v>
      </c>
      <c r="F30" s="36">
        <v>183</v>
      </c>
      <c r="G30" s="44">
        <f t="shared" si="2"/>
        <v>6.1000000000000004E-3</v>
      </c>
      <c r="H30" s="2"/>
      <c r="I30" s="2"/>
      <c r="J30" s="2"/>
    </row>
    <row r="31" spans="2:15" ht="110.25" customHeight="1" x14ac:dyDescent="0.25">
      <c r="B31" s="55"/>
      <c r="C31" s="35" t="s">
        <v>183</v>
      </c>
      <c r="D31" s="36">
        <v>110000</v>
      </c>
      <c r="E31" s="36">
        <v>42600</v>
      </c>
      <c r="F31" s="36">
        <v>19400</v>
      </c>
      <c r="G31" s="44">
        <f t="shared" si="2"/>
        <v>0.17636363636363636</v>
      </c>
      <c r="H31" s="2"/>
      <c r="I31" s="2"/>
      <c r="J31" s="2"/>
    </row>
    <row r="32" spans="2:15" ht="38.25" customHeight="1" x14ac:dyDescent="0.25">
      <c r="B32" s="21" t="s">
        <v>12</v>
      </c>
      <c r="C32" s="22" t="s">
        <v>84</v>
      </c>
      <c r="D32" s="23">
        <f>SUM(D33:D36)</f>
        <v>1800000</v>
      </c>
      <c r="E32" s="23">
        <f>SUM(E33:E36)</f>
        <v>1683815</v>
      </c>
      <c r="F32" s="23">
        <f>SUM(F33:F36)</f>
        <v>762235</v>
      </c>
      <c r="G32" s="24">
        <f t="shared" si="0"/>
        <v>0.42346388888888886</v>
      </c>
      <c r="I32" s="2"/>
      <c r="J32" s="2"/>
      <c r="K32" s="2"/>
    </row>
    <row r="33" spans="2:12" ht="39.75" customHeight="1" x14ac:dyDescent="0.25">
      <c r="B33" s="53"/>
      <c r="C33" s="35" t="s">
        <v>184</v>
      </c>
      <c r="D33" s="36">
        <v>1460000</v>
      </c>
      <c r="E33" s="36">
        <v>1457015</v>
      </c>
      <c r="F33" s="36">
        <v>749835</v>
      </c>
      <c r="G33" s="44">
        <f t="shared" si="0"/>
        <v>0.51358561643835621</v>
      </c>
      <c r="I33" s="2"/>
      <c r="J33" s="2"/>
      <c r="K33" s="2"/>
    </row>
    <row r="34" spans="2:12" ht="36" customHeight="1" x14ac:dyDescent="0.25">
      <c r="B34" s="54"/>
      <c r="C34" s="35" t="s">
        <v>185</v>
      </c>
      <c r="D34" s="36">
        <v>128000</v>
      </c>
      <c r="E34" s="36">
        <v>16800</v>
      </c>
      <c r="F34" s="36">
        <v>8400</v>
      </c>
      <c r="G34" s="44">
        <f t="shared" si="0"/>
        <v>6.5625000000000003E-2</v>
      </c>
      <c r="I34" s="2"/>
      <c r="J34" s="2"/>
      <c r="K34" s="2"/>
    </row>
    <row r="35" spans="2:12" ht="106.5" customHeight="1" x14ac:dyDescent="0.25">
      <c r="B35" s="54"/>
      <c r="C35" s="35" t="s">
        <v>186</v>
      </c>
      <c r="D35" s="36">
        <v>200000</v>
      </c>
      <c r="E35" s="36">
        <v>200000</v>
      </c>
      <c r="F35" s="36">
        <v>0</v>
      </c>
      <c r="G35" s="44">
        <f t="shared" si="0"/>
        <v>0</v>
      </c>
      <c r="I35" s="2"/>
      <c r="J35" s="2"/>
      <c r="K35" s="2"/>
    </row>
    <row r="36" spans="2:12" ht="49.5" customHeight="1" x14ac:dyDescent="0.25">
      <c r="B36" s="55"/>
      <c r="C36" s="35" t="s">
        <v>187</v>
      </c>
      <c r="D36" s="36">
        <v>12000</v>
      </c>
      <c r="E36" s="36">
        <v>10000</v>
      </c>
      <c r="F36" s="36">
        <v>4000</v>
      </c>
      <c r="G36" s="44">
        <f t="shared" si="0"/>
        <v>0.33333333333333331</v>
      </c>
      <c r="I36" s="2"/>
      <c r="J36" s="2"/>
      <c r="K36" s="2"/>
    </row>
    <row r="37" spans="2:12" ht="66.75" customHeight="1" x14ac:dyDescent="0.25">
      <c r="B37" s="21" t="s">
        <v>13</v>
      </c>
      <c r="C37" s="22" t="s">
        <v>119</v>
      </c>
      <c r="D37" s="23">
        <f>SUM(D38:D39)</f>
        <v>238000</v>
      </c>
      <c r="E37" s="23">
        <f>SUM(E38:E39)</f>
        <v>237599.67</v>
      </c>
      <c r="F37" s="23">
        <f>SUM(F38:F39)</f>
        <v>116101.3</v>
      </c>
      <c r="G37" s="24">
        <f t="shared" si="0"/>
        <v>0.48782058823529412</v>
      </c>
      <c r="I37" s="2"/>
      <c r="J37" s="2"/>
      <c r="L37" s="2"/>
    </row>
    <row r="38" spans="2:12" ht="72" customHeight="1" x14ac:dyDescent="0.25">
      <c r="B38" s="53"/>
      <c r="C38" s="35" t="s">
        <v>188</v>
      </c>
      <c r="D38" s="36">
        <v>68000</v>
      </c>
      <c r="E38" s="36">
        <v>67600</v>
      </c>
      <c r="F38" s="36">
        <v>31104</v>
      </c>
      <c r="G38" s="44">
        <f t="shared" si="0"/>
        <v>0.45741176470588235</v>
      </c>
      <c r="I38" s="2"/>
      <c r="J38" s="2"/>
      <c r="L38" s="2"/>
    </row>
    <row r="39" spans="2:12" ht="55.5" customHeight="1" x14ac:dyDescent="0.25">
      <c r="B39" s="55"/>
      <c r="C39" s="35" t="s">
        <v>189</v>
      </c>
      <c r="D39" s="36">
        <v>170000</v>
      </c>
      <c r="E39" s="36">
        <v>169999.67</v>
      </c>
      <c r="F39" s="36">
        <v>84997.3</v>
      </c>
      <c r="G39" s="44">
        <f t="shared" si="0"/>
        <v>0.49998411764705886</v>
      </c>
      <c r="I39" s="2"/>
      <c r="J39" s="2"/>
      <c r="L39" s="2"/>
    </row>
    <row r="40" spans="2:12" ht="45" customHeight="1" x14ac:dyDescent="0.25">
      <c r="B40" s="21" t="s">
        <v>16</v>
      </c>
      <c r="C40" s="22" t="s">
        <v>190</v>
      </c>
      <c r="D40" s="23">
        <f>D41+D43</f>
        <v>1349800</v>
      </c>
      <c r="E40" s="23">
        <f>E41+E43</f>
        <v>1250591.5</v>
      </c>
      <c r="F40" s="23">
        <f>F41+F43</f>
        <v>393406</v>
      </c>
      <c r="G40" s="24">
        <f t="shared" si="0"/>
        <v>0.29145503037487036</v>
      </c>
      <c r="H40" s="2"/>
      <c r="I40" s="2"/>
      <c r="J40" s="2"/>
    </row>
    <row r="41" spans="2:12" ht="44.25" customHeight="1" x14ac:dyDescent="0.25">
      <c r="B41" s="53"/>
      <c r="C41" s="35" t="s">
        <v>191</v>
      </c>
      <c r="D41" s="36">
        <v>1312000</v>
      </c>
      <c r="E41" s="36">
        <v>1212791.5</v>
      </c>
      <c r="F41" s="36">
        <v>374506</v>
      </c>
      <c r="G41" s="44">
        <f t="shared" si="0"/>
        <v>0.28544664634146344</v>
      </c>
      <c r="H41" s="2"/>
      <c r="I41" s="2"/>
      <c r="J41" s="2"/>
    </row>
    <row r="42" spans="2:12" ht="83.25" customHeight="1" x14ac:dyDescent="0.25">
      <c r="B42" s="54"/>
      <c r="C42" s="41" t="s">
        <v>192</v>
      </c>
      <c r="D42" s="39">
        <v>250000</v>
      </c>
      <c r="E42" s="39">
        <v>192752.5</v>
      </c>
      <c r="F42" s="39">
        <v>0</v>
      </c>
      <c r="G42" s="46">
        <f t="shared" si="0"/>
        <v>0</v>
      </c>
      <c r="H42" s="2"/>
      <c r="I42" s="2"/>
      <c r="J42" s="2"/>
    </row>
    <row r="43" spans="2:12" ht="44.25" customHeight="1" x14ac:dyDescent="0.25">
      <c r="B43" s="55"/>
      <c r="C43" s="35" t="s">
        <v>193</v>
      </c>
      <c r="D43" s="36">
        <v>37800</v>
      </c>
      <c r="E43" s="36">
        <v>37800</v>
      </c>
      <c r="F43" s="36">
        <v>18900</v>
      </c>
      <c r="G43" s="44">
        <f t="shared" si="0"/>
        <v>0.5</v>
      </c>
      <c r="H43" s="2"/>
      <c r="I43" s="2"/>
      <c r="J43" s="2"/>
    </row>
    <row r="44" spans="2:12" ht="72.75" customHeight="1" x14ac:dyDescent="0.25">
      <c r="B44" s="21" t="s">
        <v>35</v>
      </c>
      <c r="C44" s="22" t="s">
        <v>115</v>
      </c>
      <c r="D44" s="23">
        <f>SUM(D45:D46)</f>
        <v>1660000</v>
      </c>
      <c r="E44" s="23">
        <f>SUM(E45:E46)</f>
        <v>1660000</v>
      </c>
      <c r="F44" s="23">
        <f>SUM(F45:F46)</f>
        <v>921715.33</v>
      </c>
      <c r="G44" s="24">
        <f t="shared" si="0"/>
        <v>0.55525019879518067</v>
      </c>
      <c r="H44" s="2"/>
      <c r="I44" s="2"/>
      <c r="J44" s="2"/>
    </row>
    <row r="45" spans="2:12" ht="57" customHeight="1" x14ac:dyDescent="0.25">
      <c r="B45" s="53"/>
      <c r="C45" s="35" t="s">
        <v>194</v>
      </c>
      <c r="D45" s="36">
        <v>1250000</v>
      </c>
      <c r="E45" s="36">
        <v>1250000</v>
      </c>
      <c r="F45" s="36">
        <v>835129.86</v>
      </c>
      <c r="G45" s="44">
        <f t="shared" si="0"/>
        <v>0.66810388799999998</v>
      </c>
      <c r="H45" s="2"/>
      <c r="I45" s="2"/>
      <c r="J45" s="2"/>
    </row>
    <row r="46" spans="2:12" ht="102" customHeight="1" x14ac:dyDescent="0.25">
      <c r="B46" s="55"/>
      <c r="C46" s="35" t="s">
        <v>195</v>
      </c>
      <c r="D46" s="36">
        <v>410000</v>
      </c>
      <c r="E46" s="36">
        <v>410000</v>
      </c>
      <c r="F46" s="36">
        <v>86585.47</v>
      </c>
      <c r="G46" s="44">
        <f t="shared" si="0"/>
        <v>0.21118407317073171</v>
      </c>
      <c r="H46" s="2"/>
      <c r="I46" s="2"/>
      <c r="J46" s="2"/>
    </row>
    <row r="47" spans="2:12" ht="39.75" customHeight="1" x14ac:dyDescent="0.25">
      <c r="B47" s="21" t="s">
        <v>17</v>
      </c>
      <c r="C47" s="22" t="s">
        <v>196</v>
      </c>
      <c r="D47" s="23">
        <f>D48</f>
        <v>3880000</v>
      </c>
      <c r="E47" s="23">
        <f>E48</f>
        <v>2083014.44</v>
      </c>
      <c r="F47" s="23">
        <f>F48</f>
        <v>293436.74000000005</v>
      </c>
      <c r="G47" s="24">
        <f t="shared" si="0"/>
        <v>7.5628025773195884E-2</v>
      </c>
      <c r="H47" s="2"/>
      <c r="I47" s="2"/>
      <c r="J47" s="2"/>
    </row>
    <row r="48" spans="2:12" ht="55.5" customHeight="1" x14ac:dyDescent="0.25">
      <c r="B48" s="53"/>
      <c r="C48" s="35" t="s">
        <v>197</v>
      </c>
      <c r="D48" s="36">
        <v>3880000</v>
      </c>
      <c r="E48" s="36">
        <v>2083014.44</v>
      </c>
      <c r="F48" s="36">
        <v>293436.74000000005</v>
      </c>
      <c r="G48" s="44">
        <f t="shared" si="0"/>
        <v>7.5628025773195884E-2</v>
      </c>
      <c r="H48" s="2"/>
      <c r="I48" s="2"/>
      <c r="J48" s="2"/>
    </row>
    <row r="49" spans="2:12" ht="74.25" customHeight="1" x14ac:dyDescent="0.25">
      <c r="B49" s="55"/>
      <c r="C49" s="41" t="s">
        <v>198</v>
      </c>
      <c r="D49" s="39">
        <v>3000000</v>
      </c>
      <c r="E49" s="39">
        <f>1200000+452000</f>
        <v>1652000</v>
      </c>
      <c r="F49" s="40"/>
      <c r="G49" s="46">
        <f t="shared" si="0"/>
        <v>0</v>
      </c>
      <c r="H49" s="2"/>
      <c r="I49" s="2"/>
      <c r="J49" s="2"/>
    </row>
    <row r="50" spans="2:12" ht="105.75" customHeight="1" x14ac:dyDescent="0.25">
      <c r="B50" s="21" t="s">
        <v>31</v>
      </c>
      <c r="C50" s="22" t="s">
        <v>116</v>
      </c>
      <c r="D50" s="23">
        <f>2415000-225000</f>
        <v>2190000</v>
      </c>
      <c r="E50" s="23">
        <v>2190000</v>
      </c>
      <c r="F50" s="23">
        <v>0</v>
      </c>
      <c r="G50" s="24">
        <f t="shared" si="0"/>
        <v>0</v>
      </c>
      <c r="H50" s="2"/>
      <c r="I50" s="2"/>
      <c r="J50" s="2"/>
    </row>
    <row r="51" spans="2:12" ht="44.25" customHeight="1" x14ac:dyDescent="0.25">
      <c r="B51" s="21" t="s">
        <v>32</v>
      </c>
      <c r="C51" s="22" t="s">
        <v>199</v>
      </c>
      <c r="D51" s="23">
        <f>SUM(D52:D53)</f>
        <v>255000</v>
      </c>
      <c r="E51" s="23">
        <f>SUM(E52:E53)</f>
        <v>224330.2</v>
      </c>
      <c r="F51" s="23">
        <f>SUM(F52:F53)</f>
        <v>35948.559999999998</v>
      </c>
      <c r="G51" s="24">
        <f t="shared" si="0"/>
        <v>0.1409747450980392</v>
      </c>
      <c r="H51" s="2"/>
      <c r="I51" s="2"/>
      <c r="J51" s="2"/>
    </row>
    <row r="52" spans="2:12" ht="81" customHeight="1" x14ac:dyDescent="0.25">
      <c r="B52" s="53"/>
      <c r="C52" s="35" t="s">
        <v>200</v>
      </c>
      <c r="D52" s="36">
        <v>165000</v>
      </c>
      <c r="E52" s="36">
        <v>142515.20000000001</v>
      </c>
      <c r="F52" s="36">
        <v>19948.559999999998</v>
      </c>
      <c r="G52" s="44">
        <f t="shared" si="0"/>
        <v>0.12090036363636363</v>
      </c>
      <c r="H52" s="2"/>
      <c r="I52" s="2"/>
      <c r="J52" s="2"/>
    </row>
    <row r="53" spans="2:12" ht="33.75" customHeight="1" x14ac:dyDescent="0.25">
      <c r="B53" s="55"/>
      <c r="C53" s="35" t="s">
        <v>201</v>
      </c>
      <c r="D53" s="36">
        <v>90000</v>
      </c>
      <c r="E53" s="36">
        <v>81815</v>
      </c>
      <c r="F53" s="36">
        <v>16000</v>
      </c>
      <c r="G53" s="44">
        <f t="shared" si="0"/>
        <v>0.17777777777777778</v>
      </c>
      <c r="H53" s="2"/>
      <c r="I53" s="2"/>
      <c r="J53" s="2"/>
    </row>
    <row r="54" spans="2:12" ht="39.75" customHeight="1" x14ac:dyDescent="0.25">
      <c r="B54" s="21" t="s">
        <v>33</v>
      </c>
      <c r="C54" s="22" t="s">
        <v>117</v>
      </c>
      <c r="D54" s="23">
        <f>SUM(D55:D63)</f>
        <v>2100000</v>
      </c>
      <c r="E54" s="23">
        <f>SUM(E55:E63)</f>
        <v>1366361</v>
      </c>
      <c r="F54" s="23">
        <f>SUM(F55:F63)</f>
        <v>100219.35</v>
      </c>
      <c r="G54" s="24">
        <f t="shared" si="0"/>
        <v>4.7723500000000002E-2</v>
      </c>
      <c r="H54" s="2"/>
      <c r="I54" s="2"/>
      <c r="J54" s="2"/>
    </row>
    <row r="55" spans="2:12" ht="29.25" customHeight="1" x14ac:dyDescent="0.25">
      <c r="B55" s="53"/>
      <c r="C55" s="35" t="s">
        <v>202</v>
      </c>
      <c r="D55" s="36">
        <v>900000</v>
      </c>
      <c r="E55" s="36">
        <v>524671</v>
      </c>
      <c r="F55" s="36">
        <v>44786</v>
      </c>
      <c r="G55" s="44">
        <f t="shared" si="0"/>
        <v>4.9762222222222222E-2</v>
      </c>
      <c r="H55" s="2"/>
      <c r="I55" s="2"/>
      <c r="J55" s="2"/>
    </row>
    <row r="56" spans="2:12" ht="39.75" customHeight="1" x14ac:dyDescent="0.25">
      <c r="B56" s="54"/>
      <c r="C56" s="35" t="s">
        <v>203</v>
      </c>
      <c r="D56" s="36">
        <v>90000</v>
      </c>
      <c r="E56" s="36">
        <v>90000</v>
      </c>
      <c r="F56" s="36">
        <v>0</v>
      </c>
      <c r="G56" s="44">
        <f t="shared" si="0"/>
        <v>0</v>
      </c>
      <c r="H56" s="2"/>
      <c r="I56" s="2"/>
      <c r="J56" s="2"/>
    </row>
    <row r="57" spans="2:12" ht="28.5" customHeight="1" x14ac:dyDescent="0.25">
      <c r="B57" s="54"/>
      <c r="C57" s="35" t="s">
        <v>204</v>
      </c>
      <c r="D57" s="36">
        <v>90000</v>
      </c>
      <c r="E57" s="36">
        <v>90000</v>
      </c>
      <c r="F57" s="36">
        <v>0</v>
      </c>
      <c r="G57" s="44">
        <f t="shared" si="0"/>
        <v>0</v>
      </c>
      <c r="H57" s="2"/>
      <c r="I57" s="2"/>
      <c r="J57" s="2"/>
    </row>
    <row r="58" spans="2:12" ht="28.5" customHeight="1" x14ac:dyDescent="0.25">
      <c r="B58" s="54"/>
      <c r="C58" s="35" t="s">
        <v>205</v>
      </c>
      <c r="D58" s="36">
        <v>100000</v>
      </c>
      <c r="E58" s="36">
        <v>100000</v>
      </c>
      <c r="F58" s="36">
        <v>9600</v>
      </c>
      <c r="G58" s="44">
        <f t="shared" si="0"/>
        <v>9.6000000000000002E-2</v>
      </c>
      <c r="H58" s="2"/>
      <c r="I58" s="2"/>
      <c r="J58" s="2"/>
    </row>
    <row r="59" spans="2:12" ht="39.75" customHeight="1" x14ac:dyDescent="0.25">
      <c r="B59" s="54"/>
      <c r="C59" s="35" t="s">
        <v>206</v>
      </c>
      <c r="D59" s="36">
        <v>250000</v>
      </c>
      <c r="E59" s="36">
        <v>244100</v>
      </c>
      <c r="F59" s="36">
        <v>0</v>
      </c>
      <c r="G59" s="44">
        <f t="shared" si="0"/>
        <v>0</v>
      </c>
      <c r="H59" s="2"/>
      <c r="I59" s="2"/>
      <c r="J59" s="2"/>
    </row>
    <row r="60" spans="2:12" ht="29.25" customHeight="1" x14ac:dyDescent="0.25">
      <c r="B60" s="54"/>
      <c r="C60" s="35" t="s">
        <v>207</v>
      </c>
      <c r="D60" s="36">
        <v>140000</v>
      </c>
      <c r="E60" s="36">
        <v>140000</v>
      </c>
      <c r="F60" s="36">
        <v>0</v>
      </c>
      <c r="G60" s="44">
        <f t="shared" si="0"/>
        <v>0</v>
      </c>
      <c r="H60" s="2"/>
      <c r="I60" s="2"/>
      <c r="J60" s="2"/>
    </row>
    <row r="61" spans="2:12" ht="39.75" customHeight="1" x14ac:dyDescent="0.25">
      <c r="B61" s="54"/>
      <c r="C61" s="35" t="s">
        <v>208</v>
      </c>
      <c r="D61" s="36">
        <v>180000</v>
      </c>
      <c r="E61" s="36"/>
      <c r="F61" s="36">
        <v>0</v>
      </c>
      <c r="G61" s="44">
        <f t="shared" si="0"/>
        <v>0</v>
      </c>
      <c r="H61" s="2"/>
      <c r="I61" s="2"/>
      <c r="J61" s="2"/>
    </row>
    <row r="62" spans="2:12" ht="25.5" customHeight="1" x14ac:dyDescent="0.25">
      <c r="B62" s="54"/>
      <c r="C62" s="35" t="s">
        <v>209</v>
      </c>
      <c r="D62" s="36">
        <v>70000</v>
      </c>
      <c r="E62" s="36">
        <v>67590</v>
      </c>
      <c r="F62" s="36">
        <v>0</v>
      </c>
      <c r="G62" s="44">
        <f t="shared" si="0"/>
        <v>0</v>
      </c>
      <c r="H62" s="2"/>
      <c r="I62" s="2"/>
      <c r="J62" s="2"/>
    </row>
    <row r="63" spans="2:12" ht="100.5" customHeight="1" x14ac:dyDescent="0.25">
      <c r="B63" s="55"/>
      <c r="C63" s="35" t="s">
        <v>210</v>
      </c>
      <c r="D63" s="36">
        <v>280000</v>
      </c>
      <c r="E63" s="36">
        <v>110000</v>
      </c>
      <c r="F63" s="36">
        <v>45833.35</v>
      </c>
      <c r="G63" s="44">
        <f t="shared" si="0"/>
        <v>0.16369053571428571</v>
      </c>
      <c r="H63" s="2"/>
      <c r="I63" s="2"/>
      <c r="J63" s="2"/>
    </row>
    <row r="64" spans="2:12" ht="27" customHeight="1" x14ac:dyDescent="0.25">
      <c r="B64" s="21" t="s">
        <v>37</v>
      </c>
      <c r="C64" s="22" t="s">
        <v>118</v>
      </c>
      <c r="D64" s="23">
        <f>D65</f>
        <v>1100000</v>
      </c>
      <c r="E64" s="23">
        <f>E65</f>
        <v>868596.63</v>
      </c>
      <c r="F64" s="23">
        <f>F65</f>
        <v>499001.76215932064</v>
      </c>
      <c r="G64" s="24">
        <f t="shared" si="0"/>
        <v>0.45363796559938241</v>
      </c>
      <c r="H64" s="2"/>
      <c r="I64" s="2"/>
      <c r="J64" s="2"/>
      <c r="L64" s="2"/>
    </row>
    <row r="65" spans="2:17" ht="27" customHeight="1" x14ac:dyDescent="0.25">
      <c r="B65" s="21"/>
      <c r="C65" s="35" t="s">
        <v>211</v>
      </c>
      <c r="D65" s="32">
        <v>1100000</v>
      </c>
      <c r="E65" s="32">
        <v>868596.63</v>
      </c>
      <c r="F65" s="32">
        <v>499001.76215932064</v>
      </c>
      <c r="G65" s="42">
        <f t="shared" si="0"/>
        <v>0.45363796559938241</v>
      </c>
      <c r="H65" s="2"/>
      <c r="I65" s="2"/>
      <c r="J65" s="2"/>
      <c r="L65" s="2"/>
    </row>
    <row r="66" spans="2:17" ht="30.75" customHeight="1" x14ac:dyDescent="0.25">
      <c r="B66" s="20" t="s">
        <v>39</v>
      </c>
      <c r="C66" s="17" t="s">
        <v>29</v>
      </c>
      <c r="D66" s="18">
        <f>SUM(D67:D68)</f>
        <v>28448402.969999999</v>
      </c>
      <c r="E66" s="18">
        <f>SUM(E67:E68)</f>
        <v>19625020</v>
      </c>
      <c r="F66" s="18">
        <f>SUM(F67:F68)</f>
        <v>10120022.35</v>
      </c>
      <c r="G66" s="19">
        <f>F66/D66</f>
        <v>0.35573252954381923</v>
      </c>
      <c r="H66" s="3"/>
      <c r="I66" s="2"/>
      <c r="J66" s="3"/>
      <c r="K66" s="3"/>
      <c r="L66" s="3"/>
      <c r="N66" s="3"/>
      <c r="O66" s="2"/>
      <c r="Q66" s="2"/>
    </row>
    <row r="67" spans="2:17" ht="69" customHeight="1" x14ac:dyDescent="0.25">
      <c r="B67" s="21" t="s">
        <v>40</v>
      </c>
      <c r="C67" s="22" t="s">
        <v>129</v>
      </c>
      <c r="D67" s="23">
        <v>15633505.83</v>
      </c>
      <c r="E67" s="23">
        <v>7756320</v>
      </c>
      <c r="F67" s="23">
        <v>3105440.72</v>
      </c>
      <c r="G67" s="24">
        <f t="shared" ref="G67:G68" si="3">F67/D67</f>
        <v>0.19864007176437662</v>
      </c>
      <c r="H67" s="2"/>
      <c r="I67" s="2"/>
      <c r="J67" s="3"/>
      <c r="K67" s="7"/>
      <c r="L67" s="5"/>
      <c r="M67" s="2"/>
      <c r="N67" s="6"/>
      <c r="P67" s="6"/>
    </row>
    <row r="68" spans="2:17" ht="114" customHeight="1" x14ac:dyDescent="0.25">
      <c r="B68" s="21" t="s">
        <v>41</v>
      </c>
      <c r="C68" s="22" t="s">
        <v>130</v>
      </c>
      <c r="D68" s="23">
        <v>12814897.140000001</v>
      </c>
      <c r="E68" s="23">
        <v>11868700</v>
      </c>
      <c r="F68" s="23">
        <f>6291485.88+723095.75</f>
        <v>7014581.6299999999</v>
      </c>
      <c r="G68" s="24">
        <f t="shared" si="3"/>
        <v>0.54737713095682328</v>
      </c>
      <c r="H68" s="3"/>
      <c r="I68" s="2"/>
      <c r="J68" s="5"/>
      <c r="K68" s="3"/>
      <c r="L68" s="3"/>
      <c r="M68" s="3"/>
      <c r="N68" s="3"/>
      <c r="O68" s="3"/>
    </row>
    <row r="69" spans="2:17" ht="30.75" customHeight="1" x14ac:dyDescent="0.25">
      <c r="B69" s="20" t="s">
        <v>19</v>
      </c>
      <c r="C69" s="17" t="s">
        <v>27</v>
      </c>
      <c r="D69" s="18">
        <f>SUM(D70:D81)</f>
        <v>2315315.86</v>
      </c>
      <c r="E69" s="18">
        <f>SUM(E70:E81)</f>
        <v>1312278.1200000001</v>
      </c>
      <c r="F69" s="18">
        <f>SUM(F70:F81)</f>
        <v>1066187.8299999998</v>
      </c>
      <c r="G69" s="19">
        <f>F69/D69</f>
        <v>0.46049346804889069</v>
      </c>
      <c r="I69" s="2"/>
      <c r="J69" s="6"/>
      <c r="K69" s="6"/>
      <c r="L69" s="6"/>
    </row>
    <row r="70" spans="2:17" ht="69" customHeight="1" x14ac:dyDescent="0.25">
      <c r="B70" s="21" t="s">
        <v>20</v>
      </c>
      <c r="C70" s="22" t="s">
        <v>85</v>
      </c>
      <c r="D70" s="23">
        <f>84051.75+200000*2.66</f>
        <v>616051.75</v>
      </c>
      <c r="E70" s="23">
        <f>72744+235744</f>
        <v>308488</v>
      </c>
      <c r="F70" s="23">
        <f>83987.73+187548.53</f>
        <v>271536.26</v>
      </c>
      <c r="G70" s="24">
        <f t="shared" ref="G70:G81" si="4">F70/D70</f>
        <v>0.44076858802852198</v>
      </c>
      <c r="H70" s="2"/>
      <c r="I70" s="2"/>
      <c r="J70" s="3"/>
      <c r="K70" s="2"/>
      <c r="M70" s="6"/>
    </row>
    <row r="71" spans="2:17" ht="74.25" customHeight="1" x14ac:dyDescent="0.25">
      <c r="B71" s="21" t="s">
        <v>34</v>
      </c>
      <c r="C71" s="22" t="s">
        <v>86</v>
      </c>
      <c r="D71" s="23">
        <f>35730.23+50000*2.66</f>
        <v>168730.23</v>
      </c>
      <c r="E71" s="23">
        <f>49799+35700</f>
        <v>85499</v>
      </c>
      <c r="F71" s="23">
        <f>35583.6+49799.52</f>
        <v>85383.12</v>
      </c>
      <c r="G71" s="24">
        <f t="shared" si="4"/>
        <v>0.50603332906024001</v>
      </c>
      <c r="H71" s="2"/>
      <c r="I71" s="2"/>
      <c r="K71" s="6"/>
    </row>
    <row r="72" spans="2:17" ht="54" customHeight="1" x14ac:dyDescent="0.25">
      <c r="B72" s="21" t="s">
        <v>42</v>
      </c>
      <c r="C72" s="22" t="s">
        <v>87</v>
      </c>
      <c r="D72" s="23">
        <v>279291.36</v>
      </c>
      <c r="E72" s="23">
        <v>216203</v>
      </c>
      <c r="F72" s="23">
        <v>151169.89000000001</v>
      </c>
      <c r="G72" s="24">
        <f t="shared" si="4"/>
        <v>0.5412623218992525</v>
      </c>
      <c r="I72" s="2"/>
    </row>
    <row r="73" spans="2:17" ht="70.5" customHeight="1" x14ac:dyDescent="0.25">
      <c r="B73" s="21" t="s">
        <v>43</v>
      </c>
      <c r="C73" s="22" t="s">
        <v>88</v>
      </c>
      <c r="D73" s="23">
        <f>256823+80718</f>
        <v>337541</v>
      </c>
      <c r="E73" s="23">
        <v>204413</v>
      </c>
      <c r="F73" s="23">
        <v>103003.46</v>
      </c>
      <c r="G73" s="24">
        <f t="shared" si="4"/>
        <v>0.30515836594665541</v>
      </c>
      <c r="I73" s="2"/>
    </row>
    <row r="74" spans="2:17" ht="53.25" customHeight="1" x14ac:dyDescent="0.25">
      <c r="B74" s="21" t="s">
        <v>44</v>
      </c>
      <c r="C74" s="22" t="s">
        <v>70</v>
      </c>
      <c r="D74" s="23">
        <f>70139.41+106926.59</f>
        <v>177066</v>
      </c>
      <c r="E74" s="23">
        <f>57288+28800</f>
        <v>86088</v>
      </c>
      <c r="F74" s="23">
        <f>28100+57265.74</f>
        <v>85365.739999999991</v>
      </c>
      <c r="G74" s="24">
        <f t="shared" si="4"/>
        <v>0.48211254560446382</v>
      </c>
      <c r="I74" s="2"/>
      <c r="J74" s="8"/>
    </row>
    <row r="75" spans="2:17" ht="87" customHeight="1" x14ac:dyDescent="0.25">
      <c r="B75" s="21" t="s">
        <v>45</v>
      </c>
      <c r="C75" s="22" t="s">
        <v>92</v>
      </c>
      <c r="D75" s="23">
        <f>17046.2+40000*2.66</f>
        <v>123446.2</v>
      </c>
      <c r="E75" s="23">
        <f>58888+17046</f>
        <v>75934</v>
      </c>
      <c r="F75" s="23">
        <f>17046.2+37015.28</f>
        <v>54061.479999999996</v>
      </c>
      <c r="G75" s="24">
        <f t="shared" si="4"/>
        <v>0.43793555411183172</v>
      </c>
      <c r="I75" s="2"/>
    </row>
    <row r="76" spans="2:17" ht="52.5" customHeight="1" x14ac:dyDescent="0.25">
      <c r="B76" s="21" t="s">
        <v>46</v>
      </c>
      <c r="C76" s="22" t="s">
        <v>90</v>
      </c>
      <c r="D76" s="23">
        <v>60262.52</v>
      </c>
      <c r="E76" s="23"/>
      <c r="F76" s="23"/>
      <c r="G76" s="24">
        <f t="shared" si="4"/>
        <v>0</v>
      </c>
      <c r="I76" s="2"/>
      <c r="J76" s="8"/>
      <c r="L76" s="9"/>
    </row>
    <row r="77" spans="2:17" ht="48.75" customHeight="1" x14ac:dyDescent="0.25">
      <c r="B77" s="21" t="s">
        <v>47</v>
      </c>
      <c r="C77" s="22" t="s">
        <v>128</v>
      </c>
      <c r="D77" s="23">
        <v>55686.6</v>
      </c>
      <c r="E77" s="23">
        <v>11586.12</v>
      </c>
      <c r="F77" s="23">
        <v>11586.12</v>
      </c>
      <c r="G77" s="24">
        <f>F77/D77</f>
        <v>0.20805938951201908</v>
      </c>
      <c r="H77" s="8"/>
      <c r="I77" s="2"/>
      <c r="J77" s="6"/>
    </row>
    <row r="78" spans="2:17" ht="46.5" customHeight="1" x14ac:dyDescent="0.25">
      <c r="B78" s="21" t="s">
        <v>126</v>
      </c>
      <c r="C78" s="22" t="s">
        <v>91</v>
      </c>
      <c r="D78" s="23">
        <v>42774.48</v>
      </c>
      <c r="E78" s="23">
        <v>36602</v>
      </c>
      <c r="F78" s="23">
        <v>29382.77</v>
      </c>
      <c r="G78" s="24">
        <f>F78/D78</f>
        <v>0.68692290356305907</v>
      </c>
      <c r="H78" s="8"/>
      <c r="I78" s="2"/>
    </row>
    <row r="79" spans="2:17" ht="58.5" customHeight="1" x14ac:dyDescent="0.25">
      <c r="B79" s="21" t="s">
        <v>48</v>
      </c>
      <c r="C79" s="22" t="s">
        <v>93</v>
      </c>
      <c r="D79" s="23">
        <v>65868.75</v>
      </c>
      <c r="E79" s="23">
        <v>61315</v>
      </c>
      <c r="F79" s="23">
        <v>61251.31</v>
      </c>
      <c r="G79" s="24">
        <f t="shared" si="4"/>
        <v>0.92989938324319188</v>
      </c>
      <c r="I79" s="2"/>
    </row>
    <row r="80" spans="2:17" ht="50.25" customHeight="1" x14ac:dyDescent="0.25">
      <c r="B80" s="21" t="s">
        <v>49</v>
      </c>
      <c r="C80" s="22" t="s">
        <v>89</v>
      </c>
      <c r="D80" s="23">
        <f>260039.68+38053.73</f>
        <v>298093.40999999997</v>
      </c>
      <c r="E80" s="23">
        <f>25812+130779</f>
        <v>156591</v>
      </c>
      <c r="F80" s="23">
        <f>118483.46+25812.67</f>
        <v>144296.13</v>
      </c>
      <c r="G80" s="24">
        <f>F80/D80</f>
        <v>0.48406346856175053</v>
      </c>
      <c r="I80" s="2"/>
      <c r="J80" s="2"/>
    </row>
    <row r="81" spans="2:11" ht="70.5" customHeight="1" x14ac:dyDescent="0.25">
      <c r="B81" s="21" t="s">
        <v>127</v>
      </c>
      <c r="C81" s="22" t="s">
        <v>71</v>
      </c>
      <c r="D81" s="23">
        <v>90503.56</v>
      </c>
      <c r="E81" s="23">
        <v>69559</v>
      </c>
      <c r="F81" s="23">
        <v>69151.55</v>
      </c>
      <c r="G81" s="24">
        <f t="shared" si="4"/>
        <v>0.76407546841251328</v>
      </c>
      <c r="I81" s="2"/>
    </row>
    <row r="82" spans="2:11" ht="38.25" customHeight="1" x14ac:dyDescent="0.25">
      <c r="B82" s="20" t="s">
        <v>21</v>
      </c>
      <c r="C82" s="17" t="s">
        <v>28</v>
      </c>
      <c r="D82" s="18">
        <f>SUM(D83:D86)</f>
        <v>1998901.4416</v>
      </c>
      <c r="E82" s="18">
        <f>SUM(E83:E86)</f>
        <v>846038</v>
      </c>
      <c r="F82" s="18">
        <f>SUM(F83:F86)</f>
        <v>733155.09000000008</v>
      </c>
      <c r="G82" s="19">
        <f>F82/D82</f>
        <v>0.36677900908068467</v>
      </c>
      <c r="I82" s="2"/>
    </row>
    <row r="83" spans="2:11" ht="72" customHeight="1" x14ac:dyDescent="0.25">
      <c r="B83" s="21" t="s">
        <v>95</v>
      </c>
      <c r="C83" s="22" t="s">
        <v>112</v>
      </c>
      <c r="D83" s="23">
        <v>364014.89</v>
      </c>
      <c r="E83" s="23">
        <v>200300</v>
      </c>
      <c r="F83" s="23">
        <v>198215.2</v>
      </c>
      <c r="G83" s="24">
        <f>F83/D83</f>
        <v>0.54452497808537448</v>
      </c>
      <c r="I83" s="2"/>
    </row>
    <row r="84" spans="2:11" ht="36.75" customHeight="1" x14ac:dyDescent="0.25">
      <c r="B84" s="21" t="s">
        <v>96</v>
      </c>
      <c r="C84" s="22" t="s">
        <v>113</v>
      </c>
      <c r="D84" s="23">
        <f>383522.21+629771</f>
        <v>1013293.21</v>
      </c>
      <c r="E84" s="23">
        <v>262226</v>
      </c>
      <c r="F84" s="23">
        <v>228171.47</v>
      </c>
      <c r="G84" s="24">
        <f t="shared" ref="G84:G111" si="5">F84/D84</f>
        <v>0.22517812983272631</v>
      </c>
      <c r="I84" s="2"/>
    </row>
    <row r="85" spans="2:11" ht="37.5" customHeight="1" x14ac:dyDescent="0.25">
      <c r="B85" s="21" t="s">
        <v>97</v>
      </c>
      <c r="C85" s="22" t="s">
        <v>114</v>
      </c>
      <c r="D85" s="23">
        <v>251873.5716</v>
      </c>
      <c r="E85" s="23">
        <v>131965</v>
      </c>
      <c r="F85" s="23">
        <v>87099.53</v>
      </c>
      <c r="G85" s="24">
        <f t="shared" ref="G85:G86" si="6">F85/D85</f>
        <v>0.34580654670003497</v>
      </c>
      <c r="I85" s="2"/>
      <c r="J85" s="6"/>
    </row>
    <row r="86" spans="2:11" ht="75.75" customHeight="1" x14ac:dyDescent="0.25">
      <c r="B86" s="21" t="s">
        <v>30</v>
      </c>
      <c r="C86" s="22" t="s">
        <v>94</v>
      </c>
      <c r="D86" s="23">
        <v>369719.77</v>
      </c>
      <c r="E86" s="23">
        <f>246966+4581</f>
        <v>251547</v>
      </c>
      <c r="F86" s="23">
        <f>4581.57+215087.32</f>
        <v>219668.89</v>
      </c>
      <c r="G86" s="24">
        <f t="shared" si="6"/>
        <v>0.59414969883812274</v>
      </c>
      <c r="I86" s="2"/>
    </row>
    <row r="87" spans="2:11" ht="33.75" customHeight="1" x14ac:dyDescent="0.25">
      <c r="B87" s="20" t="s">
        <v>22</v>
      </c>
      <c r="C87" s="17" t="s">
        <v>51</v>
      </c>
      <c r="D87" s="18">
        <f>SUM(D88:D90)</f>
        <v>1742064.7</v>
      </c>
      <c r="E87" s="18">
        <f>SUM(E88:E90)</f>
        <v>298792</v>
      </c>
      <c r="F87" s="18">
        <f>SUM(F88:F90)</f>
        <v>297977.41000000003</v>
      </c>
      <c r="G87" s="19">
        <f>F87/D87</f>
        <v>0.17104841743248689</v>
      </c>
      <c r="I87" s="2"/>
    </row>
    <row r="88" spans="2:11" ht="40.5" customHeight="1" x14ac:dyDescent="0.25">
      <c r="B88" s="21" t="s">
        <v>23</v>
      </c>
      <c r="C88" s="22" t="s">
        <v>135</v>
      </c>
      <c r="D88" s="23">
        <v>687623.62</v>
      </c>
      <c r="E88" s="23">
        <v>122992</v>
      </c>
      <c r="F88" s="23">
        <v>122456.4</v>
      </c>
      <c r="G88" s="24">
        <f t="shared" ref="G88:G90" si="7">F88/D88</f>
        <v>0.17808637812645237</v>
      </c>
      <c r="I88" s="2"/>
      <c r="J88" s="2"/>
      <c r="K88" s="2"/>
    </row>
    <row r="89" spans="2:11" ht="40.5" customHeight="1" x14ac:dyDescent="0.25">
      <c r="B89" s="21" t="s">
        <v>50</v>
      </c>
      <c r="C89" s="22" t="s">
        <v>136</v>
      </c>
      <c r="D89" s="23">
        <v>240460.32</v>
      </c>
      <c r="E89" s="23">
        <v>40300</v>
      </c>
      <c r="F89" s="23">
        <v>40300</v>
      </c>
      <c r="G89" s="24">
        <f t="shared" si="7"/>
        <v>0.16759521903655455</v>
      </c>
      <c r="I89" s="2"/>
      <c r="K89" s="2"/>
    </row>
    <row r="90" spans="2:11" ht="40.5" customHeight="1" x14ac:dyDescent="0.25">
      <c r="B90" s="21" t="s">
        <v>69</v>
      </c>
      <c r="C90" s="22" t="s">
        <v>137</v>
      </c>
      <c r="D90" s="23">
        <v>813980.76</v>
      </c>
      <c r="E90" s="23">
        <v>135500</v>
      </c>
      <c r="F90" s="23">
        <v>135221.01</v>
      </c>
      <c r="G90" s="24">
        <f t="shared" si="7"/>
        <v>0.16612310345025846</v>
      </c>
      <c r="I90" s="2"/>
    </row>
    <row r="91" spans="2:11" ht="32.25" customHeight="1" x14ac:dyDescent="0.25">
      <c r="B91" s="20" t="s">
        <v>24</v>
      </c>
      <c r="C91" s="17" t="s">
        <v>18</v>
      </c>
      <c r="D91" s="18">
        <f>SUM(D92:D102)</f>
        <v>517273.54460000002</v>
      </c>
      <c r="E91" s="18">
        <f>SUM(E92:E102)</f>
        <v>299056</v>
      </c>
      <c r="F91" s="18">
        <f>SUM(F92:F102)</f>
        <v>296629.24999999994</v>
      </c>
      <c r="G91" s="19">
        <f>F91/D91</f>
        <v>0.57344755612695975</v>
      </c>
      <c r="I91" s="2"/>
    </row>
    <row r="92" spans="2:11" ht="33" customHeight="1" x14ac:dyDescent="0.25">
      <c r="B92" s="25" t="s">
        <v>25</v>
      </c>
      <c r="C92" s="22" t="s">
        <v>99</v>
      </c>
      <c r="D92" s="23">
        <v>73053.72</v>
      </c>
      <c r="E92" s="23">
        <v>73054</v>
      </c>
      <c r="F92" s="23">
        <v>73053.710000000006</v>
      </c>
      <c r="G92" s="24">
        <f t="shared" ref="G92:G123" si="8">F92/D92</f>
        <v>0.99999986311443145</v>
      </c>
      <c r="I92" s="2"/>
    </row>
    <row r="93" spans="2:11" ht="39" customHeight="1" x14ac:dyDescent="0.25">
      <c r="B93" s="25" t="s">
        <v>36</v>
      </c>
      <c r="C93" s="22" t="s">
        <v>72</v>
      </c>
      <c r="D93" s="23">
        <f>96868.91+28878.14</f>
        <v>125747.05</v>
      </c>
      <c r="E93" s="23">
        <v>96869</v>
      </c>
      <c r="F93" s="23">
        <v>96735.08</v>
      </c>
      <c r="G93" s="24">
        <f t="shared" ref="G93:G101" si="9">F93/D93</f>
        <v>0.76928309650206506</v>
      </c>
      <c r="I93" s="2"/>
      <c r="J93" s="8"/>
    </row>
    <row r="94" spans="2:11" ht="75" customHeight="1" x14ac:dyDescent="0.25">
      <c r="B94" s="25" t="s">
        <v>52</v>
      </c>
      <c r="C94" s="22" t="s">
        <v>76</v>
      </c>
      <c r="D94" s="23">
        <v>14526.64</v>
      </c>
      <c r="E94" s="23">
        <v>14527</v>
      </c>
      <c r="F94" s="23">
        <v>14526.62</v>
      </c>
      <c r="G94" s="24">
        <f t="shared" si="9"/>
        <v>0.99999862321913402</v>
      </c>
      <c r="I94" s="2"/>
    </row>
    <row r="95" spans="2:11" ht="91.5" customHeight="1" x14ac:dyDescent="0.25">
      <c r="B95" s="25" t="s">
        <v>68</v>
      </c>
      <c r="C95" s="22" t="s">
        <v>77</v>
      </c>
      <c r="D95" s="23">
        <f>61739.31*2.66+45824.61</f>
        <v>210051.17460000003</v>
      </c>
      <c r="E95" s="23">
        <v>51344</v>
      </c>
      <c r="F95" s="23">
        <v>51334.36</v>
      </c>
      <c r="G95" s="24">
        <f t="shared" si="9"/>
        <v>0.24438977833737852</v>
      </c>
      <c r="I95" s="2"/>
    </row>
    <row r="96" spans="2:11" ht="72" customHeight="1" x14ac:dyDescent="0.25">
      <c r="B96" s="25" t="s">
        <v>110</v>
      </c>
      <c r="C96" s="22" t="s">
        <v>111</v>
      </c>
      <c r="D96" s="23">
        <v>5859.26</v>
      </c>
      <c r="E96" s="23">
        <v>5859</v>
      </c>
      <c r="F96" s="23">
        <v>5859.26</v>
      </c>
      <c r="G96" s="24">
        <f t="shared" si="9"/>
        <v>1</v>
      </c>
      <c r="I96" s="2"/>
    </row>
    <row r="97" spans="2:10" ht="42" customHeight="1" x14ac:dyDescent="0.25">
      <c r="B97" s="25" t="s">
        <v>120</v>
      </c>
      <c r="C97" s="22" t="s">
        <v>124</v>
      </c>
      <c r="D97" s="23">
        <v>29260</v>
      </c>
      <c r="E97" s="23">
        <v>12053</v>
      </c>
      <c r="F97" s="23">
        <v>10834.09</v>
      </c>
      <c r="G97" s="24">
        <f t="shared" si="9"/>
        <v>0.37026965140123036</v>
      </c>
      <c r="I97" s="2"/>
    </row>
    <row r="98" spans="2:10" ht="42" customHeight="1" x14ac:dyDescent="0.25">
      <c r="B98" s="25" t="s">
        <v>145</v>
      </c>
      <c r="C98" s="22" t="s">
        <v>121</v>
      </c>
      <c r="D98" s="23">
        <f>4100*2.6498</f>
        <v>10864.18</v>
      </c>
      <c r="E98" s="23">
        <v>10864</v>
      </c>
      <c r="F98" s="23">
        <v>10807.46</v>
      </c>
      <c r="G98" s="24">
        <f t="shared" si="9"/>
        <v>0.99477917339366606</v>
      </c>
      <c r="I98" s="2"/>
    </row>
    <row r="99" spans="2:10" ht="48.75" customHeight="1" x14ac:dyDescent="0.25">
      <c r="B99" s="25" t="s">
        <v>146</v>
      </c>
      <c r="C99" s="22" t="s">
        <v>147</v>
      </c>
      <c r="D99" s="23">
        <v>13594.5</v>
      </c>
      <c r="E99" s="23">
        <v>13594</v>
      </c>
      <c r="F99" s="23">
        <v>13594.23</v>
      </c>
      <c r="G99" s="24">
        <f t="shared" si="9"/>
        <v>0.99998013902681226</v>
      </c>
      <c r="I99" s="2"/>
    </row>
    <row r="100" spans="2:10" ht="57.75" customHeight="1" x14ac:dyDescent="0.25">
      <c r="B100" s="25" t="s">
        <v>148</v>
      </c>
      <c r="C100" s="22" t="s">
        <v>149</v>
      </c>
      <c r="D100" s="23">
        <v>27025.5</v>
      </c>
      <c r="E100" s="23">
        <v>13600</v>
      </c>
      <c r="F100" s="23">
        <v>12593.55</v>
      </c>
      <c r="G100" s="24">
        <f t="shared" si="9"/>
        <v>0.46598767830382415</v>
      </c>
      <c r="I100" s="2"/>
    </row>
    <row r="101" spans="2:10" ht="72" customHeight="1" x14ac:dyDescent="0.25">
      <c r="B101" s="25" t="s">
        <v>156</v>
      </c>
      <c r="C101" s="22" t="s">
        <v>150</v>
      </c>
      <c r="D101" s="23">
        <v>4094.67</v>
      </c>
      <c r="E101" s="23">
        <v>4095</v>
      </c>
      <c r="F101" s="23">
        <v>4094.1</v>
      </c>
      <c r="G101" s="24">
        <f t="shared" si="9"/>
        <v>0.99986079464279165</v>
      </c>
      <c r="I101" s="2"/>
    </row>
    <row r="102" spans="2:10" ht="42" customHeight="1" x14ac:dyDescent="0.25">
      <c r="B102" s="25" t="s">
        <v>157</v>
      </c>
      <c r="C102" s="22" t="s">
        <v>158</v>
      </c>
      <c r="D102" s="23">
        <v>3196.85</v>
      </c>
      <c r="E102" s="23">
        <v>3197</v>
      </c>
      <c r="F102" s="23">
        <v>3196.79</v>
      </c>
      <c r="G102" s="24">
        <f t="shared" ref="G102" si="10">F102/D102</f>
        <v>0.99998123152478224</v>
      </c>
      <c r="I102" s="2"/>
    </row>
    <row r="103" spans="2:10" ht="33.75" customHeight="1" x14ac:dyDescent="0.25">
      <c r="B103" s="20" t="s">
        <v>55</v>
      </c>
      <c r="C103" s="17" t="s">
        <v>64</v>
      </c>
      <c r="D103" s="18">
        <f>SUM(D104:D108)</f>
        <v>260855.85000000003</v>
      </c>
      <c r="E103" s="18">
        <f>SUM(E104:E108)</f>
        <v>195652.13</v>
      </c>
      <c r="F103" s="18">
        <f>SUM(F104:F108)</f>
        <v>185624.93</v>
      </c>
      <c r="G103" s="19">
        <f t="shared" ref="G103" si="11">F103/D103</f>
        <v>0.71159964401795084</v>
      </c>
      <c r="I103" s="2"/>
    </row>
    <row r="104" spans="2:10" ht="115.5" customHeight="1" x14ac:dyDescent="0.25">
      <c r="B104" s="21" t="s">
        <v>56</v>
      </c>
      <c r="C104" s="22" t="s">
        <v>67</v>
      </c>
      <c r="D104" s="23">
        <v>37031.050000000003</v>
      </c>
      <c r="E104" s="23">
        <v>37031</v>
      </c>
      <c r="F104" s="23">
        <v>27059.68</v>
      </c>
      <c r="G104" s="24">
        <f t="shared" si="8"/>
        <v>0.73072948242083324</v>
      </c>
      <c r="I104" s="2"/>
    </row>
    <row r="105" spans="2:10" ht="42" customHeight="1" x14ac:dyDescent="0.25">
      <c r="B105" s="21" t="s">
        <v>57</v>
      </c>
      <c r="C105" s="22" t="s">
        <v>75</v>
      </c>
      <c r="D105" s="23">
        <v>46947.24</v>
      </c>
      <c r="E105" s="23">
        <v>46947</v>
      </c>
      <c r="F105" s="23">
        <v>46891.38</v>
      </c>
      <c r="G105" s="24">
        <f t="shared" ref="G105:G107" si="12">F105/D105</f>
        <v>0.99881015369593606</v>
      </c>
      <c r="I105" s="2"/>
    </row>
    <row r="106" spans="2:10" ht="75.75" customHeight="1" x14ac:dyDescent="0.25">
      <c r="B106" s="21" t="s">
        <v>102</v>
      </c>
      <c r="C106" s="22" t="s">
        <v>109</v>
      </c>
      <c r="D106" s="23">
        <f>21975.36+11217.4</f>
        <v>33192.76</v>
      </c>
      <c r="E106" s="23">
        <f>11218+21975</f>
        <v>33193</v>
      </c>
      <c r="F106" s="23">
        <f>21975.36+11217.38</f>
        <v>33192.74</v>
      </c>
      <c r="G106" s="24">
        <f t="shared" si="12"/>
        <v>0.99999939745896382</v>
      </c>
      <c r="I106" s="2"/>
    </row>
    <row r="107" spans="2:10" ht="90.75" customHeight="1" x14ac:dyDescent="0.25">
      <c r="B107" s="21" t="s">
        <v>122</v>
      </c>
      <c r="C107" s="22" t="s">
        <v>123</v>
      </c>
      <c r="D107" s="23">
        <v>121720.3</v>
      </c>
      <c r="E107" s="23">
        <v>78481.13</v>
      </c>
      <c r="F107" s="23">
        <v>78481.13</v>
      </c>
      <c r="G107" s="24">
        <f t="shared" si="12"/>
        <v>0.64476615650799418</v>
      </c>
      <c r="I107" s="2"/>
    </row>
    <row r="108" spans="2:10" ht="50.25" customHeight="1" x14ac:dyDescent="0.25">
      <c r="B108" s="21" t="s">
        <v>153</v>
      </c>
      <c r="C108" s="22" t="s">
        <v>154</v>
      </c>
      <c r="D108" s="23">
        <f>8135*2.7</f>
        <v>21964.5</v>
      </c>
      <c r="E108" s="23"/>
      <c r="F108" s="23">
        <v>0</v>
      </c>
      <c r="G108" s="24">
        <f t="shared" si="8"/>
        <v>0</v>
      </c>
      <c r="I108" s="2"/>
    </row>
    <row r="109" spans="2:10" ht="37.5" customHeight="1" x14ac:dyDescent="0.25">
      <c r="B109" s="20" t="s">
        <v>53</v>
      </c>
      <c r="C109" s="26" t="s">
        <v>73</v>
      </c>
      <c r="D109" s="18">
        <f>SUM(D110)</f>
        <v>4800</v>
      </c>
      <c r="E109" s="18">
        <f>SUM(E110)</f>
        <v>4800</v>
      </c>
      <c r="F109" s="18">
        <f>SUM(F110)</f>
        <v>3120</v>
      </c>
      <c r="G109" s="19">
        <f>F109/D109</f>
        <v>0.65</v>
      </c>
      <c r="I109" s="2"/>
    </row>
    <row r="110" spans="2:10" ht="63.75" customHeight="1" x14ac:dyDescent="0.25">
      <c r="B110" s="21" t="s">
        <v>54</v>
      </c>
      <c r="C110" s="22" t="s">
        <v>74</v>
      </c>
      <c r="D110" s="23">
        <f>2400+2400</f>
        <v>4800</v>
      </c>
      <c r="E110" s="23">
        <v>4800</v>
      </c>
      <c r="F110" s="23">
        <v>3120</v>
      </c>
      <c r="G110" s="24">
        <f>F110/D110</f>
        <v>0.65</v>
      </c>
      <c r="I110" s="2"/>
      <c r="J110" s="2"/>
    </row>
    <row r="111" spans="2:10" ht="36.75" customHeight="1" x14ac:dyDescent="0.25">
      <c r="B111" s="20" t="s">
        <v>61</v>
      </c>
      <c r="C111" s="17" t="s">
        <v>26</v>
      </c>
      <c r="D111" s="18">
        <f>SUM(D112:D123)</f>
        <v>1447323.9932000001</v>
      </c>
      <c r="E111" s="18">
        <f>SUM(E112:E123)</f>
        <v>618478.46</v>
      </c>
      <c r="F111" s="18">
        <f>SUM(F112:F123)</f>
        <v>414090.58</v>
      </c>
      <c r="G111" s="19">
        <f t="shared" si="5"/>
        <v>0.28610772843228782</v>
      </c>
      <c r="I111" s="2"/>
    </row>
    <row r="112" spans="2:10" ht="76.5" customHeight="1" x14ac:dyDescent="0.25">
      <c r="B112" s="21" t="s">
        <v>62</v>
      </c>
      <c r="C112" s="22" t="s">
        <v>38</v>
      </c>
      <c r="D112" s="23">
        <v>28176.86</v>
      </c>
      <c r="E112" s="23">
        <v>28177</v>
      </c>
      <c r="F112" s="23">
        <v>50</v>
      </c>
      <c r="G112" s="24">
        <f t="shared" si="8"/>
        <v>1.7745057469143119E-3</v>
      </c>
      <c r="H112" s="4" t="s">
        <v>60</v>
      </c>
      <c r="I112" s="2"/>
      <c r="J112" s="8"/>
    </row>
    <row r="113" spans="2:12" ht="45" customHeight="1" x14ac:dyDescent="0.25">
      <c r="B113" s="21" t="s">
        <v>63</v>
      </c>
      <c r="C113" s="22" t="s">
        <v>58</v>
      </c>
      <c r="D113" s="23">
        <v>124594.66</v>
      </c>
      <c r="E113" s="23">
        <v>54900</v>
      </c>
      <c r="F113" s="23">
        <v>53388.72</v>
      </c>
      <c r="G113" s="24">
        <f t="shared" si="8"/>
        <v>0.42849926313053865</v>
      </c>
      <c r="H113" s="4" t="s">
        <v>59</v>
      </c>
      <c r="I113" s="2"/>
      <c r="J113" s="8"/>
      <c r="L113" s="2"/>
    </row>
    <row r="114" spans="2:12" ht="77.25" customHeight="1" x14ac:dyDescent="0.25">
      <c r="B114" s="21" t="s">
        <v>103</v>
      </c>
      <c r="C114" s="22" t="s">
        <v>65</v>
      </c>
      <c r="D114" s="23">
        <v>177411.36319999999</v>
      </c>
      <c r="E114" s="23">
        <v>77000</v>
      </c>
      <c r="F114" s="23">
        <v>28046.400000000001</v>
      </c>
      <c r="G114" s="24">
        <f>F114/D114</f>
        <v>0.15808682991958434</v>
      </c>
      <c r="H114" s="4" t="s">
        <v>101</v>
      </c>
      <c r="I114" s="2"/>
    </row>
    <row r="115" spans="2:12" ht="42.75" customHeight="1" x14ac:dyDescent="0.25">
      <c r="B115" s="21" t="s">
        <v>104</v>
      </c>
      <c r="C115" s="22" t="s">
        <v>107</v>
      </c>
      <c r="D115" s="23">
        <v>18000</v>
      </c>
      <c r="E115" s="23">
        <v>18000</v>
      </c>
      <c r="F115" s="23">
        <v>18000</v>
      </c>
      <c r="G115" s="24">
        <f t="shared" ref="G115" si="13">F115/D115</f>
        <v>1</v>
      </c>
      <c r="H115" s="4" t="s">
        <v>108</v>
      </c>
      <c r="I115" s="2"/>
    </row>
    <row r="116" spans="2:12" ht="42.75" customHeight="1" x14ac:dyDescent="0.25">
      <c r="B116" s="21" t="s">
        <v>105</v>
      </c>
      <c r="C116" s="22" t="s">
        <v>98</v>
      </c>
      <c r="D116" s="23">
        <v>6206.46</v>
      </c>
      <c r="E116" s="23">
        <v>6206.46</v>
      </c>
      <c r="F116" s="23">
        <v>0</v>
      </c>
      <c r="G116" s="24">
        <f t="shared" si="8"/>
        <v>0</v>
      </c>
      <c r="H116" s="4" t="s">
        <v>66</v>
      </c>
      <c r="I116" s="2"/>
    </row>
    <row r="117" spans="2:12" ht="51" customHeight="1" x14ac:dyDescent="0.25">
      <c r="B117" s="21" t="s">
        <v>105</v>
      </c>
      <c r="C117" s="22" t="s">
        <v>160</v>
      </c>
      <c r="D117" s="23">
        <f>17912+28235</f>
        <v>46147</v>
      </c>
      <c r="E117" s="23">
        <f>21658+17921</f>
        <v>39579</v>
      </c>
      <c r="F117" s="23">
        <f>17882.3+21639.85</f>
        <v>39522.149999999994</v>
      </c>
      <c r="G117" s="24">
        <f t="shared" ref="G117:G122" si="14">F117/D117</f>
        <v>0.85644028864281518</v>
      </c>
      <c r="H117" s="4" t="s">
        <v>100</v>
      </c>
      <c r="I117" s="2"/>
      <c r="J117" s="8"/>
    </row>
    <row r="118" spans="2:12" ht="62.25" customHeight="1" x14ac:dyDescent="0.25">
      <c r="B118" s="21" t="s">
        <v>106</v>
      </c>
      <c r="C118" s="22" t="s">
        <v>79</v>
      </c>
      <c r="D118" s="23">
        <v>492059.65</v>
      </c>
      <c r="E118" s="23">
        <v>207244</v>
      </c>
      <c r="F118" s="23">
        <v>104533.25</v>
      </c>
      <c r="G118" s="24">
        <f t="shared" si="14"/>
        <v>0.21244019906936079</v>
      </c>
      <c r="H118" s="4" t="s">
        <v>78</v>
      </c>
      <c r="I118" s="2"/>
    </row>
    <row r="119" spans="2:12" ht="57" customHeight="1" x14ac:dyDescent="0.25">
      <c r="B119" s="21" t="s">
        <v>131</v>
      </c>
      <c r="C119" s="22" t="s">
        <v>134</v>
      </c>
      <c r="D119" s="23">
        <v>10736</v>
      </c>
      <c r="E119" s="23">
        <v>10736</v>
      </c>
      <c r="F119" s="23">
        <v>10736</v>
      </c>
      <c r="G119" s="24">
        <f t="shared" si="14"/>
        <v>1</v>
      </c>
      <c r="H119" s="4" t="s">
        <v>141</v>
      </c>
      <c r="I119" s="2"/>
    </row>
    <row r="120" spans="2:12" ht="78" customHeight="1" x14ac:dyDescent="0.25">
      <c r="B120" s="21" t="s">
        <v>132</v>
      </c>
      <c r="C120" s="22" t="s">
        <v>155</v>
      </c>
      <c r="D120" s="23">
        <v>73006</v>
      </c>
      <c r="E120" s="23">
        <v>33168</v>
      </c>
      <c r="F120" s="23">
        <v>33168</v>
      </c>
      <c r="G120" s="24">
        <f t="shared" si="14"/>
        <v>0.45431882311042926</v>
      </c>
      <c r="H120" s="4" t="s">
        <v>133</v>
      </c>
      <c r="I120" s="2"/>
    </row>
    <row r="121" spans="2:12" ht="52.5" customHeight="1" x14ac:dyDescent="0.25">
      <c r="B121" s="21" t="s">
        <v>138</v>
      </c>
      <c r="C121" s="22" t="s">
        <v>140</v>
      </c>
      <c r="D121" s="23">
        <v>190190</v>
      </c>
      <c r="E121" s="23">
        <v>76330</v>
      </c>
      <c r="F121" s="23">
        <v>74686.179999999993</v>
      </c>
      <c r="G121" s="24">
        <f t="shared" si="14"/>
        <v>0.39269246542930752</v>
      </c>
      <c r="H121" s="4" t="s">
        <v>139</v>
      </c>
      <c r="I121" s="2"/>
    </row>
    <row r="122" spans="2:12" ht="48" customHeight="1" x14ac:dyDescent="0.25">
      <c r="B122" s="21" t="s">
        <v>142</v>
      </c>
      <c r="C122" s="22" t="s">
        <v>144</v>
      </c>
      <c r="D122" s="23">
        <v>223196</v>
      </c>
      <c r="E122" s="23">
        <v>53539</v>
      </c>
      <c r="F122" s="23">
        <v>48323.98</v>
      </c>
      <c r="G122" s="24">
        <f t="shared" si="14"/>
        <v>0.21650916683094681</v>
      </c>
      <c r="H122" s="4" t="s">
        <v>143</v>
      </c>
      <c r="I122" s="2"/>
    </row>
    <row r="123" spans="2:12" ht="60" customHeight="1" thickBot="1" x14ac:dyDescent="0.3">
      <c r="B123" s="27" t="s">
        <v>151</v>
      </c>
      <c r="C123" s="28" t="s">
        <v>159</v>
      </c>
      <c r="D123" s="29">
        <v>57600</v>
      </c>
      <c r="E123" s="29">
        <v>13599</v>
      </c>
      <c r="F123" s="29">
        <v>3635.9</v>
      </c>
      <c r="G123" s="30">
        <f t="shared" si="8"/>
        <v>6.3123263888888892E-2</v>
      </c>
      <c r="H123" s="4" t="s">
        <v>152</v>
      </c>
      <c r="I123" s="2"/>
    </row>
    <row r="124" spans="2:12" x14ac:dyDescent="0.25">
      <c r="F124" s="31"/>
    </row>
    <row r="125" spans="2:12" x14ac:dyDescent="0.25">
      <c r="J125" s="2"/>
      <c r="L125" s="2"/>
    </row>
    <row r="126" spans="2:12" x14ac:dyDescent="0.25">
      <c r="K126" s="2"/>
    </row>
    <row r="127" spans="2:12" x14ac:dyDescent="0.25">
      <c r="F127" s="31"/>
      <c r="G127" s="31"/>
    </row>
    <row r="128" spans="2:12" x14ac:dyDescent="0.25">
      <c r="J128" s="2"/>
    </row>
    <row r="129" spans="10:11" x14ac:dyDescent="0.25">
      <c r="K129" s="2"/>
    </row>
    <row r="130" spans="10:11" x14ac:dyDescent="0.25">
      <c r="J130" s="2"/>
      <c r="K130" s="2"/>
    </row>
  </sheetData>
  <autoFilter ref="B4:I123"/>
  <mergeCells count="15">
    <mergeCell ref="B55:B63"/>
    <mergeCell ref="B45:B46"/>
    <mergeCell ref="B48:B49"/>
    <mergeCell ref="B52:B53"/>
    <mergeCell ref="B11:B18"/>
    <mergeCell ref="B20:B25"/>
    <mergeCell ref="B27:B31"/>
    <mergeCell ref="B33:B36"/>
    <mergeCell ref="B38:B39"/>
    <mergeCell ref="B41:B43"/>
    <mergeCell ref="C2:C3"/>
    <mergeCell ref="B2:B3"/>
    <mergeCell ref="D2:D3"/>
    <mergeCell ref="G2:G3"/>
    <mergeCell ref="E2:F2"/>
  </mergeCells>
  <conditionalFormatting sqref="C4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/>
  <pageMargins left="0" right="0" top="0.5" bottom="0.25" header="0" footer="0"/>
  <pageSetup scale="79" fitToHeight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naerti</vt:lpstr>
      <vt:lpstr>naerti!Print_Area</vt:lpstr>
      <vt:lpstr>naerti!Print_Titles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2019-07-12T07:59:16Z</dcterms:modified>
</cp:coreProperties>
</file>