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8800" windowHeight="12300" activeTab="1"/>
  </bookViews>
  <sheets>
    <sheet name="01.04.2020" sheetId="3" r:id="rId1"/>
    <sheet name="დაფინანსება" sheetId="4" r:id="rId2"/>
  </sheets>
  <definedNames>
    <definedName name="_xlnm._FilterDatabase" localSheetId="0" hidden="1">'01.04.2020'!$A$1:$Q$1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4" l="1"/>
  <c r="G10" i="4"/>
  <c r="G14" i="4"/>
  <c r="G18" i="4"/>
  <c r="F6" i="4"/>
  <c r="F7" i="4"/>
  <c r="F8" i="4"/>
  <c r="F9" i="4"/>
  <c r="G9" i="4" s="1"/>
  <c r="F10" i="4"/>
  <c r="F11" i="4"/>
  <c r="F12" i="4"/>
  <c r="F13" i="4"/>
  <c r="F14" i="4"/>
  <c r="F15" i="4"/>
  <c r="F16" i="4"/>
  <c r="F17" i="4"/>
  <c r="F18" i="4"/>
  <c r="F19" i="4"/>
  <c r="F5" i="4"/>
  <c r="D19" i="4"/>
  <c r="G19" i="4" s="1"/>
  <c r="D18" i="4"/>
  <c r="D17" i="4"/>
  <c r="G17" i="4" s="1"/>
  <c r="D14" i="4"/>
  <c r="D15" i="4"/>
  <c r="G15" i="4" s="1"/>
  <c r="D16" i="4"/>
  <c r="G16" i="4" s="1"/>
  <c r="D13" i="4"/>
  <c r="G13" i="4" s="1"/>
  <c r="D12" i="4"/>
  <c r="G12" i="4" s="1"/>
  <c r="D11" i="4"/>
  <c r="G11" i="4" s="1"/>
  <c r="D10" i="4"/>
  <c r="D8" i="4"/>
  <c r="G8" i="4" s="1"/>
  <c r="D6" i="4"/>
  <c r="D7" i="4"/>
  <c r="G7" i="4" s="1"/>
  <c r="D5" i="4"/>
  <c r="G5" i="4" s="1"/>
  <c r="F3" i="4"/>
  <c r="F4" i="4"/>
  <c r="F2" i="4"/>
  <c r="D3" i="4"/>
  <c r="G3" i="4" s="1"/>
  <c r="D4" i="4"/>
  <c r="G4" i="4" s="1"/>
  <c r="D2" i="4"/>
  <c r="G2" i="4" s="1"/>
  <c r="G20" i="4" l="1"/>
  <c r="H20" i="4" s="1"/>
  <c r="H21" i="4" s="1"/>
  <c r="H22" i="4" s="1"/>
  <c r="I7" i="3"/>
  <c r="H7" i="3"/>
  <c r="G7" i="3"/>
  <c r="F7" i="3"/>
  <c r="H10" i="3"/>
  <c r="H20" i="3"/>
  <c r="H23" i="3"/>
  <c r="H27" i="3"/>
  <c r="I20" i="3"/>
  <c r="G20" i="3"/>
  <c r="F20" i="3"/>
  <c r="I10" i="3"/>
  <c r="I18" i="3"/>
  <c r="I23" i="3"/>
  <c r="I27" i="3"/>
  <c r="G10" i="3"/>
  <c r="F10" i="3"/>
  <c r="G18" i="3"/>
  <c r="F18" i="3"/>
  <c r="J18" i="3"/>
  <c r="G23" i="3"/>
  <c r="G27" i="3"/>
  <c r="F23" i="3"/>
  <c r="J14" i="3"/>
  <c r="J26" i="3"/>
  <c r="J25" i="3"/>
  <c r="J19" i="3"/>
  <c r="J21" i="3"/>
  <c r="J16" i="3"/>
  <c r="J13" i="3"/>
  <c r="J8" i="3"/>
  <c r="J6" i="3"/>
  <c r="J4" i="3"/>
  <c r="J3" i="3"/>
  <c r="J2" i="3"/>
  <c r="F27" i="3"/>
  <c r="J7" i="3"/>
  <c r="J20" i="3"/>
  <c r="J10" i="3"/>
  <c r="J23" i="3"/>
  <c r="P23" i="3"/>
  <c r="P21" i="3"/>
  <c r="P19" i="3"/>
  <c r="P18" i="3"/>
  <c r="P20" i="3"/>
  <c r="P16" i="3"/>
  <c r="P14" i="3"/>
  <c r="P13" i="3"/>
  <c r="P12" i="3"/>
  <c r="P10" i="3"/>
  <c r="P8" i="3"/>
  <c r="P7" i="3"/>
  <c r="P6" i="3"/>
  <c r="P4" i="3"/>
  <c r="P3" i="3"/>
  <c r="P2" i="3"/>
  <c r="J27" i="3"/>
</calcChain>
</file>

<file path=xl/sharedStrings.xml><?xml version="1.0" encoding="utf-8"?>
<sst xmlns="http://schemas.openxmlformats.org/spreadsheetml/2006/main" count="209" uniqueCount="103">
  <si>
    <t>N</t>
  </si>
  <si>
    <t>რეგიონი</t>
  </si>
  <si>
    <t>რაიონი/ქალაქი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</si>
  <si>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</si>
  <si>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</si>
  <si>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</si>
  <si>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</si>
  <si>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</si>
  <si>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კახეთი</t>
  </si>
  <si>
    <t>საგარეჯო</t>
  </si>
  <si>
    <t>შპს "ჯეო ჰოსპიტალს"</t>
  </si>
  <si>
    <t>საგარეჯო, კახეთის გზატკეცილი №13</t>
  </si>
  <si>
    <t>კერძო-მომგებიანი</t>
  </si>
  <si>
    <t>სახელმწიფო</t>
  </si>
  <si>
    <t>თელავი</t>
  </si>
  <si>
    <t>სს "ევექსის ჰოსპიტლები"</t>
  </si>
  <si>
    <t>ქ. თელავი, სეხნიაშვილის ქუჩა N1</t>
  </si>
  <si>
    <t>ლაგოდეხი</t>
  </si>
  <si>
    <t>შპს "არქიმედეს კლინიკა"</t>
  </si>
  <si>
    <t>ლაგოდეხი, 9 აპრილის ქუჩა</t>
  </si>
  <si>
    <t>შენიშვნა</t>
  </si>
  <si>
    <t>ცხელების კლინიკა</t>
  </si>
  <si>
    <t>ცხელების კლინიკა (ურგენტი- თბილისში)</t>
  </si>
  <si>
    <t>პაციენტების რაოდენობა</t>
  </si>
  <si>
    <t>დატვირთვა
%</t>
  </si>
  <si>
    <t>სამეგრელო და ზემო სვანეთი</t>
  </si>
  <si>
    <t>რუხი</t>
  </si>
  <si>
    <t>სოფ.რუხი</t>
  </si>
  <si>
    <t>იმერეთი</t>
  </si>
  <si>
    <t>ქუთაისი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</si>
  <si>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</si>
  <si>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</si>
  <si>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</si>
  <si>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</si>
  <si>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ჭიათურა</t>
  </si>
  <si>
    <t>ჭიათურა, გიორგი ჭანტურიას ქუჩა №20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</si>
  <si>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</si>
  <si>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</si>
  <si>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</si>
  <si>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</si>
  <si>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სენაკი</t>
  </si>
  <si>
    <t>სენაკი, რუსთაველის ქუჩა N110</t>
  </si>
  <si>
    <t>ფოთი</t>
  </si>
  <si>
    <t>ფოთი, გურიის ქუჩა N171</t>
  </si>
  <si>
    <t>ცხელების კლინიკა +კორონა</t>
  </si>
  <si>
    <t>სამცხე-ჯავახეთი</t>
  </si>
  <si>
    <t>ახალციხე</t>
  </si>
  <si>
    <t>შპს "ახალციხის კლინიკა იმედი"</t>
  </si>
  <si>
    <t>ახალციხე, ახალქალაქის გზატკეცილი ჩიხი N3</t>
  </si>
  <si>
    <t>ქვემო ქართლი</t>
  </si>
  <si>
    <t>რუსთავი</t>
  </si>
  <si>
    <t>ბოლნისი</t>
  </si>
  <si>
    <t>შპს "ბოლნისის ცენტრალური კლინიკა"</t>
  </si>
  <si>
    <t>ბოლნისი, დავით აღმაშენებლის ქუჩა N25</t>
  </si>
  <si>
    <t>სს "რუსთავის ბავშვთა საავადმყოფო"</t>
  </si>
  <si>
    <t>რუსთავი, წმინდა ნინოს ქუჩა №5</t>
  </si>
  <si>
    <t>ცხელების კლინიკა (პედიატრიული პროფილის)</t>
  </si>
  <si>
    <t>გარდაბანი</t>
  </si>
  <si>
    <t>გარდაბანი, ლესელიძის ქუჩა N1</t>
  </si>
  <si>
    <t>მარნეული</t>
  </si>
  <si>
    <t>მარნეული, ყოფილი სამხედრო ქალაქის ტერიტორია</t>
  </si>
  <si>
    <t>შიდა ქართლი</t>
  </si>
  <si>
    <t>ხაშური</t>
  </si>
  <si>
    <t>შპს "ახალი კლინიკა"</t>
  </si>
  <si>
    <t>ხაშური, რუსთაველის ქუჩა N40</t>
  </si>
  <si>
    <t>გია სანიკიძე</t>
  </si>
  <si>
    <t>ნონა ასათიანი</t>
  </si>
  <si>
    <t>ტატიანა შენგელაია</t>
  </si>
  <si>
    <t>ნატალია თოფურია</t>
  </si>
  <si>
    <t>ხათუნა ჭონიაშვილი</t>
  </si>
  <si>
    <t>ნიკოლოზ ყარალაშვილი</t>
  </si>
  <si>
    <t>დავით ჯიქია</t>
  </si>
  <si>
    <t>ნიკოლოზ ჭელიძე</t>
  </si>
  <si>
    <t>მარეხი ადანაია</t>
  </si>
  <si>
    <t>თეა მიგინეიშვილი</t>
  </si>
  <si>
    <t>საკონტაქტო პირი</t>
  </si>
  <si>
    <t>ტელ. #</t>
  </si>
  <si>
    <t>დავით მაისურაძე</t>
  </si>
  <si>
    <t>კახა ხელაძე</t>
  </si>
  <si>
    <t>გიორგი ხვედელიძე</t>
  </si>
  <si>
    <t>ლალი არველაძე</t>
  </si>
  <si>
    <t>დავით ბიწაძე</t>
  </si>
  <si>
    <t>თბილისი</t>
  </si>
  <si>
    <t>შპს ,,აკადემიკოს ნიკოლოზ ყიფშიძის სახელობის ცენტრალური საუნივერიტეტო კლინიკა"</t>
  </si>
  <si>
    <t>შპს ,,თბილისის ზღვის ჰოსპიტალი"</t>
  </si>
  <si>
    <t>დევი ტაბიძე</t>
  </si>
  <si>
    <t>კახა ბეროზაშვილი</t>
  </si>
  <si>
    <t>დასახლება ვარკეთილი 3, მეოთხე მიკრორაიონის მიმდებარედ, ნაკვეთი 14/430</t>
  </si>
  <si>
    <t>თბილისი, ვაჟა ფშაველას გამზირი #29</t>
  </si>
  <si>
    <t>მარტი</t>
  </si>
  <si>
    <t>აპრილი</t>
  </si>
  <si>
    <t>მაისი</t>
  </si>
  <si>
    <t>ივნისი</t>
  </si>
  <si>
    <t>ჯამი</t>
  </si>
  <si>
    <t>ქალაქი</t>
  </si>
  <si>
    <t>ობიექტი</t>
  </si>
  <si>
    <t>2019 წლის 4 თვის საშუალო</t>
  </si>
  <si>
    <t>საწოლფონდი</t>
  </si>
  <si>
    <t>მიმდინარე ქირაობის ღირებულება</t>
  </si>
  <si>
    <t>სხვაობა</t>
  </si>
  <si>
    <t>თვეში პაციენტი</t>
  </si>
  <si>
    <t>საშუალო ყველა კლინიკაზე</t>
  </si>
  <si>
    <t>ერთი პაციენტი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</si>
</sst>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8"/>
      <color theme="1"/>
      <name val="Sylfaen"/>
      <family val="2"/>
    </font>
    <font>
      <sz val="10"/>
      <name val="Arial Cyr"/>
      <charset val="204"/>
    </font>
    <font>
      <b/>
      <sz val="8"/>
      <name val="Arial Cyr"/>
      <charset val="204"/>
    </font>
    <font>
      <sz val="11"/>
      <color theme="1"/>
      <name val="Sylfaen"/>
      <family val="2"/>
    </font>
    <font>
      <b/>
      <sz val="8"/>
      <name val="Sylfaen"/>
      <family val="1"/>
    </font>
    <font>
      <sz val="10"/>
      <color theme="1"/>
      <name val="Calibri"/>
      <family val="2"/>
      <scheme val="minor"/>
    </font>
    <font>
      <sz val="9"/>
      <color theme="1"/>
      <name val="Sylfaen"/>
      <family val="1"/>
    </font>
    <font>
      <sz val="9"/>
      <color theme="1"/>
      <name val="Sylfaen"/>
      <family val="1"/>
      <charset val="204"/>
    </font>
    <font>
      <sz val="9"/>
      <name val="Sylfae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b/>
      <sz val="9"/>
      <name val="Arial Cyr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Sylfaen"/>
      <family val="2"/>
    </font>
    <font>
      <b/>
      <sz val="9"/>
      <color theme="1"/>
      <name val="Sylfaen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0" fillId="0" borderId="0"/>
    <xf numFmtId="0" fontId="22" fillId="0" borderId="0"/>
    <xf numFmtId="9" fontId="28" fillId="0" borderId="0" applyFont="0" applyFill="0" applyBorder="0" applyAlignment="0" applyProtection="0"/>
  </cellStyleXfs>
  <cellXfs count="85">
    <xf numFmtId="0" fontId="0" fillId="0" borderId="0" xfId="0"/>
    <xf numFmtId="0" fontId="21" fillId="0" borderId="1" xfId="44" applyNumberFormat="1" applyFont="1" applyBorder="1" applyAlignment="1">
      <alignment horizontal="center" vertical="center"/>
    </xf>
    <xf numFmtId="0" fontId="23" fillId="0" borderId="1" xfId="44" applyNumberFormat="1" applyFont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21" fillId="0" borderId="1" xfId="44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9" fontId="29" fillId="0" borderId="1" xfId="46" applyFont="1" applyBorder="1" applyAlignment="1">
      <alignment horizontal="center" vertical="center"/>
    </xf>
    <xf numFmtId="0" fontId="23" fillId="0" borderId="1" xfId="4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46" applyFont="1" applyBorder="1" applyAlignment="1">
      <alignment horizontal="center" vertical="center"/>
    </xf>
    <xf numFmtId="0" fontId="30" fillId="15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3" fillId="0" borderId="1" xfId="44" applyNumberFormat="1" applyFont="1" applyFill="1" applyBorder="1" applyAlignment="1">
      <alignment horizontal="center" vertical="center"/>
    </xf>
    <xf numFmtId="0" fontId="32" fillId="0" borderId="1" xfId="0" applyNumberFormat="1" applyFont="1" applyBorder="1" applyAlignment="1">
      <alignment vertical="center" wrapText="1"/>
    </xf>
    <xf numFmtId="0" fontId="32" fillId="15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1" fillId="34" borderId="1" xfId="0" applyFont="1" applyFill="1" applyBorder="1" applyAlignment="1">
      <alignment vertical="center" wrapText="1"/>
    </xf>
    <xf numFmtId="0" fontId="31" fillId="15" borderId="1" xfId="0" applyFont="1" applyFill="1" applyBorder="1" applyAlignment="1">
      <alignment vertical="center" wrapText="1"/>
    </xf>
    <xf numFmtId="0" fontId="23" fillId="0" borderId="1" xfId="44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25" fillId="33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9" fillId="1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  <xf numFmtId="9" fontId="0" fillId="0" borderId="1" xfId="46" applyFont="1" applyBorder="1" applyAlignment="1">
      <alignment horizontal="center"/>
    </xf>
    <xf numFmtId="0" fontId="30" fillId="10" borderId="1" xfId="0" applyFont="1" applyFill="1" applyBorder="1" applyAlignment="1">
      <alignment horizontal="center" vertical="center" wrapText="1"/>
    </xf>
    <xf numFmtId="9" fontId="30" fillId="10" borderId="1" xfId="46" applyFont="1" applyFill="1" applyBorder="1" applyAlignment="1">
      <alignment horizontal="center" vertical="center" wrapText="1"/>
    </xf>
    <xf numFmtId="0" fontId="0" fillId="10" borderId="1" xfId="0" applyFill="1" applyBorder="1"/>
    <xf numFmtId="0" fontId="19" fillId="33" borderId="1" xfId="0" applyFont="1" applyFill="1" applyBorder="1" applyAlignment="1">
      <alignment horizontal="center" vertical="center" wrapText="1"/>
    </xf>
    <xf numFmtId="0" fontId="19" fillId="33" borderId="1" xfId="0" applyFont="1" applyFill="1" applyBorder="1" applyAlignment="1">
      <alignment horizontal="left" vertical="center" wrapText="1"/>
    </xf>
    <xf numFmtId="0" fontId="19" fillId="33" borderId="1" xfId="0" applyNumberFormat="1" applyFont="1" applyFill="1" applyBorder="1" applyAlignment="1">
      <alignment horizontal="left" vertical="center" wrapText="1"/>
    </xf>
    <xf numFmtId="0" fontId="23" fillId="33" borderId="1" xfId="44" applyNumberFormat="1" applyFont="1" applyFill="1" applyBorder="1" applyAlignment="1">
      <alignment horizontal="center" vertical="center"/>
    </xf>
    <xf numFmtId="0" fontId="31" fillId="33" borderId="1" xfId="0" applyFont="1" applyFill="1" applyBorder="1" applyAlignment="1">
      <alignment vertical="center" wrapText="1"/>
    </xf>
    <xf numFmtId="0" fontId="0" fillId="33" borderId="1" xfId="0" applyFill="1" applyBorder="1" applyAlignment="1">
      <alignment horizontal="center" vertical="center"/>
    </xf>
    <xf numFmtId="9" fontId="0" fillId="33" borderId="1" xfId="46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/>
    </xf>
    <xf numFmtId="0" fontId="21" fillId="33" borderId="1" xfId="44" applyNumberFormat="1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9" fontId="29" fillId="33" borderId="1" xfId="46" applyFont="1" applyFill="1" applyBorder="1" applyAlignment="1">
      <alignment horizontal="center" vertical="center"/>
    </xf>
    <xf numFmtId="0" fontId="27" fillId="33" borderId="1" xfId="0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vertical="center" wrapText="1"/>
    </xf>
    <xf numFmtId="9" fontId="0" fillId="33" borderId="1" xfId="0" applyNumberForma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0" fillId="33" borderId="1" xfId="0" applyFill="1" applyBorder="1"/>
    <xf numFmtId="0" fontId="24" fillId="33" borderId="1" xfId="0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15" borderId="1" xfId="0" applyFont="1" applyFill="1" applyBorder="1" applyAlignment="1">
      <alignment horizontal="left" vertical="center" wrapText="1"/>
    </xf>
    <xf numFmtId="0" fontId="0" fillId="33" borderId="0" xfId="0" applyFill="1"/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" fontId="26" fillId="3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33" borderId="1" xfId="0" applyNumberFormat="1" applyFont="1" applyFill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4" fontId="0" fillId="33" borderId="0" xfId="0" applyNumberFormat="1" applyFill="1" applyAlignment="1">
      <alignment horizontal="right"/>
    </xf>
    <xf numFmtId="4" fontId="30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0" fontId="19" fillId="35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6" fillId="15" borderId="1" xfId="0" applyFont="1" applyFill="1" applyBorder="1" applyAlignment="1">
      <alignment horizontal="left" vertical="center" wrapText="1"/>
    </xf>
    <xf numFmtId="0" fontId="37" fillId="15" borderId="1" xfId="0" applyFont="1" applyFill="1" applyBorder="1" applyAlignment="1">
      <alignment vertical="center" wrapText="1"/>
    </xf>
    <xf numFmtId="0" fontId="31" fillId="15" borderId="1" xfId="0" applyFont="1" applyFill="1" applyBorder="1" applyAlignment="1">
      <alignment horizontal="left" vertical="center" wrapText="1"/>
    </xf>
    <xf numFmtId="0" fontId="36" fillId="35" borderId="1" xfId="0" applyFont="1" applyFill="1" applyBorder="1" applyAlignment="1">
      <alignment horizontal="left" vertical="center" wrapText="1"/>
    </xf>
    <xf numFmtId="164" fontId="34" fillId="0" borderId="1" xfId="0" applyNumberFormat="1" applyFont="1" applyBorder="1"/>
    <xf numFmtId="164" fontId="34" fillId="0" borderId="0" xfId="0" applyNumberFormat="1" applyFont="1"/>
    <xf numFmtId="164" fontId="39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0" xfId="0" applyFont="1"/>
    <xf numFmtId="164" fontId="40" fillId="34" borderId="1" xfId="0" applyNumberFormat="1" applyFont="1" applyFill="1" applyBorder="1"/>
    <xf numFmtId="164" fontId="38" fillId="34" borderId="1" xfId="0" applyNumberFormat="1" applyFont="1" applyFill="1" applyBorder="1"/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Percent" xfId="46" builtinId="5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F4" sqref="F4"/>
    </sheetView>
  </sheetViews>
  <sheetFormatPr defaultRowHeight="15" x14ac:dyDescent="0.25"/>
  <cols>
    <col min="1" max="1" width="5.42578125" customWidth="1"/>
    <col min="2" max="2" width="11.5703125" customWidth="1"/>
    <col min="4" max="4" width="10" bestFit="1" customWidth="1"/>
    <col min="5" max="5" width="29.7109375" customWidth="1"/>
    <col min="6" max="6" width="14.42578125" style="67" customWidth="1"/>
    <col min="7" max="7" width="14.7109375" style="67" customWidth="1"/>
    <col min="8" max="8" width="13.85546875" style="67" customWidth="1"/>
    <col min="9" max="10" width="14" style="67" customWidth="1"/>
    <col min="11" max="11" width="21.5703125" customWidth="1"/>
    <col min="12" max="12" width="10.85546875" customWidth="1"/>
    <col min="14" max="14" width="11" customWidth="1"/>
    <col min="16" max="16" width="9.5703125" customWidth="1"/>
    <col min="17" max="17" width="13.7109375" customWidth="1"/>
    <col min="18" max="18" width="16.28515625" customWidth="1"/>
    <col min="19" max="19" width="12.28515625" customWidth="1"/>
  </cols>
  <sheetData>
    <row r="1" spans="1:19" ht="5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0" t="s">
        <v>89</v>
      </c>
      <c r="G1" s="60" t="s">
        <v>90</v>
      </c>
      <c r="H1" s="60" t="s">
        <v>91</v>
      </c>
      <c r="I1" s="60" t="s">
        <v>92</v>
      </c>
      <c r="J1" s="60" t="s">
        <v>93</v>
      </c>
      <c r="K1" s="4" t="s">
        <v>5</v>
      </c>
      <c r="L1" s="4" t="s">
        <v>6</v>
      </c>
      <c r="M1" s="22" t="s">
        <v>7</v>
      </c>
      <c r="N1" s="50" t="s">
        <v>20</v>
      </c>
      <c r="O1" s="31" t="s">
        <v>23</v>
      </c>
      <c r="P1" s="32" t="s">
        <v>24</v>
      </c>
      <c r="Q1" s="33"/>
      <c r="R1" s="51" t="s">
        <v>75</v>
      </c>
      <c r="S1" s="51" t="s">
        <v>76</v>
      </c>
    </row>
    <row r="2" spans="1:19" ht="24" x14ac:dyDescent="0.25">
      <c r="A2" s="13">
        <v>1</v>
      </c>
      <c r="B2" s="25" t="s">
        <v>28</v>
      </c>
      <c r="C2" s="27" t="s">
        <v>29</v>
      </c>
      <c r="D2" s="24">
        <v>212685423</v>
      </c>
      <c r="E2" s="68" t="s">
        <v>30</v>
      </c>
      <c r="F2" s="61">
        <v>1066089.8400000001</v>
      </c>
      <c r="G2" s="61">
        <v>535292.15</v>
      </c>
      <c r="H2" s="61">
        <v>389625.71</v>
      </c>
      <c r="I2" s="61">
        <v>644482.01</v>
      </c>
      <c r="J2" s="61">
        <f>F2+G2+H2+I2</f>
        <v>2635489.71</v>
      </c>
      <c r="K2" s="23" t="s">
        <v>31</v>
      </c>
      <c r="L2" s="23" t="s">
        <v>12</v>
      </c>
      <c r="M2" s="2">
        <v>54</v>
      </c>
      <c r="N2" s="19" t="s">
        <v>21</v>
      </c>
      <c r="O2" s="10">
        <v>45</v>
      </c>
      <c r="P2" s="11">
        <f>O2/M2</f>
        <v>0.83333333333333337</v>
      </c>
      <c r="Q2" s="28"/>
      <c r="R2" s="48" t="s">
        <v>79</v>
      </c>
      <c r="S2" s="48">
        <v>577650077</v>
      </c>
    </row>
    <row r="3" spans="1:19" ht="33.75" x14ac:dyDescent="0.25">
      <c r="A3" s="13">
        <v>2</v>
      </c>
      <c r="B3" s="25" t="s">
        <v>28</v>
      </c>
      <c r="C3" s="27" t="s">
        <v>29</v>
      </c>
      <c r="D3" s="24">
        <v>212685414</v>
      </c>
      <c r="E3" s="68" t="s">
        <v>32</v>
      </c>
      <c r="F3" s="61">
        <v>181948.16</v>
      </c>
      <c r="G3" s="61">
        <v>197561.98</v>
      </c>
      <c r="H3" s="61">
        <v>64443.22</v>
      </c>
      <c r="I3" s="61">
        <v>241354.99</v>
      </c>
      <c r="J3" s="61">
        <f>F3+G3+H3+I3</f>
        <v>685308.35</v>
      </c>
      <c r="K3" s="23" t="s">
        <v>33</v>
      </c>
      <c r="L3" s="23" t="s">
        <v>12</v>
      </c>
      <c r="M3" s="2">
        <v>75</v>
      </c>
      <c r="N3" s="19" t="s">
        <v>21</v>
      </c>
      <c r="O3" s="10">
        <v>56</v>
      </c>
      <c r="P3" s="11">
        <f>O3/M3</f>
        <v>0.7466666666666667</v>
      </c>
      <c r="Q3" s="28"/>
      <c r="R3" s="48" t="s">
        <v>80</v>
      </c>
      <c r="S3" s="48">
        <v>555030143</v>
      </c>
    </row>
    <row r="4" spans="1:19" ht="24" x14ac:dyDescent="0.25">
      <c r="A4" s="13">
        <v>3</v>
      </c>
      <c r="B4" s="25" t="s">
        <v>28</v>
      </c>
      <c r="C4" s="27" t="s">
        <v>34</v>
      </c>
      <c r="D4" s="24">
        <v>404907730</v>
      </c>
      <c r="E4" s="68" t="s">
        <v>10</v>
      </c>
      <c r="F4" s="62">
        <v>141353.59</v>
      </c>
      <c r="G4" s="62">
        <v>137620.13</v>
      </c>
      <c r="H4" s="62">
        <v>209837.51</v>
      </c>
      <c r="I4" s="62">
        <v>104887.14</v>
      </c>
      <c r="J4" s="61">
        <f>F4+G4+H4+I4</f>
        <v>593698.37</v>
      </c>
      <c r="K4" s="23" t="s">
        <v>35</v>
      </c>
      <c r="L4" s="23" t="s">
        <v>12</v>
      </c>
      <c r="M4" s="9">
        <v>34</v>
      </c>
      <c r="N4" s="19" t="s">
        <v>21</v>
      </c>
      <c r="O4" s="10">
        <v>28</v>
      </c>
      <c r="P4" s="11">
        <f>O4/M4</f>
        <v>0.82352941176470584</v>
      </c>
      <c r="Q4" s="28"/>
      <c r="R4" s="48" t="s">
        <v>81</v>
      </c>
      <c r="S4" s="48">
        <v>577090810</v>
      </c>
    </row>
    <row r="5" spans="1:19" ht="6.75" customHeight="1" x14ac:dyDescent="0.25">
      <c r="A5" s="34"/>
      <c r="B5" s="35"/>
      <c r="C5" s="35"/>
      <c r="D5" s="36"/>
      <c r="E5" s="35"/>
      <c r="F5" s="63"/>
      <c r="G5" s="63"/>
      <c r="H5" s="63"/>
      <c r="I5" s="63"/>
      <c r="J5" s="63"/>
      <c r="K5" s="35"/>
      <c r="L5" s="35"/>
      <c r="M5" s="37"/>
      <c r="N5" s="38"/>
      <c r="O5" s="39"/>
      <c r="P5" s="40"/>
      <c r="Q5" s="41"/>
      <c r="R5" s="49"/>
      <c r="S5" s="49"/>
    </row>
    <row r="6" spans="1:19" ht="24" x14ac:dyDescent="0.25">
      <c r="A6" s="13">
        <v>4</v>
      </c>
      <c r="B6" s="25" t="s">
        <v>8</v>
      </c>
      <c r="C6" s="27" t="s">
        <v>14</v>
      </c>
      <c r="D6" s="5">
        <v>404476205</v>
      </c>
      <c r="E6" s="68" t="s">
        <v>15</v>
      </c>
      <c r="F6" s="61">
        <v>151674.21</v>
      </c>
      <c r="G6" s="61">
        <v>43056.66</v>
      </c>
      <c r="H6" s="61">
        <v>292340.95</v>
      </c>
      <c r="I6" s="61">
        <v>430245.44</v>
      </c>
      <c r="J6" s="61">
        <f t="shared" ref="J6:J8" si="0">F6+G6+H6+I6</f>
        <v>917317.26</v>
      </c>
      <c r="K6" s="25" t="s">
        <v>16</v>
      </c>
      <c r="L6" s="25" t="s">
        <v>12</v>
      </c>
      <c r="M6" s="6">
        <v>69</v>
      </c>
      <c r="N6" s="19" t="s">
        <v>21</v>
      </c>
      <c r="O6" s="7">
        <v>11</v>
      </c>
      <c r="P6" s="8">
        <f>O6/M6</f>
        <v>0.15942028985507245</v>
      </c>
      <c r="Q6" s="28"/>
      <c r="R6" s="48" t="s">
        <v>69</v>
      </c>
      <c r="S6" s="48">
        <v>551506763</v>
      </c>
    </row>
    <row r="7" spans="1:19" ht="24" x14ac:dyDescent="0.25">
      <c r="A7" s="13">
        <v>5</v>
      </c>
      <c r="B7" s="25" t="s">
        <v>8</v>
      </c>
      <c r="C7" s="27" t="s">
        <v>17</v>
      </c>
      <c r="D7" s="5">
        <v>404869567</v>
      </c>
      <c r="E7" s="68" t="s">
        <v>18</v>
      </c>
      <c r="F7" s="61">
        <f>11900+7762.22+464026.78</f>
        <v>483689</v>
      </c>
      <c r="G7" s="61">
        <f>11900+6280.45+375700.93</f>
        <v>393881.38</v>
      </c>
      <c r="H7" s="61">
        <f>11900+7824.93+564149.6</f>
        <v>583874.53</v>
      </c>
      <c r="I7" s="61">
        <f>11900+8370.08+521159.09</f>
        <v>541429.17000000004</v>
      </c>
      <c r="J7" s="61">
        <f t="shared" si="0"/>
        <v>2002874.08</v>
      </c>
      <c r="K7" s="23" t="s">
        <v>19</v>
      </c>
      <c r="L7" s="23" t="s">
        <v>12</v>
      </c>
      <c r="M7" s="6">
        <v>27</v>
      </c>
      <c r="N7" s="19" t="s">
        <v>21</v>
      </c>
      <c r="O7" s="7">
        <v>4</v>
      </c>
      <c r="P7" s="8">
        <f>O7/M7</f>
        <v>0.14814814814814814</v>
      </c>
      <c r="Q7" s="28"/>
      <c r="R7" s="48" t="s">
        <v>70</v>
      </c>
      <c r="S7" s="48">
        <v>577907008</v>
      </c>
    </row>
    <row r="8" spans="1:19" ht="51" x14ac:dyDescent="0.25">
      <c r="A8" s="13">
        <v>6</v>
      </c>
      <c r="B8" s="25" t="s">
        <v>8</v>
      </c>
      <c r="C8" s="27" t="s">
        <v>9</v>
      </c>
      <c r="D8" s="5">
        <v>404907730</v>
      </c>
      <c r="E8" s="68" t="s">
        <v>10</v>
      </c>
      <c r="F8" s="61">
        <v>232557.06</v>
      </c>
      <c r="G8" s="61">
        <v>212466.98</v>
      </c>
      <c r="H8" s="61">
        <v>326233.34000000003</v>
      </c>
      <c r="I8" s="61">
        <v>225451.66</v>
      </c>
      <c r="J8" s="61">
        <f t="shared" si="0"/>
        <v>996709.04000000015</v>
      </c>
      <c r="K8" s="23" t="s">
        <v>11</v>
      </c>
      <c r="L8" s="23" t="s">
        <v>12</v>
      </c>
      <c r="M8" s="6">
        <v>52</v>
      </c>
      <c r="N8" s="19" t="s">
        <v>21</v>
      </c>
      <c r="O8" s="7">
        <v>1</v>
      </c>
      <c r="P8" s="8">
        <f>O8/M8</f>
        <v>1.9230769230769232E-2</v>
      </c>
      <c r="Q8" s="29" t="s">
        <v>22</v>
      </c>
      <c r="R8" s="48" t="s">
        <v>71</v>
      </c>
      <c r="S8" s="48">
        <v>599141813</v>
      </c>
    </row>
    <row r="9" spans="1:19" ht="9" customHeight="1" x14ac:dyDescent="0.25">
      <c r="A9" s="34"/>
      <c r="B9" s="35"/>
      <c r="C9" s="35"/>
      <c r="D9" s="36"/>
      <c r="E9" s="35"/>
      <c r="F9" s="63"/>
      <c r="G9" s="63"/>
      <c r="H9" s="63"/>
      <c r="I9" s="63"/>
      <c r="J9" s="63"/>
      <c r="K9" s="35"/>
      <c r="L9" s="35"/>
      <c r="M9" s="42"/>
      <c r="N9" s="38"/>
      <c r="O9" s="43"/>
      <c r="P9" s="44"/>
      <c r="Q9" s="45"/>
      <c r="R9" s="49"/>
      <c r="S9" s="49"/>
    </row>
    <row r="10" spans="1:19" ht="24" x14ac:dyDescent="0.25">
      <c r="A10" s="13">
        <v>7</v>
      </c>
      <c r="B10" s="23" t="s">
        <v>36</v>
      </c>
      <c r="C10" s="27" t="s">
        <v>37</v>
      </c>
      <c r="D10" s="24">
        <v>401993508</v>
      </c>
      <c r="E10" s="25" t="s">
        <v>38</v>
      </c>
      <c r="F10" s="61">
        <f>174+287257.91</f>
        <v>287431.90999999997</v>
      </c>
      <c r="G10" s="61">
        <f>187+320396.82</f>
        <v>320583.82</v>
      </c>
      <c r="H10" s="61">
        <f>157+359888.25</f>
        <v>360045.25</v>
      </c>
      <c r="I10" s="61">
        <f>421+357101.23</f>
        <v>357522.23</v>
      </c>
      <c r="J10" s="61">
        <f>F10+G10+H10+I10</f>
        <v>1325583.21</v>
      </c>
      <c r="K10" s="23" t="s">
        <v>39</v>
      </c>
      <c r="L10" s="23" t="s">
        <v>12</v>
      </c>
      <c r="M10" s="1">
        <v>86</v>
      </c>
      <c r="N10" s="19" t="s">
        <v>21</v>
      </c>
      <c r="O10" s="10">
        <v>21</v>
      </c>
      <c r="P10" s="11">
        <f>O10/M10</f>
        <v>0.2441860465116279</v>
      </c>
      <c r="Q10" s="28"/>
      <c r="R10" s="48" t="s">
        <v>72</v>
      </c>
      <c r="S10" s="48">
        <v>577141194</v>
      </c>
    </row>
    <row r="11" spans="1:19" ht="6.75" customHeight="1" x14ac:dyDescent="0.25">
      <c r="A11" s="34"/>
      <c r="B11" s="35"/>
      <c r="C11" s="35"/>
      <c r="D11" s="36"/>
      <c r="E11" s="35"/>
      <c r="F11" s="63"/>
      <c r="G11" s="63"/>
      <c r="H11" s="63"/>
      <c r="I11" s="63"/>
      <c r="J11" s="63"/>
      <c r="K11" s="35"/>
      <c r="L11" s="35"/>
      <c r="M11" s="42"/>
      <c r="N11" s="38"/>
      <c r="O11" s="39"/>
      <c r="P11" s="40"/>
      <c r="Q11" s="41"/>
      <c r="R11" s="49"/>
      <c r="S11" s="49"/>
    </row>
    <row r="12" spans="1:19" ht="33.75" x14ac:dyDescent="0.25">
      <c r="A12" s="13">
        <v>8</v>
      </c>
      <c r="B12" s="23" t="s">
        <v>25</v>
      </c>
      <c r="C12" s="27" t="s">
        <v>26</v>
      </c>
      <c r="D12" s="24"/>
      <c r="E12" s="68" t="s">
        <v>26</v>
      </c>
      <c r="F12" s="61"/>
      <c r="G12" s="61"/>
      <c r="H12" s="61"/>
      <c r="I12" s="61"/>
      <c r="J12" s="61"/>
      <c r="K12" s="23" t="s">
        <v>27</v>
      </c>
      <c r="L12" s="23" t="s">
        <v>13</v>
      </c>
      <c r="M12" s="2">
        <v>100</v>
      </c>
      <c r="N12" s="19" t="s">
        <v>21</v>
      </c>
      <c r="O12" s="26"/>
      <c r="P12" s="30">
        <f>O12/M12</f>
        <v>0</v>
      </c>
      <c r="Q12" s="28"/>
      <c r="R12" s="49"/>
      <c r="S12" s="49"/>
    </row>
    <row r="13" spans="1:19" ht="33.75" x14ac:dyDescent="0.25">
      <c r="A13" s="13">
        <v>9</v>
      </c>
      <c r="B13" s="23" t="s">
        <v>25</v>
      </c>
      <c r="C13" s="27" t="s">
        <v>40</v>
      </c>
      <c r="D13" s="24">
        <v>404869567</v>
      </c>
      <c r="E13" s="68" t="s">
        <v>18</v>
      </c>
      <c r="F13" s="61">
        <v>330922.28999999998</v>
      </c>
      <c r="G13" s="61">
        <v>14387.6</v>
      </c>
      <c r="H13" s="61">
        <v>268999.34999999998</v>
      </c>
      <c r="I13" s="61">
        <v>206745.16</v>
      </c>
      <c r="J13" s="61">
        <f>F13+G13+H13+I13</f>
        <v>821054.4</v>
      </c>
      <c r="K13" s="23" t="s">
        <v>41</v>
      </c>
      <c r="L13" s="23" t="s">
        <v>12</v>
      </c>
      <c r="M13" s="2">
        <v>27</v>
      </c>
      <c r="N13" s="19" t="s">
        <v>21</v>
      </c>
      <c r="O13" s="10">
        <v>16</v>
      </c>
      <c r="P13" s="11">
        <f>O13/M13</f>
        <v>0.59259259259259256</v>
      </c>
      <c r="Q13" s="28"/>
      <c r="R13" s="48" t="s">
        <v>73</v>
      </c>
      <c r="S13" s="48">
        <v>577907054</v>
      </c>
    </row>
    <row r="14" spans="1:19" ht="36" x14ac:dyDescent="0.25">
      <c r="A14" s="13">
        <v>10</v>
      </c>
      <c r="B14" s="23" t="s">
        <v>25</v>
      </c>
      <c r="C14" s="27" t="s">
        <v>42</v>
      </c>
      <c r="D14" s="24">
        <v>404476205</v>
      </c>
      <c r="E14" s="68" t="s">
        <v>15</v>
      </c>
      <c r="F14" s="61"/>
      <c r="G14" s="61">
        <v>85509.53</v>
      </c>
      <c r="H14" s="61">
        <v>315634.07</v>
      </c>
      <c r="I14" s="61"/>
      <c r="J14" s="61">
        <f>F14+G14+H14+I14</f>
        <v>401143.6</v>
      </c>
      <c r="K14" s="23" t="s">
        <v>43</v>
      </c>
      <c r="L14" s="23" t="s">
        <v>12</v>
      </c>
      <c r="M14" s="2">
        <v>34</v>
      </c>
      <c r="N14" s="12" t="s">
        <v>44</v>
      </c>
      <c r="O14" s="10">
        <v>12</v>
      </c>
      <c r="P14" s="11">
        <f>O14/M14</f>
        <v>0.35294117647058826</v>
      </c>
      <c r="Q14" s="28"/>
      <c r="R14" s="48" t="s">
        <v>74</v>
      </c>
      <c r="S14" s="48">
        <v>593368525</v>
      </c>
    </row>
    <row r="15" spans="1:19" ht="8.25" customHeight="1" x14ac:dyDescent="0.25">
      <c r="A15" s="34"/>
      <c r="B15" s="35"/>
      <c r="C15" s="35"/>
      <c r="D15" s="36"/>
      <c r="E15" s="35"/>
      <c r="F15" s="63"/>
      <c r="G15" s="63"/>
      <c r="H15" s="63"/>
      <c r="I15" s="63"/>
      <c r="J15" s="63"/>
      <c r="K15" s="35"/>
      <c r="L15" s="35"/>
      <c r="M15" s="37"/>
      <c r="N15" s="46"/>
      <c r="O15" s="39"/>
      <c r="P15" s="40"/>
      <c r="Q15" s="41"/>
      <c r="R15" s="49"/>
      <c r="S15" s="49"/>
    </row>
    <row r="16" spans="1:19" ht="24" x14ac:dyDescent="0.25">
      <c r="A16" s="13">
        <v>11</v>
      </c>
      <c r="B16" s="25" t="s">
        <v>45</v>
      </c>
      <c r="C16" s="27" t="s">
        <v>46</v>
      </c>
      <c r="D16" s="5">
        <v>424067306</v>
      </c>
      <c r="E16" s="25" t="s">
        <v>47</v>
      </c>
      <c r="F16" s="61">
        <v>217696.55</v>
      </c>
      <c r="G16" s="61">
        <v>303194.99</v>
      </c>
      <c r="H16" s="61">
        <v>192102.61</v>
      </c>
      <c r="I16" s="61">
        <v>178456.47</v>
      </c>
      <c r="J16" s="61">
        <f>F16+G16+H16+I16</f>
        <v>891450.61999999988</v>
      </c>
      <c r="K16" s="25" t="s">
        <v>48</v>
      </c>
      <c r="L16" s="25" t="s">
        <v>12</v>
      </c>
      <c r="M16" s="6">
        <v>45</v>
      </c>
      <c r="N16" s="19" t="s">
        <v>21</v>
      </c>
      <c r="O16" s="10">
        <v>16</v>
      </c>
      <c r="P16" s="11">
        <f>O16/M16</f>
        <v>0.35555555555555557</v>
      </c>
      <c r="Q16" s="28"/>
      <c r="R16" s="48" t="s">
        <v>77</v>
      </c>
      <c r="S16" s="48">
        <v>593360367</v>
      </c>
    </row>
    <row r="17" spans="1:19" ht="8.25" customHeight="1" x14ac:dyDescent="0.25">
      <c r="A17" s="34"/>
      <c r="B17" s="35"/>
      <c r="C17" s="35"/>
      <c r="D17" s="36"/>
      <c r="E17" s="35"/>
      <c r="F17" s="63"/>
      <c r="G17" s="63"/>
      <c r="H17" s="63"/>
      <c r="I17" s="63"/>
      <c r="J17" s="63"/>
      <c r="K17" s="35"/>
      <c r="L17" s="35"/>
      <c r="M17" s="42"/>
      <c r="N17" s="38"/>
      <c r="O17" s="39"/>
      <c r="P17" s="40"/>
      <c r="Q17" s="41"/>
      <c r="R17" s="49"/>
      <c r="S17" s="49"/>
    </row>
    <row r="18" spans="1:19" ht="24" x14ac:dyDescent="0.25">
      <c r="A18" s="13">
        <v>12</v>
      </c>
      <c r="B18" s="23" t="s">
        <v>49</v>
      </c>
      <c r="C18" s="27" t="s">
        <v>51</v>
      </c>
      <c r="D18" s="5">
        <v>225368330</v>
      </c>
      <c r="E18" s="25" t="s">
        <v>52</v>
      </c>
      <c r="F18" s="61">
        <f>2449.71+257083.13</f>
        <v>259532.84</v>
      </c>
      <c r="G18" s="61">
        <f>3188.7+299712.6</f>
        <v>302901.3</v>
      </c>
      <c r="H18" s="61">
        <v>2998.6</v>
      </c>
      <c r="I18" s="61">
        <f>3545.13+348798.42</f>
        <v>352343.55</v>
      </c>
      <c r="J18" s="61">
        <f>F18+G18+H18+I18</f>
        <v>917776.29</v>
      </c>
      <c r="K18" s="23" t="s">
        <v>53</v>
      </c>
      <c r="L18" s="23" t="s">
        <v>12</v>
      </c>
      <c r="M18" s="9">
        <v>83</v>
      </c>
      <c r="N18" s="19" t="s">
        <v>21</v>
      </c>
      <c r="O18" s="10">
        <v>38</v>
      </c>
      <c r="P18" s="21">
        <f>O18/M18</f>
        <v>0.45783132530120479</v>
      </c>
      <c r="Q18" s="28"/>
      <c r="R18" s="48" t="s">
        <v>65</v>
      </c>
      <c r="S18" s="48">
        <v>599532042</v>
      </c>
    </row>
    <row r="19" spans="1:19" ht="24" x14ac:dyDescent="0.25">
      <c r="A19" s="13">
        <v>13</v>
      </c>
      <c r="B19" s="23" t="s">
        <v>49</v>
      </c>
      <c r="C19" s="27" t="s">
        <v>57</v>
      </c>
      <c r="D19" s="5">
        <v>404907730</v>
      </c>
      <c r="E19" s="68" t="s">
        <v>10</v>
      </c>
      <c r="F19" s="61">
        <v>127078.17</v>
      </c>
      <c r="G19" s="61">
        <v>396</v>
      </c>
      <c r="H19" s="61">
        <v>203817.52</v>
      </c>
      <c r="I19" s="61">
        <v>128907.82</v>
      </c>
      <c r="J19" s="61">
        <f t="shared" ref="J19:J21" si="1">F19+G19+H19+I19</f>
        <v>460199.51</v>
      </c>
      <c r="K19" s="25" t="s">
        <v>58</v>
      </c>
      <c r="L19" s="25" t="s">
        <v>12</v>
      </c>
      <c r="M19" s="9">
        <v>41</v>
      </c>
      <c r="N19" s="19" t="s">
        <v>21</v>
      </c>
      <c r="O19" s="10">
        <v>15</v>
      </c>
      <c r="P19" s="21">
        <f>O19/M19</f>
        <v>0.36585365853658536</v>
      </c>
      <c r="Q19" s="28"/>
      <c r="R19" s="48" t="s">
        <v>66</v>
      </c>
      <c r="S19" s="48">
        <v>577141431</v>
      </c>
    </row>
    <row r="20" spans="1:19" ht="33.75" x14ac:dyDescent="0.25">
      <c r="A20" s="13">
        <v>14</v>
      </c>
      <c r="B20" s="25" t="s">
        <v>49</v>
      </c>
      <c r="C20" s="27" t="s">
        <v>59</v>
      </c>
      <c r="D20" s="5">
        <v>404907730</v>
      </c>
      <c r="E20" s="68" t="s">
        <v>10</v>
      </c>
      <c r="F20" s="61">
        <f>5945+523608.89</f>
        <v>529553.89</v>
      </c>
      <c r="G20" s="61">
        <f>6204+24300</f>
        <v>30504</v>
      </c>
      <c r="H20" s="61">
        <f>5883+657383.93</f>
        <v>663266.93000000005</v>
      </c>
      <c r="I20" s="61">
        <f>6606+363339.34</f>
        <v>369945.34</v>
      </c>
      <c r="J20" s="61">
        <f t="shared" si="1"/>
        <v>1593270.1600000001</v>
      </c>
      <c r="K20" s="25" t="s">
        <v>60</v>
      </c>
      <c r="L20" s="25" t="s">
        <v>12</v>
      </c>
      <c r="M20" s="20">
        <v>72</v>
      </c>
      <c r="N20" s="18" t="s">
        <v>21</v>
      </c>
      <c r="O20" s="10">
        <v>29</v>
      </c>
      <c r="P20" s="21">
        <f>O20/M20</f>
        <v>0.40277777777777779</v>
      </c>
      <c r="Q20" s="28"/>
      <c r="R20" s="48" t="s">
        <v>67</v>
      </c>
      <c r="S20" s="48">
        <v>599714181</v>
      </c>
    </row>
    <row r="21" spans="1:19" ht="51" x14ac:dyDescent="0.25">
      <c r="A21" s="13">
        <v>15</v>
      </c>
      <c r="B21" s="23" t="s">
        <v>49</v>
      </c>
      <c r="C21" s="27" t="s">
        <v>50</v>
      </c>
      <c r="D21" s="5">
        <v>216315681</v>
      </c>
      <c r="E21" s="25" t="s">
        <v>54</v>
      </c>
      <c r="F21" s="61">
        <v>52506.44</v>
      </c>
      <c r="G21" s="61">
        <v>80462.73</v>
      </c>
      <c r="H21" s="61"/>
      <c r="I21" s="61">
        <v>87744.9</v>
      </c>
      <c r="J21" s="61">
        <f t="shared" si="1"/>
        <v>220714.06999999998</v>
      </c>
      <c r="K21" s="23" t="s">
        <v>55</v>
      </c>
      <c r="L21" s="23" t="s">
        <v>12</v>
      </c>
      <c r="M21" s="9">
        <v>65</v>
      </c>
      <c r="N21" s="19" t="s">
        <v>21</v>
      </c>
      <c r="O21" s="10">
        <v>2</v>
      </c>
      <c r="P21" s="21">
        <f>O21/M21</f>
        <v>3.0769230769230771E-2</v>
      </c>
      <c r="Q21" s="29" t="s">
        <v>56</v>
      </c>
      <c r="R21" s="48" t="s">
        <v>68</v>
      </c>
      <c r="S21" s="48">
        <v>599102122</v>
      </c>
    </row>
    <row r="22" spans="1:19" ht="9" customHeight="1" x14ac:dyDescent="0.25">
      <c r="A22" s="34"/>
      <c r="B22" s="35"/>
      <c r="C22" s="35"/>
      <c r="D22" s="36"/>
      <c r="E22" s="35"/>
      <c r="F22" s="63"/>
      <c r="G22" s="63"/>
      <c r="H22" s="63"/>
      <c r="I22" s="63"/>
      <c r="J22" s="63"/>
      <c r="K22" s="35"/>
      <c r="L22" s="35"/>
      <c r="M22" s="37"/>
      <c r="N22" s="38"/>
      <c r="O22" s="39"/>
      <c r="P22" s="47"/>
      <c r="Q22" s="45"/>
      <c r="R22" s="49"/>
      <c r="S22" s="49"/>
    </row>
    <row r="23" spans="1:19" ht="25.5" x14ac:dyDescent="0.25">
      <c r="A23" s="13">
        <v>16</v>
      </c>
      <c r="B23" s="17" t="s">
        <v>61</v>
      </c>
      <c r="C23" s="16" t="s">
        <v>62</v>
      </c>
      <c r="D23" s="15">
        <v>404980231</v>
      </c>
      <c r="E23" s="17" t="s">
        <v>63</v>
      </c>
      <c r="F23" s="64">
        <f>1020.21+268611.55</f>
        <v>269631.76</v>
      </c>
      <c r="G23" s="64">
        <f>2735.42+259731.29</f>
        <v>262466.71000000002</v>
      </c>
      <c r="H23" s="64">
        <f>2665.67+360925.5</f>
        <v>363591.17</v>
      </c>
      <c r="I23" s="64">
        <f>222990</f>
        <v>222990</v>
      </c>
      <c r="J23" s="64">
        <f>F23+G23+H23+I23</f>
        <v>1118679.6399999999</v>
      </c>
      <c r="K23" s="17" t="s">
        <v>64</v>
      </c>
      <c r="L23" s="17" t="s">
        <v>12</v>
      </c>
      <c r="M23" s="14">
        <v>59</v>
      </c>
      <c r="N23" s="19" t="s">
        <v>21</v>
      </c>
      <c r="O23" s="10">
        <v>31</v>
      </c>
      <c r="P23" s="11">
        <f>O23/M23</f>
        <v>0.52542372881355937</v>
      </c>
      <c r="Q23" s="28"/>
      <c r="R23" s="48" t="s">
        <v>78</v>
      </c>
      <c r="S23" s="48">
        <v>591553355</v>
      </c>
    </row>
    <row r="24" spans="1:19" ht="9" customHeight="1" x14ac:dyDescent="0.25">
      <c r="A24" s="55"/>
      <c r="B24" s="55"/>
      <c r="C24" s="55"/>
      <c r="D24" s="55"/>
      <c r="E24" s="55"/>
      <c r="F24" s="65"/>
      <c r="G24" s="65"/>
      <c r="H24" s="65"/>
      <c r="I24" s="65"/>
      <c r="J24" s="6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48" x14ac:dyDescent="0.25">
      <c r="A25" s="52">
        <v>17</v>
      </c>
      <c r="B25" s="53" t="s">
        <v>82</v>
      </c>
      <c r="C25" s="54" t="s">
        <v>82</v>
      </c>
      <c r="D25" s="53">
        <v>205165453</v>
      </c>
      <c r="E25" s="53" t="s">
        <v>83</v>
      </c>
      <c r="F25" s="66">
        <v>681030.12</v>
      </c>
      <c r="G25" s="66">
        <v>641014.85</v>
      </c>
      <c r="H25" s="66">
        <v>381532.99</v>
      </c>
      <c r="I25" s="66">
        <v>612820.56999999995</v>
      </c>
      <c r="J25" s="66">
        <f>F25+G25+H25+I25</f>
        <v>2316398.5299999998</v>
      </c>
      <c r="K25" s="53" t="s">
        <v>88</v>
      </c>
      <c r="L25" s="53" t="s">
        <v>13</v>
      </c>
      <c r="M25" s="59">
        <v>90</v>
      </c>
      <c r="N25" s="19" t="s">
        <v>21</v>
      </c>
      <c r="O25" s="53"/>
      <c r="P25" s="53"/>
      <c r="Q25" s="53"/>
      <c r="R25" s="53" t="s">
        <v>85</v>
      </c>
      <c r="S25" s="57">
        <v>577288844</v>
      </c>
    </row>
    <row r="26" spans="1:19" ht="45.75" customHeight="1" x14ac:dyDescent="0.25">
      <c r="A26" s="56">
        <v>18</v>
      </c>
      <c r="B26" s="53" t="s">
        <v>82</v>
      </c>
      <c r="C26" s="54" t="s">
        <v>82</v>
      </c>
      <c r="D26" s="53">
        <v>400115362</v>
      </c>
      <c r="E26" s="53" t="s">
        <v>84</v>
      </c>
      <c r="F26" s="66">
        <v>688959.53</v>
      </c>
      <c r="G26" s="66">
        <v>535447.86</v>
      </c>
      <c r="H26" s="66">
        <v>413768.14</v>
      </c>
      <c r="I26" s="66">
        <v>762768.03</v>
      </c>
      <c r="J26" s="66">
        <f>F26+G26+H26+I26</f>
        <v>2400943.5600000005</v>
      </c>
      <c r="K26" s="53" t="s">
        <v>87</v>
      </c>
      <c r="L26" s="17" t="s">
        <v>12</v>
      </c>
      <c r="M26" s="58">
        <v>90</v>
      </c>
      <c r="N26" s="19" t="s">
        <v>21</v>
      </c>
      <c r="O26" s="53"/>
      <c r="P26" s="53"/>
      <c r="Q26" s="53"/>
      <c r="R26" s="53" t="s">
        <v>86</v>
      </c>
      <c r="S26" s="57">
        <v>595308600</v>
      </c>
    </row>
    <row r="27" spans="1:19" ht="27" customHeight="1" x14ac:dyDescent="0.25">
      <c r="F27" s="67">
        <f>SUM(F2:F26)</f>
        <v>5701655.3600000003</v>
      </c>
      <c r="G27" s="67">
        <f t="shared" ref="G27:J27" si="2">SUM(G2:G26)</f>
        <v>4096748.67</v>
      </c>
      <c r="H27" s="67">
        <f t="shared" si="2"/>
        <v>5032111.8900000006</v>
      </c>
      <c r="I27" s="67">
        <f t="shared" si="2"/>
        <v>5468094.4800000004</v>
      </c>
      <c r="J27" s="67">
        <f t="shared" si="2"/>
        <v>20298610.399999999</v>
      </c>
    </row>
  </sheetData>
  <autoFilter ref="A1:Q1">
    <sortState ref="A2:L17">
      <sortCondition ref="B1"/>
    </sortState>
  </autoFilter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/>
  </sheetViews>
  <sheetFormatPr defaultColWidth="24.42578125" defaultRowHeight="15" x14ac:dyDescent="0.25"/>
  <cols>
    <col min="2" max="2" width="17" customWidth="1"/>
    <col min="4" max="4" width="21" customWidth="1"/>
    <col min="5" max="5" width="16.28515625" customWidth="1"/>
    <col min="7" max="7" width="17.5703125" customWidth="1"/>
    <col min="8" max="8" width="18.5703125" customWidth="1"/>
  </cols>
  <sheetData>
    <row r="1" spans="1:7" ht="45" x14ac:dyDescent="0.25">
      <c r="A1" s="58" t="s">
        <v>1</v>
      </c>
      <c r="B1" s="58" t="s">
        <v>94</v>
      </c>
      <c r="C1" s="58" t="s">
        <v>95</v>
      </c>
      <c r="D1" s="58" t="s">
        <v>96</v>
      </c>
      <c r="E1" s="58" t="s">
        <v>97</v>
      </c>
      <c r="F1" s="58" t="s">
        <v>98</v>
      </c>
      <c r="G1" s="58" t="s">
        <v>99</v>
      </c>
    </row>
    <row r="2" spans="1:7" ht="33.75" x14ac:dyDescent="0.25">
      <c r="A2" s="69" t="s">
        <v>28</v>
      </c>
      <c r="B2" s="73" t="s">
        <v>29</v>
      </c>
      <c r="C2" s="76" t="s">
        <v>30</v>
      </c>
      <c r="D2" s="77">
        <f>'01.04.2020'!J2/4</f>
        <v>658872.42749999999</v>
      </c>
      <c r="E2" s="2">
        <v>54</v>
      </c>
      <c r="F2" s="77">
        <f>E2*100*30</f>
        <v>162000</v>
      </c>
      <c r="G2" s="77">
        <f>D2-F2</f>
        <v>496872.42749999999</v>
      </c>
    </row>
    <row r="3" spans="1:7" ht="45" x14ac:dyDescent="0.25">
      <c r="A3" s="69" t="s">
        <v>28</v>
      </c>
      <c r="B3" s="73" t="s">
        <v>29</v>
      </c>
      <c r="C3" s="76" t="s">
        <v>32</v>
      </c>
      <c r="D3" s="77">
        <f>'01.04.2020'!J3/4</f>
        <v>171327.08749999999</v>
      </c>
      <c r="E3" s="2">
        <v>75</v>
      </c>
      <c r="F3" s="77">
        <f t="shared" ref="F3:F4" si="0">E3*100*30</f>
        <v>225000</v>
      </c>
      <c r="G3" s="83">
        <f t="shared" ref="G3:G19" si="1">D3-F3</f>
        <v>-53672.912500000006</v>
      </c>
    </row>
    <row r="4" spans="1:7" x14ac:dyDescent="0.25">
      <c r="A4" s="69" t="s">
        <v>28</v>
      </c>
      <c r="B4" s="73" t="s">
        <v>34</v>
      </c>
      <c r="C4" s="76" t="s">
        <v>10</v>
      </c>
      <c r="D4" s="77">
        <f>'01.04.2020'!J4/4</f>
        <v>148424.5925</v>
      </c>
      <c r="E4" s="9">
        <v>34</v>
      </c>
      <c r="F4" s="77">
        <f t="shared" si="0"/>
        <v>102000</v>
      </c>
      <c r="G4" s="77">
        <f t="shared" si="1"/>
        <v>46424.592499999999</v>
      </c>
    </row>
    <row r="5" spans="1:7" x14ac:dyDescent="0.25">
      <c r="A5" s="69" t="s">
        <v>8</v>
      </c>
      <c r="B5" s="73" t="s">
        <v>14</v>
      </c>
      <c r="C5" s="76" t="s">
        <v>15</v>
      </c>
      <c r="D5" s="77">
        <f>'01.04.2020'!J6/4</f>
        <v>229329.315</v>
      </c>
      <c r="E5" s="6">
        <v>69</v>
      </c>
      <c r="F5" s="77">
        <f>E5*100*30</f>
        <v>207000</v>
      </c>
      <c r="G5" s="77">
        <f t="shared" si="1"/>
        <v>22329.315000000002</v>
      </c>
    </row>
    <row r="6" spans="1:7" x14ac:dyDescent="0.25">
      <c r="A6" s="69" t="s">
        <v>8</v>
      </c>
      <c r="B6" s="73" t="s">
        <v>17</v>
      </c>
      <c r="C6" s="76" t="s">
        <v>18</v>
      </c>
      <c r="D6" s="77">
        <f>'01.04.2020'!J7/4</f>
        <v>500718.52</v>
      </c>
      <c r="E6" s="6">
        <v>27</v>
      </c>
      <c r="F6" s="77">
        <f t="shared" ref="F6:F19" si="2">E6*100*30</f>
        <v>81000</v>
      </c>
      <c r="G6" s="77">
        <f t="shared" si="1"/>
        <v>419718.52</v>
      </c>
    </row>
    <row r="7" spans="1:7" x14ac:dyDescent="0.25">
      <c r="A7" s="69" t="s">
        <v>8</v>
      </c>
      <c r="B7" s="73" t="s">
        <v>9</v>
      </c>
      <c r="C7" s="76" t="s">
        <v>10</v>
      </c>
      <c r="D7" s="77">
        <f>'01.04.2020'!J8/4</f>
        <v>249177.26000000004</v>
      </c>
      <c r="E7" s="6">
        <v>52</v>
      </c>
      <c r="F7" s="77">
        <f t="shared" si="2"/>
        <v>156000</v>
      </c>
      <c r="G7" s="77">
        <f t="shared" si="1"/>
        <v>93177.260000000038</v>
      </c>
    </row>
    <row r="8" spans="1:7" ht="22.5" x14ac:dyDescent="0.25">
      <c r="A8" s="70" t="s">
        <v>36</v>
      </c>
      <c r="B8" s="73" t="s">
        <v>37</v>
      </c>
      <c r="C8" s="69" t="s">
        <v>38</v>
      </c>
      <c r="D8" s="77">
        <f>'01.04.2020'!J10/4</f>
        <v>331395.80249999999</v>
      </c>
      <c r="E8" s="1">
        <v>86</v>
      </c>
      <c r="F8" s="77">
        <f t="shared" si="2"/>
        <v>258000</v>
      </c>
      <c r="G8" s="77">
        <f t="shared" si="1"/>
        <v>73395.802499999991</v>
      </c>
    </row>
    <row r="9" spans="1:7" ht="22.5" x14ac:dyDescent="0.25">
      <c r="A9" s="70" t="s">
        <v>25</v>
      </c>
      <c r="B9" s="73" t="s">
        <v>26</v>
      </c>
      <c r="C9" s="76" t="s">
        <v>26</v>
      </c>
      <c r="D9" s="77"/>
      <c r="E9" s="2">
        <v>100</v>
      </c>
      <c r="F9" s="77">
        <f t="shared" si="2"/>
        <v>300000</v>
      </c>
      <c r="G9" s="84">
        <f t="shared" si="1"/>
        <v>-300000</v>
      </c>
    </row>
    <row r="10" spans="1:7" ht="22.5" x14ac:dyDescent="0.25">
      <c r="A10" s="70" t="s">
        <v>25</v>
      </c>
      <c r="B10" s="73" t="s">
        <v>40</v>
      </c>
      <c r="C10" s="76" t="s">
        <v>18</v>
      </c>
      <c r="D10" s="77">
        <f>'01.04.2020'!J13/4</f>
        <v>205263.6</v>
      </c>
      <c r="E10" s="2">
        <v>27</v>
      </c>
      <c r="F10" s="77">
        <f t="shared" si="2"/>
        <v>81000</v>
      </c>
      <c r="G10" s="77">
        <f t="shared" si="1"/>
        <v>124263.6</v>
      </c>
    </row>
    <row r="11" spans="1:7" ht="22.5" x14ac:dyDescent="0.25">
      <c r="A11" s="70" t="s">
        <v>25</v>
      </c>
      <c r="B11" s="73" t="s">
        <v>42</v>
      </c>
      <c r="C11" s="76" t="s">
        <v>15</v>
      </c>
      <c r="D11" s="77">
        <f>'01.04.2020'!J14/4</f>
        <v>100285.9</v>
      </c>
      <c r="E11" s="2">
        <v>34</v>
      </c>
      <c r="F11" s="77">
        <f t="shared" si="2"/>
        <v>102000</v>
      </c>
      <c r="G11" s="84">
        <f t="shared" si="1"/>
        <v>-1714.1000000000058</v>
      </c>
    </row>
    <row r="12" spans="1:7" ht="22.5" x14ac:dyDescent="0.25">
      <c r="A12" s="69" t="s">
        <v>45</v>
      </c>
      <c r="B12" s="73" t="s">
        <v>46</v>
      </c>
      <c r="C12" s="69" t="s">
        <v>47</v>
      </c>
      <c r="D12" s="77">
        <f>'01.04.2020'!J16/4</f>
        <v>222862.65499999997</v>
      </c>
      <c r="E12" s="6">
        <v>45</v>
      </c>
      <c r="F12" s="77">
        <f t="shared" si="2"/>
        <v>135000</v>
      </c>
      <c r="G12" s="77">
        <f t="shared" si="1"/>
        <v>87862.65499999997</v>
      </c>
    </row>
    <row r="13" spans="1:7" ht="22.5" x14ac:dyDescent="0.25">
      <c r="A13" s="70" t="s">
        <v>49</v>
      </c>
      <c r="B13" s="73" t="s">
        <v>51</v>
      </c>
      <c r="C13" s="69" t="s">
        <v>52</v>
      </c>
      <c r="D13" s="77">
        <f>'01.04.2020'!J18/4</f>
        <v>229444.07250000001</v>
      </c>
      <c r="E13" s="9">
        <v>83</v>
      </c>
      <c r="F13" s="77">
        <f t="shared" si="2"/>
        <v>249000</v>
      </c>
      <c r="G13" s="84">
        <f t="shared" si="1"/>
        <v>-19555.927499999991</v>
      </c>
    </row>
    <row r="14" spans="1:7" ht="15.75" x14ac:dyDescent="0.25">
      <c r="A14" s="70" t="s">
        <v>49</v>
      </c>
      <c r="B14" s="73" t="s">
        <v>57</v>
      </c>
      <c r="C14" s="76" t="s">
        <v>10</v>
      </c>
      <c r="D14" s="77">
        <f>'01.04.2020'!J19/4</f>
        <v>115049.8775</v>
      </c>
      <c r="E14" s="9">
        <v>41</v>
      </c>
      <c r="F14" s="77">
        <f t="shared" si="2"/>
        <v>123000</v>
      </c>
      <c r="G14" s="84">
        <f t="shared" si="1"/>
        <v>-7950.1224999999977</v>
      </c>
    </row>
    <row r="15" spans="1:7" x14ac:dyDescent="0.25">
      <c r="A15" s="69" t="s">
        <v>49</v>
      </c>
      <c r="B15" s="73" t="s">
        <v>59</v>
      </c>
      <c r="C15" s="76" t="s">
        <v>10</v>
      </c>
      <c r="D15" s="77">
        <f>'01.04.2020'!J20/4</f>
        <v>398317.54000000004</v>
      </c>
      <c r="E15" s="20">
        <v>72</v>
      </c>
      <c r="F15" s="77">
        <f t="shared" si="2"/>
        <v>216000</v>
      </c>
      <c r="G15" s="77">
        <f t="shared" si="1"/>
        <v>182317.54000000004</v>
      </c>
    </row>
    <row r="16" spans="1:7" ht="22.5" x14ac:dyDescent="0.25">
      <c r="A16" s="70" t="s">
        <v>49</v>
      </c>
      <c r="B16" s="73" t="s">
        <v>50</v>
      </c>
      <c r="C16" s="69" t="s">
        <v>54</v>
      </c>
      <c r="D16" s="77">
        <f>'01.04.2020'!J21/4</f>
        <v>55178.517499999994</v>
      </c>
      <c r="E16" s="9">
        <v>65</v>
      </c>
      <c r="F16" s="77">
        <f t="shared" si="2"/>
        <v>195000</v>
      </c>
      <c r="G16" s="84">
        <f t="shared" si="1"/>
        <v>-139821.48250000001</v>
      </c>
    </row>
    <row r="17" spans="1:8" x14ac:dyDescent="0.25">
      <c r="A17" s="71" t="s">
        <v>61</v>
      </c>
      <c r="B17" s="74" t="s">
        <v>62</v>
      </c>
      <c r="C17" s="71" t="s">
        <v>63</v>
      </c>
      <c r="D17" s="77">
        <f>'01.04.2020'!J23/4</f>
        <v>279669.90999999997</v>
      </c>
      <c r="E17" s="14">
        <v>59</v>
      </c>
      <c r="F17" s="77">
        <f t="shared" si="2"/>
        <v>177000</v>
      </c>
      <c r="G17" s="77">
        <f t="shared" si="1"/>
        <v>102669.90999999997</v>
      </c>
    </row>
    <row r="18" spans="1:8" ht="72" x14ac:dyDescent="0.25">
      <c r="A18" s="72" t="s">
        <v>82</v>
      </c>
      <c r="B18" s="75" t="s">
        <v>82</v>
      </c>
      <c r="C18" s="72" t="s">
        <v>83</v>
      </c>
      <c r="D18" s="77">
        <f>'01.04.2020'!J25/4</f>
        <v>579099.63249999995</v>
      </c>
      <c r="E18" s="59">
        <v>90</v>
      </c>
      <c r="F18" s="77">
        <f t="shared" si="2"/>
        <v>270000</v>
      </c>
      <c r="G18" s="77">
        <f t="shared" si="1"/>
        <v>309099.63249999995</v>
      </c>
    </row>
    <row r="19" spans="1:8" ht="24" x14ac:dyDescent="0.25">
      <c r="A19" s="72" t="s">
        <v>82</v>
      </c>
      <c r="B19" s="75" t="s">
        <v>82</v>
      </c>
      <c r="C19" s="72" t="s">
        <v>84</v>
      </c>
      <c r="D19" s="77">
        <f>'01.04.2020'!J26/4</f>
        <v>600235.89000000013</v>
      </c>
      <c r="E19" s="58">
        <v>90</v>
      </c>
      <c r="F19" s="77">
        <f t="shared" si="2"/>
        <v>270000</v>
      </c>
      <c r="G19" s="77">
        <f t="shared" si="1"/>
        <v>330235.89000000013</v>
      </c>
    </row>
    <row r="20" spans="1:8" ht="18.75" x14ac:dyDescent="0.3">
      <c r="A20" s="26"/>
      <c r="B20" s="26"/>
      <c r="C20" s="26"/>
      <c r="D20" s="26"/>
      <c r="E20" s="26"/>
      <c r="F20" s="26"/>
      <c r="G20" s="77">
        <f>G2-G3+G4+G5+G6+G7+G8-G9+G10-G11+G12-G13-G14+G15-G16+G17+G18+G19</f>
        <v>2811081.6900000004</v>
      </c>
      <c r="H20" s="79">
        <f>G20-G18</f>
        <v>2501982.0575000006</v>
      </c>
    </row>
    <row r="21" spans="1:8" ht="30" x14ac:dyDescent="0.25">
      <c r="G21" s="80" t="s">
        <v>101</v>
      </c>
      <c r="H21" s="78">
        <f>H20/19</f>
        <v>131683.26618421054</v>
      </c>
    </row>
    <row r="22" spans="1:8" x14ac:dyDescent="0.25">
      <c r="G22" s="81" t="s">
        <v>100</v>
      </c>
      <c r="H22" s="78">
        <f>H21/H23</f>
        <v>526.73306473684215</v>
      </c>
    </row>
    <row r="23" spans="1:8" x14ac:dyDescent="0.25">
      <c r="G23" s="81" t="s">
        <v>102</v>
      </c>
      <c r="H23" s="82">
        <v>250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01.04.2020</vt:lpstr>
      <vt:lpstr>დაფინანსება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Giorgi Tsotskolauri</cp:lastModifiedBy>
  <cp:lastPrinted>2020-04-03T10:26:39Z</cp:lastPrinted>
  <dcterms:created xsi:type="dcterms:W3CDTF">2019-11-23T12:07:50Z</dcterms:created>
  <dcterms:modified xsi:type="dcterms:W3CDTF">2020-04-03T13:25:07Z</dcterms:modified>
</cp:coreProperties>
</file>