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gotiashvili\Desktop\2021-2024\მოსული\bela\"/>
    </mc:Choice>
  </mc:AlternateContent>
  <bookViews>
    <workbookView xWindow="0" yWindow="0" windowWidth="28800" windowHeight="11400" tabRatio="776"/>
  </bookViews>
  <sheets>
    <sheet name="3.2 (ჭერის ფარგლებში)" sheetId="11" r:id="rId1"/>
    <sheet name="3ა.2 (ჭერს ზევით)" sheetId="12" r:id="rId2"/>
    <sheet name="პენსია_2020-2022 ელიკო (2)" sheetId="14" r:id="rId3"/>
    <sheet name="საარსებო შემწეობები  (2)" sheetId="16" r:id="rId4"/>
    <sheet name="სოციალური პაკეტი (2)" sheetId="18" r:id="rId5"/>
    <sheet name="დემოგრაფია  (2)" sheetId="20" r:id="rId6"/>
  </sheets>
  <externalReferences>
    <externalReference r:id="rId7"/>
    <externalReference r:id="rId8"/>
    <externalReference r:id="rId9"/>
  </externalReferences>
  <definedNames>
    <definedName name="_xlnm._FilterDatabase" localSheetId="0" hidden="1">'3.2 (ჭერის ფარგლებში)'!#REF!</definedName>
    <definedName name="_xlnm._FilterDatabase" localSheetId="1" hidden="1">'3ა.2 (ჭერს ზევით)'!#REF!</definedName>
    <definedName name="_xlnm._FilterDatabase" localSheetId="2" hidden="1">'პენსია_2020-2022 ელიკო (2)'!#REF!</definedName>
    <definedName name="_xlnm.Print_Area" localSheetId="0">'3.2 (ჭერის ფარგლებში)'!$B$1:$P$57</definedName>
    <definedName name="_xlnm.Print_Area" localSheetId="1">'3ა.2 (ჭერს ზევით)'!$B$1:$Q$65</definedName>
    <definedName name="_xlnm.Print_Titles" localSheetId="0">'3.2 (ჭერის ფარგლებში)'!$6:$8</definedName>
    <definedName name="_xlnm.Print_Titles" localSheetId="1">'3ა.2 (ჭერს ზევით)'!$6:$8</definedName>
    <definedName name="workingdays" localSheetId="2">[1]C_2012!$E$69</definedName>
    <definedName name="workingdays" localSheetId="3">[2]C_2012!$E$69</definedName>
    <definedName name="workingdays" localSheetId="4">[2]C_2012!$E$69</definedName>
    <definedName name="workingdays">[1]C_2012!$E$69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4" i="12" l="1"/>
  <c r="L44" i="12"/>
  <c r="I44" i="12"/>
  <c r="F44" i="12"/>
  <c r="K46" i="11" l="1"/>
  <c r="K44" i="11"/>
  <c r="K45" i="11"/>
  <c r="K47" i="11"/>
  <c r="K49" i="11"/>
  <c r="K40" i="11"/>
  <c r="K37" i="11"/>
  <c r="H37" i="11"/>
  <c r="H47" i="11"/>
  <c r="H49" i="11"/>
  <c r="H46" i="11"/>
  <c r="H44" i="11"/>
  <c r="H45" i="11"/>
  <c r="H40" i="11"/>
  <c r="K48" i="11"/>
  <c r="K43" i="11"/>
  <c r="H48" i="11"/>
  <c r="H36" i="11"/>
  <c r="H43" i="11"/>
  <c r="H41" i="11"/>
  <c r="E41" i="11" l="1"/>
  <c r="E32" i="11" l="1"/>
  <c r="G32" i="12" l="1"/>
  <c r="H32" i="12"/>
  <c r="I32" i="12"/>
  <c r="J32" i="12"/>
  <c r="K32" i="12"/>
  <c r="L32" i="12"/>
  <c r="M32" i="12"/>
  <c r="N32" i="12"/>
  <c r="O32" i="12"/>
  <c r="F32" i="12"/>
  <c r="F32" i="11"/>
  <c r="G32" i="11"/>
  <c r="H32" i="11"/>
  <c r="I32" i="11"/>
  <c r="J32" i="11"/>
  <c r="K32" i="11"/>
  <c r="L32" i="11"/>
  <c r="M32" i="11"/>
  <c r="G21" i="18" l="1"/>
  <c r="G18" i="18"/>
  <c r="G19" i="12"/>
  <c r="H19" i="12"/>
  <c r="I19" i="12"/>
  <c r="J19" i="12"/>
  <c r="K19" i="12"/>
  <c r="L19" i="12"/>
  <c r="M19" i="12"/>
  <c r="N19" i="12"/>
  <c r="O19" i="12"/>
  <c r="F19" i="12"/>
  <c r="F19" i="11"/>
  <c r="G19" i="11"/>
  <c r="H19" i="11"/>
  <c r="I19" i="11"/>
  <c r="J19" i="11"/>
  <c r="K19" i="11"/>
  <c r="L19" i="11"/>
  <c r="M19" i="11"/>
  <c r="E19" i="11"/>
  <c r="Q19" i="11" s="1"/>
  <c r="F20" i="11"/>
  <c r="G20" i="11"/>
  <c r="I20" i="11"/>
  <c r="J20" i="11"/>
  <c r="L20" i="11"/>
  <c r="M20" i="11"/>
  <c r="E21" i="11"/>
  <c r="H21" i="11"/>
  <c r="K21" i="11"/>
  <c r="N21" i="11"/>
  <c r="E22" i="11"/>
  <c r="H22" i="11"/>
  <c r="K22" i="11"/>
  <c r="N22" i="11" s="1"/>
  <c r="H12" i="18"/>
  <c r="H14" i="18"/>
  <c r="H15" i="18" s="1"/>
  <c r="G19" i="18" s="1"/>
  <c r="I25" i="18" s="1"/>
  <c r="I26" i="18" s="1"/>
  <c r="I27" i="18" s="1"/>
  <c r="K20" i="11" l="1"/>
  <c r="N20" i="11" s="1"/>
  <c r="E20" i="11"/>
  <c r="H20" i="11"/>
  <c r="H6" i="18"/>
  <c r="H7" i="18" s="1"/>
  <c r="G22" i="18" s="1"/>
  <c r="G12" i="20"/>
  <c r="H12" i="20" s="1"/>
  <c r="G11" i="20"/>
  <c r="G10" i="20"/>
  <c r="H10" i="20" s="1"/>
  <c r="H11" i="20"/>
  <c r="C8" i="16"/>
  <c r="C9" i="16" s="1"/>
  <c r="C13" i="16" s="1"/>
  <c r="C14" i="16" s="1"/>
  <c r="C15" i="16" s="1"/>
  <c r="F6" i="16"/>
  <c r="F7" i="16" s="1"/>
  <c r="F13" i="11"/>
  <c r="F9" i="11" s="1"/>
  <c r="G13" i="11"/>
  <c r="G9" i="11" s="1"/>
  <c r="I13" i="11"/>
  <c r="I9" i="11" s="1"/>
  <c r="J13" i="11"/>
  <c r="J9" i="11" s="1"/>
  <c r="M13" i="11"/>
  <c r="M9" i="11" s="1"/>
  <c r="N13" i="11"/>
  <c r="G13" i="12"/>
  <c r="G9" i="12" s="1"/>
  <c r="H13" i="12"/>
  <c r="H9" i="12" s="1"/>
  <c r="J13" i="12"/>
  <c r="J9" i="12" s="1"/>
  <c r="K13" i="12"/>
  <c r="K9" i="12" s="1"/>
  <c r="M13" i="12"/>
  <c r="M9" i="12" s="1"/>
  <c r="N13" i="12"/>
  <c r="N9" i="12" s="1"/>
  <c r="K17" i="11"/>
  <c r="H17" i="11"/>
  <c r="E17" i="11"/>
  <c r="F17" i="12" s="1"/>
  <c r="F13" i="12" s="1"/>
  <c r="F9" i="12" s="1"/>
  <c r="H13" i="20" l="1"/>
  <c r="L17" i="12" l="1"/>
  <c r="L13" i="12" s="1"/>
  <c r="L9" i="12" s="1"/>
  <c r="I17" i="12"/>
  <c r="I13" i="12" s="1"/>
  <c r="I9" i="12" s="1"/>
  <c r="E23" i="14"/>
  <c r="E5" i="14"/>
  <c r="F5" i="14" s="1"/>
  <c r="E24" i="14" l="1"/>
  <c r="F23" i="14"/>
  <c r="E6" i="14"/>
  <c r="E25" i="14" l="1"/>
  <c r="F24" i="14"/>
  <c r="E7" i="14"/>
  <c r="F6" i="14"/>
  <c r="F25" i="14" l="1"/>
  <c r="E26" i="14"/>
  <c r="F7" i="14"/>
  <c r="E8" i="14"/>
  <c r="F26" i="14" l="1"/>
  <c r="E27" i="14"/>
  <c r="F8" i="14"/>
  <c r="E9" i="14"/>
  <c r="F9" i="14" l="1"/>
  <c r="E10" i="14"/>
  <c r="F27" i="14"/>
  <c r="E28" i="14"/>
  <c r="F28" i="14" l="1"/>
  <c r="E29" i="14"/>
  <c r="F10" i="14"/>
  <c r="E11" i="14"/>
  <c r="F29" i="14" l="1"/>
  <c r="E30" i="14"/>
  <c r="F11" i="14"/>
  <c r="E12" i="14"/>
  <c r="F30" i="14" l="1"/>
  <c r="E31" i="14"/>
  <c r="F12" i="14"/>
  <c r="E13" i="14"/>
  <c r="F31" i="14" l="1"/>
  <c r="E32" i="14"/>
  <c r="F13" i="14"/>
  <c r="E14" i="14"/>
  <c r="F32" i="14" l="1"/>
  <c r="E33" i="14"/>
  <c r="F14" i="14"/>
  <c r="E15" i="14"/>
  <c r="F33" i="14" l="1"/>
  <c r="E34" i="14"/>
  <c r="F34" i="14" s="1"/>
  <c r="F15" i="14"/>
  <c r="E16" i="14"/>
  <c r="N31" i="11"/>
  <c r="N30" i="11"/>
  <c r="N29" i="11"/>
  <c r="N28" i="11"/>
  <c r="N27" i="11"/>
  <c r="N26" i="11"/>
  <c r="N25" i="11"/>
  <c r="N24" i="11"/>
  <c r="N23" i="11"/>
  <c r="O17" i="12"/>
  <c r="O13" i="12" s="1"/>
  <c r="O9" i="12" s="1"/>
  <c r="O11" i="11"/>
  <c r="P11" i="11"/>
  <c r="O12" i="11"/>
  <c r="P12" i="11"/>
  <c r="O13" i="11"/>
  <c r="P13" i="11"/>
  <c r="O14" i="11"/>
  <c r="P14" i="11"/>
  <c r="O19" i="11"/>
  <c r="P19" i="11"/>
  <c r="O20" i="11"/>
  <c r="P20" i="11"/>
  <c r="O32" i="11"/>
  <c r="P32" i="11"/>
  <c r="O33" i="11"/>
  <c r="P33" i="11"/>
  <c r="O54" i="11"/>
  <c r="P54" i="11"/>
  <c r="O9" i="11" l="1"/>
  <c r="P10" i="11"/>
  <c r="O10" i="11"/>
  <c r="N19" i="11"/>
  <c r="F36" i="14"/>
  <c r="P9" i="11"/>
  <c r="F16" i="14"/>
  <c r="F18" i="14" s="1"/>
  <c r="E32" i="12"/>
  <c r="E19" i="12"/>
  <c r="E13" i="12"/>
  <c r="E9" i="12" l="1"/>
  <c r="E11" i="12" s="1"/>
  <c r="F14" i="11"/>
  <c r="G14" i="11"/>
  <c r="I14" i="11"/>
  <c r="J14" i="11"/>
  <c r="L14" i="11"/>
  <c r="M14" i="11"/>
  <c r="E15" i="11"/>
  <c r="H15" i="11"/>
  <c r="K15" i="11"/>
  <c r="N15" i="11"/>
  <c r="E16" i="11"/>
  <c r="H16" i="11"/>
  <c r="K16" i="11"/>
  <c r="N16" i="11"/>
  <c r="F11" i="11"/>
  <c r="F12" i="11"/>
  <c r="F33" i="11"/>
  <c r="F54" i="11"/>
  <c r="K14" i="11" l="1"/>
  <c r="N14" i="11"/>
  <c r="H14" i="11"/>
  <c r="E14" i="11"/>
  <c r="F10" i="11"/>
  <c r="L56" i="12"/>
  <c r="I56" i="12"/>
  <c r="F56" i="12"/>
  <c r="L55" i="12"/>
  <c r="I55" i="12"/>
  <c r="F55" i="12"/>
  <c r="N54" i="12"/>
  <c r="M54" i="12"/>
  <c r="K54" i="12"/>
  <c r="J54" i="12"/>
  <c r="H54" i="12"/>
  <c r="G54" i="12"/>
  <c r="L34" i="12"/>
  <c r="I34" i="12"/>
  <c r="F34" i="12"/>
  <c r="N33" i="12"/>
  <c r="M33" i="12"/>
  <c r="K33" i="12"/>
  <c r="J33" i="12"/>
  <c r="H33" i="12"/>
  <c r="G33" i="12"/>
  <c r="L22" i="12"/>
  <c r="I22" i="12"/>
  <c r="F22" i="12"/>
  <c r="L21" i="12"/>
  <c r="I21" i="12"/>
  <c r="F21" i="12"/>
  <c r="N20" i="12"/>
  <c r="M20" i="12"/>
  <c r="K20" i="12"/>
  <c r="J20" i="12"/>
  <c r="H20" i="12"/>
  <c r="G20" i="12"/>
  <c r="L16" i="12"/>
  <c r="I16" i="12"/>
  <c r="F16" i="12"/>
  <c r="L15" i="12"/>
  <c r="I15" i="12"/>
  <c r="F15" i="12"/>
  <c r="N14" i="12"/>
  <c r="M14" i="12"/>
  <c r="K14" i="12"/>
  <c r="K10" i="12" s="1"/>
  <c r="J14" i="12"/>
  <c r="H14" i="12"/>
  <c r="G14" i="12"/>
  <c r="N12" i="12"/>
  <c r="M12" i="12"/>
  <c r="K12" i="12"/>
  <c r="J12" i="12"/>
  <c r="H12" i="12"/>
  <c r="G12" i="12"/>
  <c r="N11" i="12"/>
  <c r="M11" i="12"/>
  <c r="K11" i="12"/>
  <c r="J11" i="12"/>
  <c r="H11" i="12"/>
  <c r="G11" i="12"/>
  <c r="O56" i="12"/>
  <c r="O55" i="12"/>
  <c r="Q54" i="12"/>
  <c r="P54" i="12"/>
  <c r="O34" i="12"/>
  <c r="Q33" i="12"/>
  <c r="P33" i="12"/>
  <c r="Q32" i="12"/>
  <c r="P32" i="12"/>
  <c r="O22" i="12"/>
  <c r="O21" i="12"/>
  <c r="Q20" i="12"/>
  <c r="P20" i="12"/>
  <c r="Q19" i="12"/>
  <c r="P19" i="12"/>
  <c r="O16" i="12"/>
  <c r="O15" i="12"/>
  <c r="Q14" i="12"/>
  <c r="P14" i="12"/>
  <c r="Q13" i="12"/>
  <c r="P13" i="12"/>
  <c r="Q12" i="12"/>
  <c r="P12" i="12"/>
  <c r="Q11" i="12"/>
  <c r="P11" i="12"/>
  <c r="G11" i="11"/>
  <c r="I11" i="11"/>
  <c r="J11" i="11"/>
  <c r="L11" i="11"/>
  <c r="M11" i="11"/>
  <c r="G12" i="11"/>
  <c r="I12" i="11"/>
  <c r="J12" i="11"/>
  <c r="L12" i="11"/>
  <c r="M12" i="11"/>
  <c r="L14" i="12" l="1"/>
  <c r="L20" i="12"/>
  <c r="F54" i="12"/>
  <c r="I11" i="12"/>
  <c r="O54" i="12"/>
  <c r="O33" i="12"/>
  <c r="I12" i="12"/>
  <c r="F33" i="12"/>
  <c r="F11" i="12"/>
  <c r="P9" i="12"/>
  <c r="F14" i="12"/>
  <c r="F20" i="12"/>
  <c r="L11" i="12"/>
  <c r="I54" i="12"/>
  <c r="H10" i="12"/>
  <c r="O20" i="12"/>
  <c r="I20" i="12"/>
  <c r="L54" i="12"/>
  <c r="Q10" i="12"/>
  <c r="L12" i="12"/>
  <c r="I33" i="12"/>
  <c r="F12" i="12"/>
  <c r="O12" i="12"/>
  <c r="L33" i="12"/>
  <c r="O11" i="12"/>
  <c r="N10" i="12"/>
  <c r="P10" i="12"/>
  <c r="O14" i="12"/>
  <c r="Q9" i="12"/>
  <c r="I14" i="12"/>
  <c r="M10" i="12"/>
  <c r="G10" i="12"/>
  <c r="J10" i="12"/>
  <c r="F10" i="12" l="1"/>
  <c r="L10" i="12"/>
  <c r="O10" i="12"/>
  <c r="I10" i="12"/>
  <c r="N56" i="11" l="1"/>
  <c r="K56" i="11"/>
  <c r="H56" i="11"/>
  <c r="E56" i="11"/>
  <c r="N55" i="11"/>
  <c r="K55" i="11"/>
  <c r="H55" i="11"/>
  <c r="E55" i="11"/>
  <c r="M54" i="11"/>
  <c r="L54" i="11"/>
  <c r="J54" i="11"/>
  <c r="I54" i="11"/>
  <c r="G54" i="11"/>
  <c r="K53" i="11"/>
  <c r="N53" i="11" s="1"/>
  <c r="H53" i="11"/>
  <c r="E53" i="11"/>
  <c r="N35" i="11"/>
  <c r="K35" i="11"/>
  <c r="H35" i="11"/>
  <c r="E35" i="11"/>
  <c r="N34" i="11"/>
  <c r="K34" i="11"/>
  <c r="H34" i="11"/>
  <c r="E34" i="11"/>
  <c r="M33" i="11"/>
  <c r="L33" i="11"/>
  <c r="J33" i="11"/>
  <c r="I33" i="11"/>
  <c r="G33" i="11"/>
  <c r="K18" i="11"/>
  <c r="K13" i="11" s="1"/>
  <c r="H18" i="11"/>
  <c r="H13" i="11" s="1"/>
  <c r="E18" i="11"/>
  <c r="E13" i="11" s="1"/>
  <c r="E9" i="11" s="1"/>
  <c r="Q9" i="11" s="1"/>
  <c r="L17" i="11"/>
  <c r="L13" i="11" s="1"/>
  <c r="L9" i="11" s="1"/>
  <c r="N32" i="11" l="1"/>
  <c r="N9" i="11" s="1"/>
  <c r="H9" i="11"/>
  <c r="K9" i="11"/>
  <c r="L10" i="11"/>
  <c r="H11" i="11"/>
  <c r="K12" i="11"/>
  <c r="N12" i="11" s="1"/>
  <c r="K11" i="11"/>
  <c r="J10" i="11"/>
  <c r="N11" i="11"/>
  <c r="G10" i="11"/>
  <c r="E10" i="11" s="1"/>
  <c r="I10" i="11"/>
  <c r="M10" i="11"/>
  <c r="H12" i="11"/>
  <c r="N33" i="11"/>
  <c r="H54" i="11"/>
  <c r="K33" i="11"/>
  <c r="E33" i="11"/>
  <c r="H33" i="11"/>
  <c r="K54" i="11"/>
  <c r="E11" i="11"/>
  <c r="N54" i="11"/>
  <c r="E12" i="11"/>
  <c r="E54" i="11"/>
  <c r="K10" i="11" l="1"/>
  <c r="N10" i="11" s="1"/>
  <c r="H10" i="11"/>
</calcChain>
</file>

<file path=xl/comments1.xml><?xml version="1.0" encoding="utf-8"?>
<comments xmlns="http://schemas.openxmlformats.org/spreadsheetml/2006/main">
  <authors>
    <author>Daji</author>
  </authors>
  <commentList>
    <comment ref="E6" authorId="0" shapeId="0">
      <text>
        <r>
          <rPr>
            <b/>
            <sz val="9"/>
            <color indexed="81"/>
            <rFont val="Tahoma"/>
            <family val="2"/>
          </rPr>
          <t>1.</t>
        </r>
        <r>
          <rPr>
            <sz val="10"/>
            <color indexed="81"/>
            <rFont val="Tahoma"/>
            <family val="2"/>
          </rPr>
          <t xml:space="preserve">პროგრამების დაფინანსება საშუალოვადიან პერიოდში გათვალისწინებული უნდა იყოს ქვეყნის ძირითადი მონაცემებისა და მიმართულებების დოკუმენტით სამინისტროსთვის/უწყებისთვის გათვალისწინებული ასიგნებების ზღვრული მოცულობების ფარგლებში; დანართში წარმოდგენილი უნდა იყოს პროგრამების/ქვეპროგრამების/ღონისძიებების დაფინანსება, დაფინანსების ყველა წყაროს მითითებით. საჭიროების შემთხვევაში უნდა დაემატოს დაფინანსების წყაროს სვეტი.
დაფინანსების წყაროების შესახებ ინფორმაცია ივსება ცალ-ცალკე  2021-2024 წლებისთვის.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ორ წყვილიანი კოდების (27 02, 27 03, 27 05 და 27 06) ფარგლებში ზღვრული მოცულობა არ იცვლება, კოდების შიგნით პროგრამის/ქვეპროგრამის/ღონისძიებების მოცულობის შეცვლა შესაძლებელია (ზღვრული მოცულობის ფარგლებში)</t>
        </r>
      </text>
    </comment>
  </commentList>
</comments>
</file>

<file path=xl/comments2.xml><?xml version="1.0" encoding="utf-8"?>
<comments xmlns="http://schemas.openxmlformats.org/spreadsheetml/2006/main">
  <authors>
    <author>Daji</author>
  </authors>
  <commentList>
    <comment ref="P2" authorId="0" shapeId="0">
      <text>
        <r>
          <rPr>
            <b/>
            <sz val="9"/>
            <color indexed="81"/>
            <rFont val="Tahoma"/>
            <family val="2"/>
          </rPr>
          <t>დანართი ივსება მხარჯავი დაწესებულების იმ პროგრამაზე/ქვეპროგრამაზე/ღონისძიებაზე, რომელთათვისაც გათვალისწინებულია მხარჯავი დაწესებულების ასიგნებების და რიცხოვნობების ჯამური ზღვრული მოცულობებისგან განსხვავებული პარამეტრები.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პროგრამების დაფინანსება საშუალოვადიან პერიოდში გათვალისწინებული უნდა იყოს ქვეყნის ძირითადი მონაცემებისა და მიმართულებების დოკუმენტით სამინისტროსთვის/უწყებისთვის გათვალისწინებული ასიგნებების ზღვრული მოცულობებისგან განსხვავებული პარამეტრების ფარგლებში; დანართში წარმოდგენილი უნდა იყოს პროგრამების/ქვეპროგრამების/ღონისძიებების დაფინანსება, დაფინანსების ყველა წყაროს მითითებით. საჭიროების შემთხვევაში უნდა დაემატოს დაფინანსების წყაროს სვეტი.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<sst xmlns="http://schemas.openxmlformats.org/spreadsheetml/2006/main" count="269" uniqueCount="131">
  <si>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</si>
  <si>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</si>
  <si>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</si>
  <si>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სულ</t>
  </si>
  <si>
    <t>მ.შ. სახელმწიფო ბიუჯეტი</t>
  </si>
  <si>
    <t>მ.შ. კანონმდებლობით ნებადართული სხვა შემოსავლები</t>
  </si>
  <si>
    <t>სულ მომუშავეთა რიცხოვნობა</t>
  </si>
  <si>
    <t>2021 წელი</t>
  </si>
  <si>
    <t>2022 წელი</t>
  </si>
  <si>
    <t>დაფინანსება</t>
  </si>
  <si>
    <t>2023 წელი</t>
  </si>
  <si>
    <t>დანართი №3.2</t>
  </si>
  <si>
    <t>2021-2024 წლების საშუალოვადიანი ბიუჯეტი</t>
  </si>
  <si>
    <t>2024 წელი</t>
  </si>
  <si>
    <t>დანართი №3ა.2</t>
  </si>
  <si>
    <r>
      <t>დაფინანსება</t>
    </r>
    <r>
      <rPr>
        <b/>
        <i/>
        <vertAlign val="superscript"/>
        <sz val="14"/>
        <rFont val="Sylfaen"/>
        <family val="1"/>
      </rPr>
      <t>1</t>
    </r>
  </si>
  <si>
    <t>(ზღვრული მოცულობისგან განსხვავებული პარამეტრების ფარგლებში)</t>
  </si>
  <si>
    <t xml:space="preserve">განმარტება ზღვრული მოცულობებისგან განსხვავებული პარამეტრების ფარგლებში მოთხოვნილ დაფინანსებაზე </t>
  </si>
  <si>
    <t>(ზღვრული მოცულობის ფარგლებში)</t>
  </si>
  <si>
    <t>შტატით გათვალისწინებული</t>
  </si>
  <si>
    <t>შტატგარეშე მომუშავეთა რიცხოვნობა</t>
  </si>
  <si>
    <t>27 02</t>
  </si>
  <si>
    <t>მოსახლეობის სოციალური დაცვა</t>
  </si>
  <si>
    <t>მ.შ. შტატით გათვალისწინებული</t>
  </si>
  <si>
    <t>მ.შ. შტატგარეშე მომუშავე</t>
  </si>
  <si>
    <t>27 02 01</t>
  </si>
  <si>
    <t>მოსახლეობის საპენსიო უზრუნველყოფა</t>
  </si>
  <si>
    <t>2.1.1</t>
  </si>
  <si>
    <t>საპენსიო ასაკის მოსახლეობის პენსიით (ქალები 60 წელი, მამაკაცები 65 წელი) უზრუნველყოფა</t>
  </si>
  <si>
    <t>2.1.2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</si>
  <si>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</si>
  <si>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27 02 02</t>
  </si>
  <si>
    <t>მოსახლეობის მიზნობრივი ჯგუფების სოციალური დახმარება</t>
  </si>
  <si>
    <t>2.2.1</t>
  </si>
  <si>
    <t xml:space="preserve">სიღარიბის ზღვარს ქვემოთ მყოფი ოჯახებისათვის საარსებო შემწეობები </t>
  </si>
  <si>
    <t>2.2.2</t>
  </si>
  <si>
    <t>მიზნობრივი ჯგუფებისთვის სოციალური პაკეტი</t>
  </si>
  <si>
    <t>2.2.3</t>
  </si>
  <si>
    <t>ლტოლვილთა-დევნილთა და ჰუმანიტარული სტატუსის მქონე პირთა შემწეობები</t>
  </si>
  <si>
    <t>2.2.4</t>
  </si>
  <si>
    <t>რეინტეგრაციის შემწეობა</t>
  </si>
  <si>
    <t>2.2.5</t>
  </si>
  <si>
    <t>დემოგრაფიული მდგომარეობის გაუმჯობესების დახმარება</t>
  </si>
  <si>
    <t>2.2.6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</si>
  <si>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</si>
  <si>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2.2.7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</si>
  <si>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</si>
  <si>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2.2.8</t>
  </si>
  <si>
    <t>საყოფაცხოვრებო სუბსიდია</t>
  </si>
  <si>
    <t>2.2.9</t>
  </si>
  <si>
    <t>9 მაისის ერთჯერადი დახმარება</t>
  </si>
  <si>
    <t>27 02 03</t>
  </si>
  <si>
    <t>სოციალური რეაბილიტაცია და ბავშვზე ზრუნვა</t>
  </si>
  <si>
    <t>2.3.1</t>
  </si>
  <si>
    <t>2.3.2</t>
  </si>
  <si>
    <t>ბავშვთა ადრეული განვითარების ხელშეწყობა</t>
  </si>
  <si>
    <t>2.3.3</t>
  </si>
  <si>
    <t xml:space="preserve">ბავშვთა რეაბილიტაცია/აბილიტაცია </t>
  </si>
  <si>
    <t>2.3.4</t>
  </si>
  <si>
    <t>ომის მონაწილეთა რეაბილიტაციის ხელშეწყობა</t>
  </si>
  <si>
    <t>2.3.5</t>
  </si>
  <si>
    <t>დღის ცენტრებში მომსახურებით უზრუნველყოფა</t>
  </si>
  <si>
    <t>2.3.6</t>
  </si>
  <si>
    <t>დამხმარე საშუალებებით უზრუნველყოფა</t>
  </si>
  <si>
    <t>2.3.7</t>
  </si>
  <si>
    <t>ყრუთა კომუნიკაციის ხელშეწყობა</t>
  </si>
  <si>
    <t>2.3.8</t>
  </si>
  <si>
    <t>დედათა და ბავშვთა თავშესაფრით უზრუნველყოფა</t>
  </si>
  <si>
    <t>2.3.9</t>
  </si>
  <si>
    <t>მინდობით აღზრდა</t>
  </si>
  <si>
    <t>2.3.10</t>
  </si>
  <si>
    <t>მცირე საოჯახო ტიპის სახლებში მომსახურებით უზრუველყოფა</t>
  </si>
  <si>
    <t>2.3.11</t>
  </si>
  <si>
    <t>მიუსაფარ ბავშვთა თავშესაფრით უზრუნველყოფა</t>
  </si>
  <si>
    <t>2.3.12</t>
  </si>
  <si>
    <t>სათემო ორგანიზაციებში მომსახურებით უზრუნველყოფა</t>
  </si>
  <si>
    <t>2.3.13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</si>
  <si>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</si>
  <si>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2.3.14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</si>
  <si>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</si>
  <si>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</si>
  <si>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</si>
  <si>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r>
      <t xml:space="preserve">კრიზისულ მდგომარეობაში მყოფი ბავშვიანი ოჯახების </t>
    </r>
    <r>
      <rPr>
        <sz val="10"/>
        <color rgb="FFFF0000"/>
        <rFont val="Sylfaen"/>
        <family val="1"/>
        <charset val="204"/>
      </rPr>
      <t xml:space="preserve"> </t>
    </r>
    <r>
      <rPr>
        <sz val="10"/>
        <rFont val="Sylfaen"/>
        <family val="1"/>
      </rPr>
      <t>დახმარება</t>
    </r>
  </si>
  <si>
    <t>2020 წელი</t>
  </si>
  <si>
    <t>თარიღი</t>
  </si>
  <si>
    <t>საპენსიო ასაკის შესრულება რეესტრის მიხედვით</t>
  </si>
  <si>
    <t>2015 წლის 5 თვის  საშუალო გარდაცვალებ საპენსიო ასაკის პირებში</t>
  </si>
  <si>
    <t>პენსიონერი</t>
  </si>
  <si>
    <t>12.2020</t>
  </si>
  <si>
    <t>დათვლილია 250 ლარზე</t>
  </si>
  <si>
    <t>დათვლილია 270 ლარზე</t>
  </si>
  <si>
    <t>ახალი</t>
  </si>
  <si>
    <t>2020 წლის პროგნოზი</t>
  </si>
  <si>
    <t>2019 დამტკიცებული</t>
  </si>
  <si>
    <t xml:space="preserve">ბენეფიციართა საშუალო ოდენობა </t>
  </si>
  <si>
    <t xml:space="preserve">ბენეფიტის საშუალო ოდენობა </t>
  </si>
  <si>
    <t xml:space="preserve">საქონელი და მომსახურება </t>
  </si>
  <si>
    <t>თვეში საჭირო</t>
  </si>
  <si>
    <t>წელიწადში საჭირო</t>
  </si>
  <si>
    <t>მკვეთრი</t>
  </si>
  <si>
    <t>მნიშვნ</t>
  </si>
  <si>
    <t>შშმ ბავშვი</t>
  </si>
  <si>
    <t>ზომიერი</t>
  </si>
  <si>
    <t xml:space="preserve">სხვა </t>
  </si>
  <si>
    <t xml:space="preserve">სავარაუდო რაოდენობა </t>
  </si>
  <si>
    <t xml:space="preserve">თანხის საშუალო ოდენობა </t>
  </si>
  <si>
    <t>1%-იანი ზრდა</t>
  </si>
  <si>
    <t>ჭერს ზემოთ</t>
  </si>
  <si>
    <t xml:space="preserve">ბენეფიართა რაოდენობა </t>
  </si>
  <si>
    <t xml:space="preserve">თანხის საშუალო
ოდენობა </t>
  </si>
  <si>
    <t xml:space="preserve">თვეში თანხა </t>
  </si>
  <si>
    <t>წელიწადში თანხა</t>
  </si>
  <si>
    <t>პირველი დემოგრაფია</t>
  </si>
  <si>
    <t xml:space="preserve">მეორე დემოგრაფია </t>
  </si>
  <si>
    <t>მრავალშვილიანი</t>
  </si>
  <si>
    <t>სულ ჯამი</t>
  </si>
  <si>
    <t>2020 წელი მარტი</t>
  </si>
  <si>
    <t xml:space="preserve">ახალი გათვლა 2020 (მარტი) </t>
  </si>
  <si>
    <t xml:space="preserve">ახალი გათვლა 2021 </t>
  </si>
  <si>
    <t>ზრდა მკვეთრი, შშმ ბავშვი 30 ლარი, მნიშვნ. 20 აპრილიდან</t>
  </si>
  <si>
    <t xml:space="preserve">ზრდით </t>
  </si>
  <si>
    <t xml:space="preserve">სულ </t>
  </si>
  <si>
    <t>მომდევნო წლებში 1%-იანი ზრდა</t>
  </si>
  <si>
    <t>ზრდა 2022</t>
  </si>
  <si>
    <t xml:space="preserve">2.3.15 </t>
  </si>
  <si>
    <t>მზრუნველობამოკლებული ბავშვების რეინტეგრაციის ქვეპროგრამა</t>
  </si>
  <si>
    <t>2.3.16</t>
  </si>
  <si>
    <t>სახელმწიფო ზრუნვის  სისტემიდან გასული 18-21 წლამდე ახალგაზრდების მხარდაჭერის ქვეპროგრამა</t>
  </si>
  <si>
    <t>2.3.17</t>
  </si>
  <si>
    <t>სახელმწიფო ზრუნვის სისტემიდან  გასული 18-21 წლამდე ახალგაზრდების საკვები პროდუქტებით უზრუნველყოფის ქვეპროგრამა</t>
  </si>
  <si>
    <t>27 05 05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</si>
</sst>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4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sz val="16"/>
      <name val="Sylfaen"/>
      <family val="1"/>
    </font>
    <font>
      <b/>
      <i/>
      <sz val="12"/>
      <name val="Sylfaen"/>
      <family val="1"/>
    </font>
    <font>
      <b/>
      <sz val="11"/>
      <color rgb="FFFF0000"/>
      <name val="Sylfaen"/>
      <family val="1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vertAlign val="superscript"/>
      <sz val="14"/>
      <name val="Sylfaen"/>
      <family val="1"/>
    </font>
    <font>
      <sz val="10"/>
      <color indexed="81"/>
      <name val="Tahoma"/>
      <family val="2"/>
    </font>
    <font>
      <b/>
      <i/>
      <sz val="12"/>
      <color theme="1"/>
      <name val="Sylfaen"/>
      <family val="1"/>
    </font>
    <font>
      <b/>
      <sz val="12"/>
      <color theme="1"/>
      <name val="Sylfaen"/>
      <family val="1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Sylfaen"/>
      <family val="1"/>
    </font>
    <font>
      <sz val="10"/>
      <name val="Calibri"/>
      <family val="2"/>
      <scheme val="minor"/>
    </font>
    <font>
      <sz val="10"/>
      <color rgb="FFFF0000"/>
      <name val="Sylfaen"/>
      <family val="1"/>
      <charset val="204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Sylfaen"/>
      <family val="1"/>
    </font>
    <font>
      <b/>
      <sz val="14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0" fillId="0" borderId="0"/>
    <xf numFmtId="0" fontId="7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3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4" fillId="2" borderId="0" xfId="0" applyNumberFormat="1" applyFont="1" applyFill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0" fillId="0" borderId="0" xfId="0" applyFont="1"/>
    <xf numFmtId="0" fontId="6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165" fontId="6" fillId="3" borderId="0" xfId="0" applyNumberFormat="1" applyFont="1" applyFill="1" applyAlignment="1">
      <alignment vertical="center" wrapText="1"/>
    </xf>
    <xf numFmtId="0" fontId="19" fillId="3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65" fontId="21" fillId="3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165" fontId="21" fillId="2" borderId="1" xfId="0" applyNumberFormat="1" applyFont="1" applyFill="1" applyBorder="1" applyAlignment="1">
      <alignment horizontal="center" vertical="center" wrapText="1"/>
    </xf>
    <xf numFmtId="165" fontId="24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49" fontId="22" fillId="4" borderId="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vertical="center" wrapText="1"/>
    </xf>
    <xf numFmtId="165" fontId="21" fillId="4" borderId="1" xfId="0" applyNumberFormat="1" applyFont="1" applyFill="1" applyBorder="1" applyAlignment="1">
      <alignment horizontal="center" vertical="center" wrapText="1"/>
    </xf>
    <xf numFmtId="165" fontId="24" fillId="4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 wrapText="1"/>
    </xf>
    <xf numFmtId="165" fontId="24" fillId="3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23" fillId="4" borderId="1" xfId="0" applyNumberFormat="1" applyFont="1" applyFill="1" applyBorder="1" applyAlignment="1">
      <alignment vertical="center" wrapText="1"/>
    </xf>
    <xf numFmtId="165" fontId="21" fillId="5" borderId="1" xfId="0" applyNumberFormat="1" applyFont="1" applyFill="1" applyBorder="1" applyAlignment="1">
      <alignment horizontal="center" vertical="center" wrapText="1"/>
    </xf>
    <xf numFmtId="165" fontId="27" fillId="6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23" fillId="7" borderId="1" xfId="0" applyNumberFormat="1" applyFont="1" applyFill="1" applyBorder="1" applyAlignment="1">
      <alignment vertical="center" wrapText="1"/>
    </xf>
    <xf numFmtId="0" fontId="1" fillId="0" borderId="0" xfId="13" applyAlignment="1">
      <alignment horizontal="center"/>
    </xf>
    <xf numFmtId="0" fontId="1" fillId="0" borderId="0" xfId="13"/>
    <xf numFmtId="0" fontId="30" fillId="0" borderId="9" xfId="13" applyFont="1" applyBorder="1" applyAlignment="1">
      <alignment horizontal="center"/>
    </xf>
    <xf numFmtId="4" fontId="1" fillId="0" borderId="0" xfId="13" applyNumberFormat="1" applyAlignment="1">
      <alignment horizontal="center"/>
    </xf>
    <xf numFmtId="0" fontId="32" fillId="0" borderId="0" xfId="13" applyFont="1"/>
    <xf numFmtId="3" fontId="29" fillId="8" borderId="0" xfId="13" applyNumberFormat="1" applyFont="1" applyFill="1"/>
    <xf numFmtId="0" fontId="29" fillId="0" borderId="9" xfId="14" applyFont="1" applyBorder="1" applyAlignment="1">
      <alignment horizontal="center" vertical="center" wrapText="1"/>
    </xf>
    <xf numFmtId="49" fontId="31" fillId="0" borderId="9" xfId="14" applyNumberFormat="1" applyFont="1" applyBorder="1" applyAlignment="1">
      <alignment horizontal="right"/>
    </xf>
    <xf numFmtId="3" fontId="30" fillId="8" borderId="9" xfId="14" applyNumberFormat="1" applyFont="1" applyFill="1" applyBorder="1"/>
    <xf numFmtId="3" fontId="30" fillId="8" borderId="9" xfId="13" applyNumberFormat="1" applyFont="1" applyFill="1" applyBorder="1"/>
    <xf numFmtId="0" fontId="31" fillId="0" borderId="9" xfId="14" applyFont="1" applyBorder="1"/>
    <xf numFmtId="3" fontId="30" fillId="0" borderId="9" xfId="14" applyNumberFormat="1" applyFont="1" applyFill="1" applyBorder="1"/>
    <xf numFmtId="0" fontId="33" fillId="0" borderId="0" xfId="13" applyFont="1" applyAlignment="1">
      <alignment horizontal="center" wrapText="1"/>
    </xf>
    <xf numFmtId="0" fontId="1" fillId="0" borderId="0" xfId="15" applyFont="1"/>
    <xf numFmtId="0" fontId="1" fillId="0" borderId="0" xfId="15"/>
    <xf numFmtId="0" fontId="29" fillId="0" borderId="9" xfId="15" applyFont="1" applyBorder="1"/>
    <xf numFmtId="0" fontId="1" fillId="0" borderId="9" xfId="15" applyBorder="1"/>
    <xf numFmtId="0" fontId="34" fillId="0" borderId="9" xfId="15" applyFont="1" applyBorder="1" applyAlignment="1">
      <alignment wrapText="1"/>
    </xf>
    <xf numFmtId="3" fontId="11" fillId="2" borderId="9" xfId="16" applyNumberFormat="1" applyFont="1" applyFill="1" applyBorder="1" applyAlignment="1">
      <alignment horizontal="right" vertical="center"/>
    </xf>
    <xf numFmtId="0" fontId="34" fillId="0" borderId="9" xfId="15" applyFont="1" applyBorder="1"/>
    <xf numFmtId="0" fontId="35" fillId="0" borderId="9" xfId="15" applyFont="1" applyBorder="1"/>
    <xf numFmtId="3" fontId="8" fillId="2" borderId="9" xfId="16" applyNumberFormat="1" applyFont="1" applyFill="1" applyBorder="1" applyAlignment="1">
      <alignment horizontal="right" vertical="center"/>
    </xf>
    <xf numFmtId="0" fontId="28" fillId="0" borderId="0" xfId="15" applyFont="1"/>
    <xf numFmtId="3" fontId="1" fillId="0" borderId="0" xfId="15" applyNumberFormat="1"/>
    <xf numFmtId="41" fontId="1" fillId="0" borderId="0" xfId="15" applyNumberFormat="1"/>
    <xf numFmtId="41" fontId="1" fillId="0" borderId="0" xfId="15" applyNumberFormat="1" applyFill="1" applyBorder="1"/>
    <xf numFmtId="0" fontId="36" fillId="0" borderId="0" xfId="15" applyFont="1" applyFill="1" applyBorder="1" applyAlignment="1">
      <alignment wrapText="1"/>
    </xf>
    <xf numFmtId="0" fontId="1" fillId="0" borderId="9" xfId="15" applyFont="1" applyBorder="1" applyAlignment="1">
      <alignment wrapText="1"/>
    </xf>
    <xf numFmtId="3" fontId="6" fillId="2" borderId="9" xfId="16" applyNumberFormat="1" applyFont="1" applyFill="1" applyBorder="1" applyAlignment="1">
      <alignment horizontal="right" vertical="center"/>
    </xf>
    <xf numFmtId="3" fontId="37" fillId="0" borderId="9" xfId="16" applyNumberFormat="1" applyFont="1" applyFill="1" applyBorder="1" applyAlignment="1">
      <alignment horizontal="right" vertical="center"/>
    </xf>
    <xf numFmtId="3" fontId="1" fillId="0" borderId="9" xfId="15" applyNumberFormat="1" applyBorder="1"/>
    <xf numFmtId="0" fontId="1" fillId="0" borderId="9" xfId="15" applyFill="1" applyBorder="1"/>
    <xf numFmtId="0" fontId="1" fillId="0" borderId="9" xfId="15" applyFont="1" applyBorder="1"/>
    <xf numFmtId="0" fontId="28" fillId="0" borderId="9" xfId="15" applyFont="1" applyBorder="1"/>
    <xf numFmtId="3" fontId="5" fillId="2" borderId="9" xfId="16" applyNumberFormat="1" applyFont="1" applyFill="1" applyBorder="1" applyAlignment="1">
      <alignment horizontal="right" vertical="center"/>
    </xf>
    <xf numFmtId="0" fontId="38" fillId="0" borderId="9" xfId="15" applyFont="1" applyBorder="1"/>
    <xf numFmtId="0" fontId="28" fillId="0" borderId="9" xfId="0" applyFont="1" applyBorder="1"/>
    <xf numFmtId="0" fontId="28" fillId="0" borderId="9" xfId="0" applyFont="1" applyBorder="1" applyAlignment="1">
      <alignment wrapText="1"/>
    </xf>
    <xf numFmtId="0" fontId="0" fillId="0" borderId="9" xfId="0" applyBorder="1"/>
    <xf numFmtId="0" fontId="28" fillId="0" borderId="0" xfId="0" applyFont="1"/>
    <xf numFmtId="3" fontId="38" fillId="0" borderId="0" xfId="15" applyNumberFormat="1" applyFont="1"/>
    <xf numFmtId="49" fontId="39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21" fillId="0" borderId="1" xfId="0" applyNumberFormat="1" applyFont="1" applyFill="1" applyBorder="1" applyAlignment="1">
      <alignment horizontal="center" vertical="center" wrapText="1"/>
    </xf>
    <xf numFmtId="165" fontId="2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5" fontId="24" fillId="0" borderId="1" xfId="0" applyNumberFormat="1" applyFont="1" applyFill="1" applyBorder="1" applyAlignment="1">
      <alignment horizontal="center" vertical="center" wrapText="1"/>
    </xf>
    <xf numFmtId="43" fontId="6" fillId="2" borderId="0" xfId="17" applyFont="1" applyFill="1" applyAlignment="1">
      <alignment vertical="center" wrapText="1"/>
    </xf>
    <xf numFmtId="43" fontId="6" fillId="2" borderId="0" xfId="0" applyNumberFormat="1" applyFont="1" applyFill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 vertical="center"/>
    </xf>
    <xf numFmtId="0" fontId="38" fillId="0" borderId="10" xfId="15" applyFont="1" applyBorder="1" applyAlignment="1">
      <alignment horizontal="center"/>
    </xf>
    <xf numFmtId="0" fontId="38" fillId="0" borderId="11" xfId="15" applyFont="1" applyBorder="1" applyAlignment="1">
      <alignment horizontal="center"/>
    </xf>
  </cellXfs>
  <cellStyles count="18">
    <cellStyle name="Comma" xfId="17" builtinId="3"/>
    <cellStyle name="Comma 13" xfId="16"/>
    <cellStyle name="Comma 2" xfId="1"/>
    <cellStyle name="Comma 3" xfId="2"/>
    <cellStyle name="Comma 4" xfId="8"/>
    <cellStyle name="Comma 5" xfId="10"/>
    <cellStyle name="Normal" xfId="0" builtinId="0"/>
    <cellStyle name="Normal 11" xfId="15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6 3" xfId="13"/>
    <cellStyle name="Normal 7" xfId="12"/>
    <cellStyle name="Normal 9 2" xfId="14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2012%20wlis%20biujeti/2012%20&#4332;&#4314;&#4312;&#4321;%20&#4321;&#4317;&#4330;&#4312;&#4304;&#4314;&#4323;&#4320;&#4312;%20&#4318;&#4320;&#4317;&#4306;&#4320;&#4304;&#4315;&#4308;&#4305;&#4312;&#4321;%20&#4305;&#4312;&#4323;&#4335;&#4308;&#4322;&#4312;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ktop\2012%20wlis%20biujeti\2012%20&#4332;&#4314;&#4312;&#4321;%20&#4321;&#4317;&#4330;&#4312;&#4304;&#4314;&#4323;&#4320;&#4312;%20&#4318;&#4320;&#4317;&#4306;&#4320;&#4304;&#4315;&#4308;&#4305;&#4312;&#4321;%20&#4305;&#4312;&#4323;&#4335;&#4308;&#4322;&#4312;(5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gvaramadze\Desktop\&#4305;&#4312;&#4323;&#4335;&#4308;&#4322;&#4312;%202021-2014\&#4307;&#4304;&#4316;&#4304;&#4320;&#4311;&#4312;-3.2-2020-2023&#4332;.&#4332;._(&#4313;&#4304;&#4316;&#4317;&#4316;&#4311;&#4304;&#4316;_&#4328;&#4308;&#4321;&#4304;&#4305;&#4304;&#4315;&#4312;&#4321;&#4312;)_&#4307;&#4304;&#4315;&#4322;&#4313;&#4312;&#4330;&#4308;&#4305;&#4323;&#4314;&#43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ულ სოციალური პროგრამები"/>
      <sheetName val="საპენსიო უზრ. პოლიტ. შეუცვლელად"/>
      <sheetName val="საპენსიო რეფ. დამატებითი თანხებ"/>
      <sheetName val="სოციალური დახმარება"/>
      <sheetName val="სოციალური რეაბ. და ბავშვზე ზრუნ"/>
      <sheetName val="G&amp;C"/>
      <sheetName val="Food"/>
      <sheetName val="DCare"/>
      <sheetName val="SGH"/>
      <sheetName val="Shelt"/>
      <sheetName val="Akh"/>
      <sheetName val="Psych"/>
      <sheetName val="Comm"/>
      <sheetName val="Recr"/>
      <sheetName val="Ablilt"/>
      <sheetName val="WWII"/>
      <sheetName val="E_Dev"/>
      <sheetName val="E_Diag"/>
      <sheetName val="Surd"/>
      <sheetName val="AIDS_Devices"/>
      <sheetName val="Monit"/>
      <sheetName val="C_2012"/>
      <sheetName val="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9">
          <cell r="E69">
            <v>252</v>
          </cell>
        </row>
      </sheetData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ულ სოციალური პროგრამები"/>
      <sheetName val="საპენსიო უზრ. პოლიტ. შეუცვლელად"/>
      <sheetName val="საპენსიო რეფ. დამატებითი თანხებ"/>
      <sheetName val="სოციალური დახმარება"/>
      <sheetName val="სოციალური რეაბ. და ბავშვზე ზრუნ"/>
      <sheetName val="G&amp;C"/>
      <sheetName val="Food"/>
      <sheetName val="DCare"/>
      <sheetName val="SGH"/>
      <sheetName val="Shelt"/>
      <sheetName val="Akh"/>
      <sheetName val="Psych"/>
      <sheetName val="Comm"/>
      <sheetName val="Recr"/>
      <sheetName val="Ablilt"/>
      <sheetName val="WWII"/>
      <sheetName val="E_Dev"/>
      <sheetName val="E_Diag"/>
      <sheetName val="Surd"/>
      <sheetName val="AIDS_Devices"/>
      <sheetName val="Monit"/>
      <sheetName val="C_2012"/>
      <sheetName val="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9">
          <cell r="E69">
            <v>252</v>
          </cell>
        </row>
      </sheetData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კანონთან შესაბამისი"/>
    </sheetNames>
    <sheetDataSet>
      <sheetData sheetId="0">
        <row r="71">
          <cell r="I71">
            <v>2510000</v>
          </cell>
          <cell r="L71">
            <v>2779738</v>
          </cell>
          <cell r="O71">
            <v>3069418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57"/>
  <sheetViews>
    <sheetView tabSelected="1" view="pageBreakPreview" topLeftCell="B1" zoomScale="115" zoomScaleNormal="73" zoomScaleSheetLayoutView="115" workbookViewId="0">
      <pane xSplit="3" ySplit="8" topLeftCell="E9" activePane="bottomRight" state="frozen"/>
      <selection activeCell="B1" sqref="B1"/>
      <selection pane="topRight" activeCell="E1" sqref="E1"/>
      <selection pane="bottomLeft" activeCell="B9" sqref="B9"/>
      <selection pane="bottomRight" activeCell="T29" sqref="T29"/>
    </sheetView>
  </sheetViews>
  <sheetFormatPr defaultColWidth="9.140625" defaultRowHeight="15" x14ac:dyDescent="0.25"/>
  <cols>
    <col min="1" max="1" width="4" style="9" hidden="1" customWidth="1"/>
    <col min="2" max="2" width="15.140625" style="2" customWidth="1"/>
    <col min="3" max="3" width="9.7109375" style="2" customWidth="1"/>
    <col min="4" max="4" width="35.42578125" style="1" customWidth="1"/>
    <col min="5" max="5" width="15" style="4" customWidth="1"/>
    <col min="6" max="6" width="17.140625" style="1" hidden="1" customWidth="1"/>
    <col min="7" max="7" width="17.42578125" style="2" hidden="1" customWidth="1"/>
    <col min="8" max="8" width="13.7109375" style="4" customWidth="1"/>
    <col min="9" max="9" width="15.7109375" style="1" hidden="1" customWidth="1"/>
    <col min="10" max="10" width="17.42578125" style="2" hidden="1" customWidth="1"/>
    <col min="11" max="11" width="13.140625" style="4" customWidth="1"/>
    <col min="12" max="12" width="13.42578125" style="1" hidden="1" customWidth="1"/>
    <col min="13" max="13" width="20" style="1" hidden="1" customWidth="1"/>
    <col min="14" max="14" width="14.42578125" style="4" customWidth="1"/>
    <col min="15" max="15" width="14.140625" style="1" hidden="1" customWidth="1"/>
    <col min="16" max="16" width="20" style="1" hidden="1" customWidth="1"/>
    <col min="17" max="18" width="10.140625" style="1" bestFit="1" customWidth="1"/>
    <col min="19" max="19" width="11.28515625" style="1" bestFit="1" customWidth="1"/>
    <col min="20" max="20" width="11" style="1" bestFit="1" customWidth="1"/>
    <col min="21" max="16384" width="9.140625" style="1"/>
  </cols>
  <sheetData>
    <row r="1" spans="1:17" ht="29.45" customHeight="1" x14ac:dyDescent="0.25">
      <c r="M1" s="95" t="s">
        <v>18</v>
      </c>
      <c r="N1" s="95"/>
      <c r="O1" s="95"/>
      <c r="P1" s="95"/>
    </row>
    <row r="2" spans="1:17" ht="11.25" customHeight="1" x14ac:dyDescent="0.25">
      <c r="H2" s="101"/>
      <c r="I2" s="101"/>
      <c r="L2" s="101"/>
      <c r="M2" s="101"/>
      <c r="O2" s="101" t="s">
        <v>11</v>
      </c>
      <c r="P2" s="101"/>
    </row>
    <row r="3" spans="1:17" ht="24.75" customHeight="1" x14ac:dyDescent="0.25">
      <c r="B3" s="105" t="s">
        <v>12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</row>
    <row r="4" spans="1:17" ht="14.25" customHeight="1" x14ac:dyDescent="0.25">
      <c r="F4" s="3"/>
      <c r="I4" s="3"/>
      <c r="L4" s="3"/>
      <c r="O4" s="3"/>
    </row>
    <row r="5" spans="1:17" ht="51" hidden="1" customHeight="1" x14ac:dyDescent="0.25">
      <c r="F5" s="7"/>
      <c r="G5" s="8"/>
      <c r="I5" s="7"/>
      <c r="L5" s="7"/>
      <c r="O5" s="7"/>
    </row>
    <row r="6" spans="1:17" ht="18" customHeight="1" x14ac:dyDescent="0.25">
      <c r="A6" s="96"/>
      <c r="B6" s="97" t="s">
        <v>0</v>
      </c>
      <c r="C6" s="97" t="s">
        <v>1</v>
      </c>
      <c r="D6" s="97" t="s">
        <v>2</v>
      </c>
      <c r="E6" s="102" t="s">
        <v>15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1:17" ht="24.95" customHeight="1" x14ac:dyDescent="0.25">
      <c r="A7" s="96"/>
      <c r="B7" s="98"/>
      <c r="C7" s="98"/>
      <c r="D7" s="98"/>
      <c r="E7" s="100" t="s">
        <v>7</v>
      </c>
      <c r="F7" s="100"/>
      <c r="G7" s="100"/>
      <c r="H7" s="100" t="s">
        <v>8</v>
      </c>
      <c r="I7" s="100"/>
      <c r="J7" s="100"/>
      <c r="K7" s="100" t="s">
        <v>10</v>
      </c>
      <c r="L7" s="100"/>
      <c r="M7" s="100"/>
      <c r="N7" s="100" t="s">
        <v>13</v>
      </c>
      <c r="O7" s="100"/>
      <c r="P7" s="100"/>
    </row>
    <row r="8" spans="1:17" ht="60" x14ac:dyDescent="0.25">
      <c r="A8" s="96"/>
      <c r="B8" s="99"/>
      <c r="C8" s="99"/>
      <c r="D8" s="99"/>
      <c r="E8" s="5" t="s">
        <v>3</v>
      </c>
      <c r="F8" s="6" t="s">
        <v>4</v>
      </c>
      <c r="G8" s="6" t="s">
        <v>5</v>
      </c>
      <c r="H8" s="5" t="s">
        <v>3</v>
      </c>
      <c r="I8" s="6" t="s">
        <v>4</v>
      </c>
      <c r="J8" s="6" t="s">
        <v>5</v>
      </c>
      <c r="K8" s="5" t="s">
        <v>3</v>
      </c>
      <c r="L8" s="6" t="s">
        <v>4</v>
      </c>
      <c r="M8" s="6" t="s">
        <v>5</v>
      </c>
      <c r="N8" s="100" t="s">
        <v>3</v>
      </c>
      <c r="O8" s="100" t="s">
        <v>4</v>
      </c>
      <c r="P8" s="100" t="s">
        <v>5</v>
      </c>
    </row>
    <row r="9" spans="1:17" ht="38.25" customHeight="1" x14ac:dyDescent="0.25">
      <c r="A9" s="18"/>
      <c r="B9" s="27" t="s">
        <v>21</v>
      </c>
      <c r="C9" s="28"/>
      <c r="D9" s="29" t="s">
        <v>22</v>
      </c>
      <c r="E9" s="30">
        <f>E13+E19+E32+E53+E57</f>
        <v>3540049</v>
      </c>
      <c r="F9" s="30">
        <f t="shared" ref="F9:N9" si="0">F13+F19+F32+F53</f>
        <v>3115062</v>
      </c>
      <c r="G9" s="30">
        <f t="shared" si="0"/>
        <v>0</v>
      </c>
      <c r="H9" s="30">
        <f t="shared" si="0"/>
        <v>3815012</v>
      </c>
      <c r="I9" s="30">
        <f t="shared" si="0"/>
        <v>3529312</v>
      </c>
      <c r="J9" s="30">
        <f t="shared" si="0"/>
        <v>0</v>
      </c>
      <c r="K9" s="30">
        <f t="shared" si="0"/>
        <v>4119192</v>
      </c>
      <c r="L9" s="30">
        <f t="shared" si="0"/>
        <v>3811562</v>
      </c>
      <c r="M9" s="30">
        <f t="shared" si="0"/>
        <v>0</v>
      </c>
      <c r="N9" s="30">
        <f t="shared" si="0"/>
        <v>4150274</v>
      </c>
      <c r="O9" s="21">
        <f t="shared" ref="O9:P9" si="1">O13+O19+O32+O53</f>
        <v>0</v>
      </c>
      <c r="P9" s="21">
        <f t="shared" si="1"/>
        <v>0</v>
      </c>
      <c r="Q9" s="3">
        <f>3541000-E9</f>
        <v>951</v>
      </c>
    </row>
    <row r="10" spans="1:17" s="4" customFormat="1" x14ac:dyDescent="0.25">
      <c r="A10" s="19"/>
      <c r="B10" s="20"/>
      <c r="C10" s="20"/>
      <c r="D10" s="22" t="s">
        <v>6</v>
      </c>
      <c r="E10" s="23">
        <f t="shared" ref="E10:E56" si="2">SUM(F10:G10)</f>
        <v>484</v>
      </c>
      <c r="F10" s="23">
        <f t="shared" ref="F10:P10" si="3">F14+F20+F33+F54</f>
        <v>484</v>
      </c>
      <c r="G10" s="23">
        <f t="shared" si="3"/>
        <v>0</v>
      </c>
      <c r="H10" s="23">
        <f t="shared" si="3"/>
        <v>484</v>
      </c>
      <c r="I10" s="23">
        <f t="shared" si="3"/>
        <v>484</v>
      </c>
      <c r="J10" s="23">
        <f t="shared" si="3"/>
        <v>0</v>
      </c>
      <c r="K10" s="23">
        <f t="shared" si="3"/>
        <v>484</v>
      </c>
      <c r="L10" s="23">
        <f t="shared" si="3"/>
        <v>484</v>
      </c>
      <c r="M10" s="23">
        <f t="shared" si="3"/>
        <v>0</v>
      </c>
      <c r="N10" s="87">
        <f>K10</f>
        <v>484</v>
      </c>
      <c r="O10" s="21">
        <f t="shared" si="3"/>
        <v>0</v>
      </c>
      <c r="P10" s="21">
        <f t="shared" si="3"/>
        <v>0</v>
      </c>
    </row>
    <row r="11" spans="1:17" s="4" customFormat="1" x14ac:dyDescent="0.25">
      <c r="A11" s="19"/>
      <c r="B11" s="20"/>
      <c r="C11" s="20"/>
      <c r="D11" s="22" t="s">
        <v>23</v>
      </c>
      <c r="E11" s="23">
        <f t="shared" si="2"/>
        <v>0</v>
      </c>
      <c r="F11" s="23">
        <f t="shared" ref="F11:P11" si="4">F15+F21+F34+F55</f>
        <v>0</v>
      </c>
      <c r="G11" s="23">
        <f t="shared" si="4"/>
        <v>0</v>
      </c>
      <c r="H11" s="23">
        <f t="shared" si="4"/>
        <v>0</v>
      </c>
      <c r="I11" s="23">
        <f t="shared" si="4"/>
        <v>0</v>
      </c>
      <c r="J11" s="23">
        <f t="shared" si="4"/>
        <v>0</v>
      </c>
      <c r="K11" s="23">
        <f t="shared" si="4"/>
        <v>0</v>
      </c>
      <c r="L11" s="23">
        <f t="shared" si="4"/>
        <v>0</v>
      </c>
      <c r="M11" s="23">
        <f t="shared" si="4"/>
        <v>0</v>
      </c>
      <c r="N11" s="87">
        <f t="shared" si="4"/>
        <v>0</v>
      </c>
      <c r="O11" s="21">
        <f t="shared" si="4"/>
        <v>0</v>
      </c>
      <c r="P11" s="21">
        <f t="shared" si="4"/>
        <v>0</v>
      </c>
    </row>
    <row r="12" spans="1:17" x14ac:dyDescent="0.25">
      <c r="A12" s="18"/>
      <c r="B12" s="25"/>
      <c r="C12" s="26"/>
      <c r="D12" s="22" t="s">
        <v>24</v>
      </c>
      <c r="E12" s="23">
        <f t="shared" si="2"/>
        <v>484</v>
      </c>
      <c r="F12" s="23">
        <f t="shared" ref="F12:P12" si="5">F16+F22+F35+F56</f>
        <v>484</v>
      </c>
      <c r="G12" s="23">
        <f t="shared" si="5"/>
        <v>0</v>
      </c>
      <c r="H12" s="23">
        <f t="shared" si="5"/>
        <v>484</v>
      </c>
      <c r="I12" s="23">
        <f t="shared" si="5"/>
        <v>484</v>
      </c>
      <c r="J12" s="23">
        <f t="shared" si="5"/>
        <v>0</v>
      </c>
      <c r="K12" s="23">
        <f t="shared" si="5"/>
        <v>484</v>
      </c>
      <c r="L12" s="23">
        <f t="shared" si="5"/>
        <v>484</v>
      </c>
      <c r="M12" s="23">
        <f t="shared" si="5"/>
        <v>0</v>
      </c>
      <c r="N12" s="87">
        <f>K12</f>
        <v>484</v>
      </c>
      <c r="O12" s="21">
        <f t="shared" si="5"/>
        <v>0</v>
      </c>
      <c r="P12" s="21">
        <f t="shared" si="5"/>
        <v>0</v>
      </c>
    </row>
    <row r="13" spans="1:17" ht="30" x14ac:dyDescent="0.25">
      <c r="A13" s="18"/>
      <c r="B13" s="27" t="s">
        <v>25</v>
      </c>
      <c r="C13" s="28"/>
      <c r="D13" s="29" t="s">
        <v>26</v>
      </c>
      <c r="E13" s="30">
        <f>SUM(E17:E18)</f>
        <v>2630000</v>
      </c>
      <c r="F13" s="30">
        <f t="shared" ref="F13:N13" si="6">SUM(F17:F18)</f>
        <v>2230000</v>
      </c>
      <c r="G13" s="30">
        <f t="shared" si="6"/>
        <v>0</v>
      </c>
      <c r="H13" s="30">
        <f t="shared" si="6"/>
        <v>2900550</v>
      </c>
      <c r="I13" s="30">
        <f t="shared" si="6"/>
        <v>2630812</v>
      </c>
      <c r="J13" s="30">
        <f t="shared" si="6"/>
        <v>0</v>
      </c>
      <c r="K13" s="30">
        <f t="shared" si="6"/>
        <v>3190418</v>
      </c>
      <c r="L13" s="30">
        <f t="shared" si="6"/>
        <v>2900738</v>
      </c>
      <c r="M13" s="30">
        <f t="shared" si="6"/>
        <v>0</v>
      </c>
      <c r="N13" s="30">
        <f t="shared" si="6"/>
        <v>3221500</v>
      </c>
      <c r="O13" s="34">
        <f>SUM(O17:O18)</f>
        <v>0</v>
      </c>
      <c r="P13" s="34">
        <f>SUM(P17:P18)</f>
        <v>0</v>
      </c>
    </row>
    <row r="14" spans="1:17" hidden="1" x14ac:dyDescent="0.25">
      <c r="A14" s="18"/>
      <c r="B14" s="25"/>
      <c r="C14" s="26"/>
      <c r="D14" s="22" t="s">
        <v>6</v>
      </c>
      <c r="E14" s="23">
        <f t="shared" si="2"/>
        <v>0</v>
      </c>
      <c r="F14" s="23">
        <f>SUM(F15:F16)</f>
        <v>0</v>
      </c>
      <c r="G14" s="23">
        <f>SUM(G15:G16)</f>
        <v>0</v>
      </c>
      <c r="H14" s="23">
        <f t="shared" ref="H14:H56" si="7">SUM(I14:J14)</f>
        <v>0</v>
      </c>
      <c r="I14" s="23">
        <f>SUM(I15:I16)</f>
        <v>0</v>
      </c>
      <c r="J14" s="23">
        <f>SUM(J15:J16)</f>
        <v>0</v>
      </c>
      <c r="K14" s="23">
        <f t="shared" ref="K14:K56" si="8">SUM(L14:M14)</f>
        <v>0</v>
      </c>
      <c r="L14" s="23">
        <f>SUM(L15:L16)</f>
        <v>0</v>
      </c>
      <c r="M14" s="23">
        <f>SUM(M15:M16)</f>
        <v>0</v>
      </c>
      <c r="N14" s="21">
        <f>SUM(O14:P14)</f>
        <v>0</v>
      </c>
      <c r="O14" s="21">
        <f>SUM(O15:O16)</f>
        <v>0</v>
      </c>
      <c r="P14" s="21">
        <f>SUM(P15:P16)</f>
        <v>0</v>
      </c>
    </row>
    <row r="15" spans="1:17" hidden="1" x14ac:dyDescent="0.25">
      <c r="A15" s="18"/>
      <c r="B15" s="25"/>
      <c r="C15" s="26"/>
      <c r="D15" s="32" t="s">
        <v>19</v>
      </c>
      <c r="E15" s="23">
        <f t="shared" si="2"/>
        <v>0</v>
      </c>
      <c r="F15" s="24">
        <v>0</v>
      </c>
      <c r="G15" s="24">
        <v>0</v>
      </c>
      <c r="H15" s="23">
        <f t="shared" si="7"/>
        <v>0</v>
      </c>
      <c r="I15" s="24">
        <v>0</v>
      </c>
      <c r="J15" s="24">
        <v>0</v>
      </c>
      <c r="K15" s="23">
        <f t="shared" si="8"/>
        <v>0</v>
      </c>
      <c r="L15" s="24">
        <v>0</v>
      </c>
      <c r="M15" s="24">
        <v>0</v>
      </c>
      <c r="N15" s="21">
        <f>SUM(O15:P15)</f>
        <v>0</v>
      </c>
      <c r="O15" s="34">
        <v>0</v>
      </c>
      <c r="P15" s="34">
        <v>0</v>
      </c>
    </row>
    <row r="16" spans="1:17" hidden="1" x14ac:dyDescent="0.25">
      <c r="A16" s="18"/>
      <c r="B16" s="25"/>
      <c r="C16" s="26"/>
      <c r="D16" s="32" t="s">
        <v>20</v>
      </c>
      <c r="E16" s="23">
        <f t="shared" si="2"/>
        <v>0</v>
      </c>
      <c r="F16" s="24">
        <v>0</v>
      </c>
      <c r="G16" s="24">
        <v>0</v>
      </c>
      <c r="H16" s="23">
        <f t="shared" si="7"/>
        <v>0</v>
      </c>
      <c r="I16" s="24">
        <v>0</v>
      </c>
      <c r="J16" s="24">
        <v>0</v>
      </c>
      <c r="K16" s="23">
        <f t="shared" si="8"/>
        <v>0</v>
      </c>
      <c r="L16" s="24">
        <v>0</v>
      </c>
      <c r="M16" s="24">
        <v>0</v>
      </c>
      <c r="N16" s="21">
        <f>SUM(O16:P16)</f>
        <v>0</v>
      </c>
      <c r="O16" s="34">
        <v>0</v>
      </c>
      <c r="P16" s="34">
        <v>0</v>
      </c>
    </row>
    <row r="17" spans="1:21" ht="45" x14ac:dyDescent="0.25">
      <c r="A17" s="18"/>
      <c r="B17" s="33"/>
      <c r="C17" s="20" t="s">
        <v>27</v>
      </c>
      <c r="D17" s="32" t="s">
        <v>28</v>
      </c>
      <c r="E17" s="23">
        <f>'[3]კანონთან შესაბამისი'!$I$71</f>
        <v>2510000</v>
      </c>
      <c r="F17" s="24">
        <v>2110000</v>
      </c>
      <c r="G17" s="24">
        <v>0</v>
      </c>
      <c r="H17" s="23">
        <f>'[3]კანონთან შესაბამისი'!$L$71</f>
        <v>2779738</v>
      </c>
      <c r="I17" s="24">
        <v>2510000</v>
      </c>
      <c r="J17" s="24">
        <v>0</v>
      </c>
      <c r="K17" s="23">
        <f>'[3]კანონთან შესაბამისი'!$O$71</f>
        <v>3069418</v>
      </c>
      <c r="L17" s="24">
        <f>2900738-121000</f>
        <v>2779738</v>
      </c>
      <c r="M17" s="24">
        <v>0</v>
      </c>
      <c r="N17" s="87">
        <v>3100000</v>
      </c>
      <c r="O17" s="34">
        <v>0</v>
      </c>
      <c r="P17" s="34">
        <v>0</v>
      </c>
    </row>
    <row r="18" spans="1:21" ht="105" x14ac:dyDescent="0.25">
      <c r="A18" s="18"/>
      <c r="B18" s="33"/>
      <c r="C18" s="20" t="s">
        <v>29</v>
      </c>
      <c r="D18" s="32" t="s">
        <v>30</v>
      </c>
      <c r="E18" s="23">
        <f t="shared" si="2"/>
        <v>120000</v>
      </c>
      <c r="F18" s="24">
        <v>120000</v>
      </c>
      <c r="G18" s="24">
        <v>0</v>
      </c>
      <c r="H18" s="23">
        <f t="shared" si="7"/>
        <v>120812</v>
      </c>
      <c r="I18" s="24">
        <v>120812</v>
      </c>
      <c r="J18" s="24">
        <v>0</v>
      </c>
      <c r="K18" s="23">
        <f t="shared" si="8"/>
        <v>121000</v>
      </c>
      <c r="L18" s="24">
        <v>121000</v>
      </c>
      <c r="M18" s="24">
        <v>0</v>
      </c>
      <c r="N18" s="87">
        <v>121500</v>
      </c>
      <c r="O18" s="34">
        <v>0</v>
      </c>
      <c r="P18" s="34">
        <v>0</v>
      </c>
    </row>
    <row r="19" spans="1:21" ht="45" x14ac:dyDescent="0.25">
      <c r="A19" s="18"/>
      <c r="B19" s="27" t="s">
        <v>31</v>
      </c>
      <c r="C19" s="28"/>
      <c r="D19" s="29" t="s">
        <v>32</v>
      </c>
      <c r="E19" s="30">
        <f>E23+E24+E25+E26+E27+E28+E29+E30+E31</f>
        <v>805798</v>
      </c>
      <c r="F19" s="30">
        <f t="shared" ref="F19:N19" si="9">F23+F24+F25+F26+F27+F28+F29+F30+F31</f>
        <v>793000</v>
      </c>
      <c r="G19" s="30">
        <f t="shared" si="9"/>
        <v>0</v>
      </c>
      <c r="H19" s="30">
        <f t="shared" si="9"/>
        <v>816572</v>
      </c>
      <c r="I19" s="30">
        <f t="shared" si="9"/>
        <v>805798</v>
      </c>
      <c r="J19" s="30">
        <f t="shared" si="9"/>
        <v>0</v>
      </c>
      <c r="K19" s="30">
        <f t="shared" si="9"/>
        <v>827617</v>
      </c>
      <c r="L19" s="30">
        <f t="shared" si="9"/>
        <v>816772</v>
      </c>
      <c r="M19" s="30">
        <f t="shared" si="9"/>
        <v>0</v>
      </c>
      <c r="N19" s="30">
        <f t="shared" si="9"/>
        <v>827617</v>
      </c>
      <c r="O19" s="34">
        <f>O23+O24+O25+O26+O27+O28+O29+O30+O31</f>
        <v>0</v>
      </c>
      <c r="P19" s="34">
        <f>P23+P24+P25+P26+P27+P28+P29+P30+P31</f>
        <v>0</v>
      </c>
      <c r="Q19" s="3">
        <f>E19-E26</f>
        <v>804918</v>
      </c>
    </row>
    <row r="20" spans="1:21" x14ac:dyDescent="0.25">
      <c r="A20" s="18"/>
      <c r="B20" s="25"/>
      <c r="C20" s="26"/>
      <c r="D20" s="22" t="s">
        <v>6</v>
      </c>
      <c r="E20" s="23">
        <f t="shared" si="2"/>
        <v>484</v>
      </c>
      <c r="F20" s="23">
        <f>SUM(F21:F22)</f>
        <v>484</v>
      </c>
      <c r="G20" s="23">
        <f>SUM(G21:G22)</f>
        <v>0</v>
      </c>
      <c r="H20" s="23">
        <f t="shared" si="7"/>
        <v>484</v>
      </c>
      <c r="I20" s="23">
        <f>SUM(I21:I22)</f>
        <v>484</v>
      </c>
      <c r="J20" s="23">
        <f>SUM(J21:J22)</f>
        <v>0</v>
      </c>
      <c r="K20" s="23">
        <f t="shared" si="8"/>
        <v>484</v>
      </c>
      <c r="L20" s="23">
        <f>SUM(L21:L22)</f>
        <v>484</v>
      </c>
      <c r="M20" s="23">
        <f>SUM(M21:M22)</f>
        <v>0</v>
      </c>
      <c r="N20" s="87">
        <f>K20</f>
        <v>484</v>
      </c>
      <c r="O20" s="21">
        <f>SUM(O21:O22)</f>
        <v>0</v>
      </c>
      <c r="P20" s="21">
        <f>SUM(P21:P22)</f>
        <v>0</v>
      </c>
    </row>
    <row r="21" spans="1:21" x14ac:dyDescent="0.25">
      <c r="A21" s="18"/>
      <c r="B21" s="25"/>
      <c r="C21" s="26"/>
      <c r="D21" s="32" t="s">
        <v>19</v>
      </c>
      <c r="E21" s="23">
        <f t="shared" si="2"/>
        <v>0</v>
      </c>
      <c r="F21" s="24">
        <v>0</v>
      </c>
      <c r="G21" s="24">
        <v>0</v>
      </c>
      <c r="H21" s="23">
        <f t="shared" si="7"/>
        <v>0</v>
      </c>
      <c r="I21" s="24">
        <v>0</v>
      </c>
      <c r="J21" s="24">
        <v>0</v>
      </c>
      <c r="K21" s="23">
        <f t="shared" si="8"/>
        <v>0</v>
      </c>
      <c r="L21" s="24">
        <v>0</v>
      </c>
      <c r="M21" s="24">
        <v>0</v>
      </c>
      <c r="N21" s="87">
        <f>SUM(O21:P21)</f>
        <v>0</v>
      </c>
      <c r="O21" s="34">
        <v>0</v>
      </c>
      <c r="P21" s="34">
        <v>0</v>
      </c>
    </row>
    <row r="22" spans="1:21" x14ac:dyDescent="0.25">
      <c r="A22" s="18"/>
      <c r="B22" s="25"/>
      <c r="C22" s="26"/>
      <c r="D22" s="32" t="s">
        <v>20</v>
      </c>
      <c r="E22" s="23">
        <f t="shared" si="2"/>
        <v>484</v>
      </c>
      <c r="F22" s="24">
        <v>484</v>
      </c>
      <c r="G22" s="24">
        <v>0</v>
      </c>
      <c r="H22" s="23">
        <f t="shared" si="7"/>
        <v>484</v>
      </c>
      <c r="I22" s="24">
        <v>484</v>
      </c>
      <c r="J22" s="24">
        <v>0</v>
      </c>
      <c r="K22" s="23">
        <f t="shared" si="8"/>
        <v>484</v>
      </c>
      <c r="L22" s="24">
        <v>484</v>
      </c>
      <c r="M22" s="24">
        <v>0</v>
      </c>
      <c r="N22" s="87">
        <f t="shared" ref="N22:N31" si="10">K22</f>
        <v>484</v>
      </c>
      <c r="O22" s="34">
        <v>0</v>
      </c>
      <c r="P22" s="34">
        <v>0</v>
      </c>
    </row>
    <row r="23" spans="1:21" ht="30" x14ac:dyDescent="0.25">
      <c r="A23" s="18"/>
      <c r="B23" s="33"/>
      <c r="C23" s="20" t="s">
        <v>33</v>
      </c>
      <c r="D23" s="32" t="s">
        <v>34</v>
      </c>
      <c r="E23" s="23">
        <v>356721</v>
      </c>
      <c r="F23" s="24">
        <v>350760</v>
      </c>
      <c r="G23" s="24">
        <v>0</v>
      </c>
      <c r="H23" s="23">
        <v>361361</v>
      </c>
      <c r="I23" s="24">
        <v>356721</v>
      </c>
      <c r="J23" s="24">
        <v>0</v>
      </c>
      <c r="K23" s="23">
        <v>366982</v>
      </c>
      <c r="L23" s="24">
        <v>361361</v>
      </c>
      <c r="M23" s="24">
        <v>0</v>
      </c>
      <c r="N23" s="87">
        <f t="shared" si="10"/>
        <v>366982</v>
      </c>
      <c r="O23" s="34">
        <v>0</v>
      </c>
      <c r="P23" s="34">
        <v>0</v>
      </c>
    </row>
    <row r="24" spans="1:21" ht="30" x14ac:dyDescent="0.25">
      <c r="A24" s="18"/>
      <c r="B24" s="33"/>
      <c r="C24" s="20" t="s">
        <v>35</v>
      </c>
      <c r="D24" s="32" t="s">
        <v>36</v>
      </c>
      <c r="E24" s="23">
        <v>275697</v>
      </c>
      <c r="F24" s="24">
        <v>272150</v>
      </c>
      <c r="G24" s="24">
        <v>0</v>
      </c>
      <c r="H24" s="23">
        <v>281911</v>
      </c>
      <c r="I24" s="24">
        <v>275697</v>
      </c>
      <c r="J24" s="24">
        <v>0</v>
      </c>
      <c r="K24" s="23">
        <v>286835</v>
      </c>
      <c r="L24" s="24">
        <v>281911</v>
      </c>
      <c r="M24" s="24">
        <v>0</v>
      </c>
      <c r="N24" s="87">
        <f t="shared" si="10"/>
        <v>286835</v>
      </c>
      <c r="O24" s="34">
        <v>0</v>
      </c>
      <c r="P24" s="34">
        <v>0</v>
      </c>
    </row>
    <row r="25" spans="1:21" ht="45" x14ac:dyDescent="0.25">
      <c r="A25" s="18"/>
      <c r="B25" s="33"/>
      <c r="C25" s="20" t="s">
        <v>37</v>
      </c>
      <c r="D25" s="32" t="s">
        <v>38</v>
      </c>
      <c r="E25" s="23">
        <v>126000</v>
      </c>
      <c r="F25" s="24">
        <v>126000</v>
      </c>
      <c r="G25" s="24">
        <v>0</v>
      </c>
      <c r="H25" s="23">
        <v>126000</v>
      </c>
      <c r="I25" s="24">
        <v>126000</v>
      </c>
      <c r="J25" s="24">
        <v>0</v>
      </c>
      <c r="K25" s="23">
        <v>126000</v>
      </c>
      <c r="L25" s="24">
        <v>126000</v>
      </c>
      <c r="M25" s="24">
        <v>0</v>
      </c>
      <c r="N25" s="87">
        <f t="shared" si="10"/>
        <v>126000</v>
      </c>
      <c r="O25" s="34">
        <v>0</v>
      </c>
      <c r="P25" s="34">
        <v>0</v>
      </c>
    </row>
    <row r="26" spans="1:21" x14ac:dyDescent="0.25">
      <c r="A26" s="18"/>
      <c r="B26" s="33"/>
      <c r="C26" s="20" t="s">
        <v>39</v>
      </c>
      <c r="D26" s="94" t="s">
        <v>40</v>
      </c>
      <c r="E26" s="21">
        <v>880</v>
      </c>
      <c r="F26" s="24">
        <v>550</v>
      </c>
      <c r="G26" s="24">
        <v>0</v>
      </c>
      <c r="H26" s="23">
        <v>1000</v>
      </c>
      <c r="I26" s="24">
        <v>880</v>
      </c>
      <c r="J26" s="24">
        <v>0</v>
      </c>
      <c r="K26" s="23">
        <v>1500</v>
      </c>
      <c r="L26" s="24">
        <v>1000</v>
      </c>
      <c r="M26" s="24">
        <v>0</v>
      </c>
      <c r="N26" s="87">
        <f t="shared" si="10"/>
        <v>1500</v>
      </c>
      <c r="O26" s="34">
        <v>0</v>
      </c>
      <c r="P26" s="34">
        <v>0</v>
      </c>
    </row>
    <row r="27" spans="1:21" ht="30" x14ac:dyDescent="0.25">
      <c r="A27" s="18"/>
      <c r="B27" s="33"/>
      <c r="C27" s="20" t="s">
        <v>41</v>
      </c>
      <c r="D27" s="32" t="s">
        <v>42</v>
      </c>
      <c r="E27" s="23">
        <v>25000</v>
      </c>
      <c r="F27" s="24">
        <v>22000</v>
      </c>
      <c r="G27" s="24">
        <v>0</v>
      </c>
      <c r="H27" s="23">
        <v>25000</v>
      </c>
      <c r="I27" s="24">
        <v>25000</v>
      </c>
      <c r="J27" s="24">
        <v>0</v>
      </c>
      <c r="K27" s="23">
        <v>25000</v>
      </c>
      <c r="L27" s="24">
        <v>25000</v>
      </c>
      <c r="M27" s="24">
        <v>0</v>
      </c>
      <c r="N27" s="87">
        <f t="shared" si="10"/>
        <v>25000</v>
      </c>
      <c r="O27" s="34">
        <v>0</v>
      </c>
      <c r="P27" s="34">
        <v>0</v>
      </c>
    </row>
    <row r="28" spans="1:21" ht="45" x14ac:dyDescent="0.25">
      <c r="A28" s="18"/>
      <c r="B28" s="33"/>
      <c r="C28" s="20" t="s">
        <v>43</v>
      </c>
      <c r="D28" s="32" t="s">
        <v>44</v>
      </c>
      <c r="E28" s="23">
        <v>15000</v>
      </c>
      <c r="F28" s="24">
        <v>15000</v>
      </c>
      <c r="G28" s="24">
        <v>0</v>
      </c>
      <c r="H28" s="23">
        <v>15000</v>
      </c>
      <c r="I28" s="24">
        <v>15000</v>
      </c>
      <c r="J28" s="24">
        <v>0</v>
      </c>
      <c r="K28" s="23">
        <v>15000</v>
      </c>
      <c r="L28" s="24">
        <v>15000</v>
      </c>
      <c r="M28" s="24">
        <v>0</v>
      </c>
      <c r="N28" s="87">
        <f t="shared" si="10"/>
        <v>15000</v>
      </c>
      <c r="O28" s="34">
        <v>0</v>
      </c>
      <c r="P28" s="34">
        <v>0</v>
      </c>
    </row>
    <row r="29" spans="1:21" ht="60" x14ac:dyDescent="0.25">
      <c r="A29" s="18"/>
      <c r="B29" s="33"/>
      <c r="C29" s="20" t="s">
        <v>45</v>
      </c>
      <c r="D29" s="32" t="s">
        <v>46</v>
      </c>
      <c r="E29" s="23">
        <v>1300</v>
      </c>
      <c r="F29" s="24">
        <v>1300</v>
      </c>
      <c r="G29" s="24">
        <v>0</v>
      </c>
      <c r="H29" s="23">
        <v>1300</v>
      </c>
      <c r="I29" s="24">
        <v>1300</v>
      </c>
      <c r="J29" s="24">
        <v>0</v>
      </c>
      <c r="K29" s="23">
        <v>1300</v>
      </c>
      <c r="L29" s="24">
        <v>1300</v>
      </c>
      <c r="M29" s="24">
        <v>0</v>
      </c>
      <c r="N29" s="87">
        <f t="shared" si="10"/>
        <v>1300</v>
      </c>
      <c r="O29" s="34">
        <v>0</v>
      </c>
      <c r="P29" s="34">
        <v>0</v>
      </c>
    </row>
    <row r="30" spans="1:21" x14ac:dyDescent="0.25">
      <c r="A30" s="18"/>
      <c r="B30" s="33"/>
      <c r="C30" s="20" t="s">
        <v>47</v>
      </c>
      <c r="D30" s="32" t="s">
        <v>48</v>
      </c>
      <c r="E30" s="23">
        <v>4900</v>
      </c>
      <c r="F30" s="24">
        <v>4900</v>
      </c>
      <c r="G30" s="24">
        <v>0</v>
      </c>
      <c r="H30" s="23">
        <v>4700</v>
      </c>
      <c r="I30" s="24">
        <v>4900</v>
      </c>
      <c r="J30" s="24">
        <v>0</v>
      </c>
      <c r="K30" s="23">
        <v>4700</v>
      </c>
      <c r="L30" s="24">
        <v>4900</v>
      </c>
      <c r="M30" s="24">
        <v>0</v>
      </c>
      <c r="N30" s="87">
        <f t="shared" si="10"/>
        <v>4700</v>
      </c>
      <c r="O30" s="34">
        <v>0</v>
      </c>
      <c r="P30" s="34">
        <v>0</v>
      </c>
    </row>
    <row r="31" spans="1:21" x14ac:dyDescent="0.25">
      <c r="A31" s="18"/>
      <c r="B31" s="33"/>
      <c r="C31" s="20" t="s">
        <v>49</v>
      </c>
      <c r="D31" s="32" t="s">
        <v>50</v>
      </c>
      <c r="E31" s="23">
        <v>300</v>
      </c>
      <c r="F31" s="24">
        <v>340</v>
      </c>
      <c r="G31" s="24">
        <v>0</v>
      </c>
      <c r="H31" s="23">
        <v>300</v>
      </c>
      <c r="I31" s="24">
        <v>300</v>
      </c>
      <c r="J31" s="24">
        <v>0</v>
      </c>
      <c r="K31" s="23">
        <v>300</v>
      </c>
      <c r="L31" s="24">
        <v>300</v>
      </c>
      <c r="M31" s="24">
        <v>0</v>
      </c>
      <c r="N31" s="87">
        <f t="shared" si="10"/>
        <v>300</v>
      </c>
      <c r="O31" s="34">
        <v>0</v>
      </c>
      <c r="P31" s="34">
        <v>0</v>
      </c>
      <c r="T31" s="3"/>
    </row>
    <row r="32" spans="1:21" ht="30" x14ac:dyDescent="0.25">
      <c r="A32" s="18"/>
      <c r="B32" s="27" t="s">
        <v>51</v>
      </c>
      <c r="C32" s="28"/>
      <c r="D32" s="29" t="s">
        <v>52</v>
      </c>
      <c r="E32" s="30">
        <f>SUM(E36:E52)</f>
        <v>37951</v>
      </c>
      <c r="F32" s="30">
        <f t="shared" ref="F32:N32" si="11">SUM(F36:F52)</f>
        <v>33762</v>
      </c>
      <c r="G32" s="30">
        <f t="shared" si="11"/>
        <v>0</v>
      </c>
      <c r="H32" s="30">
        <f t="shared" si="11"/>
        <v>40390</v>
      </c>
      <c r="I32" s="30">
        <f t="shared" si="11"/>
        <v>35202</v>
      </c>
      <c r="J32" s="30">
        <f t="shared" si="11"/>
        <v>0</v>
      </c>
      <c r="K32" s="30">
        <f t="shared" si="11"/>
        <v>43657</v>
      </c>
      <c r="L32" s="30">
        <f t="shared" si="11"/>
        <v>36552</v>
      </c>
      <c r="M32" s="30">
        <f t="shared" si="11"/>
        <v>0</v>
      </c>
      <c r="N32" s="30">
        <f t="shared" si="11"/>
        <v>43657</v>
      </c>
      <c r="O32" s="34">
        <f>SUM(O36:O49)</f>
        <v>0</v>
      </c>
      <c r="P32" s="34">
        <f>SUM(P36:P49)</f>
        <v>0</v>
      </c>
      <c r="Q32" s="3"/>
      <c r="R32" s="3"/>
      <c r="S32" s="92"/>
      <c r="T32" s="93"/>
      <c r="U32" s="3"/>
    </row>
    <row r="33" spans="1:18" x14ac:dyDescent="0.25">
      <c r="A33" s="18"/>
      <c r="B33" s="25"/>
      <c r="C33" s="26"/>
      <c r="D33" s="22" t="s">
        <v>6</v>
      </c>
      <c r="E33" s="23">
        <f t="shared" si="2"/>
        <v>0</v>
      </c>
      <c r="F33" s="23">
        <f>SUM(F34:F35)</f>
        <v>0</v>
      </c>
      <c r="G33" s="23">
        <f>SUM(G34:G35)</f>
        <v>0</v>
      </c>
      <c r="H33" s="23">
        <f t="shared" si="7"/>
        <v>0</v>
      </c>
      <c r="I33" s="23">
        <f>SUM(I34:I35)</f>
        <v>0</v>
      </c>
      <c r="J33" s="23">
        <f>SUM(J34:J35)</f>
        <v>0</v>
      </c>
      <c r="K33" s="23">
        <f t="shared" si="8"/>
        <v>0</v>
      </c>
      <c r="L33" s="23">
        <f>SUM(L34:L35)</f>
        <v>0</v>
      </c>
      <c r="M33" s="23">
        <f>SUM(M34:M35)</f>
        <v>0</v>
      </c>
      <c r="N33" s="87">
        <f>SUM(O33:P33)</f>
        <v>0</v>
      </c>
      <c r="O33" s="21">
        <f>SUM(O34:O35)</f>
        <v>0</v>
      </c>
      <c r="P33" s="21">
        <f>SUM(P34:P35)</f>
        <v>0</v>
      </c>
    </row>
    <row r="34" spans="1:18" x14ac:dyDescent="0.25">
      <c r="A34" s="18"/>
      <c r="B34" s="25"/>
      <c r="C34" s="26"/>
      <c r="D34" s="32" t="s">
        <v>19</v>
      </c>
      <c r="E34" s="23">
        <f t="shared" si="2"/>
        <v>0</v>
      </c>
      <c r="F34" s="24">
        <v>0</v>
      </c>
      <c r="G34" s="24">
        <v>0</v>
      </c>
      <c r="H34" s="23">
        <f t="shared" si="7"/>
        <v>0</v>
      </c>
      <c r="I34" s="24">
        <v>0</v>
      </c>
      <c r="J34" s="24">
        <v>0</v>
      </c>
      <c r="K34" s="23">
        <f t="shared" si="8"/>
        <v>0</v>
      </c>
      <c r="L34" s="24">
        <v>0</v>
      </c>
      <c r="M34" s="24">
        <v>0</v>
      </c>
      <c r="N34" s="87">
        <f>SUM(O34:P34)</f>
        <v>0</v>
      </c>
      <c r="O34" s="34">
        <v>0</v>
      </c>
      <c r="P34" s="34">
        <v>0</v>
      </c>
    </row>
    <row r="35" spans="1:18" x14ac:dyDescent="0.25">
      <c r="A35" s="18"/>
      <c r="B35" s="25"/>
      <c r="C35" s="26"/>
      <c r="D35" s="32" t="s">
        <v>20</v>
      </c>
      <c r="E35" s="23">
        <f t="shared" si="2"/>
        <v>0</v>
      </c>
      <c r="F35" s="24">
        <v>0</v>
      </c>
      <c r="G35" s="24">
        <v>0</v>
      </c>
      <c r="H35" s="23">
        <f t="shared" si="7"/>
        <v>0</v>
      </c>
      <c r="I35" s="24">
        <v>0</v>
      </c>
      <c r="J35" s="24">
        <v>0</v>
      </c>
      <c r="K35" s="23">
        <f t="shared" si="8"/>
        <v>0</v>
      </c>
      <c r="L35" s="24">
        <v>0</v>
      </c>
      <c r="M35" s="24">
        <v>0</v>
      </c>
      <c r="N35" s="87">
        <f>SUM(O35:P35)</f>
        <v>0</v>
      </c>
      <c r="O35" s="34">
        <v>0</v>
      </c>
      <c r="P35" s="34">
        <v>0</v>
      </c>
    </row>
    <row r="36" spans="1:18" ht="30" x14ac:dyDescent="0.25">
      <c r="A36" s="18"/>
      <c r="B36" s="33"/>
      <c r="C36" s="20" t="s">
        <v>53</v>
      </c>
      <c r="D36" s="32" t="s">
        <v>82</v>
      </c>
      <c r="E36" s="87">
        <v>1300</v>
      </c>
      <c r="F36" s="24">
        <v>1800</v>
      </c>
      <c r="G36" s="24">
        <v>0</v>
      </c>
      <c r="H36" s="23">
        <f>1900</f>
        <v>1900</v>
      </c>
      <c r="I36" s="24">
        <v>1800</v>
      </c>
      <c r="J36" s="24">
        <v>0</v>
      </c>
      <c r="K36" s="23">
        <v>2000</v>
      </c>
      <c r="L36" s="24">
        <v>1900</v>
      </c>
      <c r="M36" s="24">
        <v>0</v>
      </c>
      <c r="N36" s="88">
        <v>2000</v>
      </c>
      <c r="O36" s="34">
        <v>0</v>
      </c>
      <c r="P36" s="34">
        <v>0</v>
      </c>
      <c r="R36" s="3"/>
    </row>
    <row r="37" spans="1:18" ht="30" x14ac:dyDescent="0.25">
      <c r="A37" s="18"/>
      <c r="B37" s="33"/>
      <c r="C37" s="20" t="s">
        <v>54</v>
      </c>
      <c r="D37" s="32" t="s">
        <v>55</v>
      </c>
      <c r="E37" s="87">
        <v>3200</v>
      </c>
      <c r="F37" s="24">
        <v>2800</v>
      </c>
      <c r="G37" s="24">
        <v>0</v>
      </c>
      <c r="H37" s="23">
        <f>3200+122+400+125</f>
        <v>3847</v>
      </c>
      <c r="I37" s="24">
        <v>2950</v>
      </c>
      <c r="J37" s="24">
        <v>0</v>
      </c>
      <c r="K37" s="23">
        <f>3500+400</f>
        <v>3900</v>
      </c>
      <c r="L37" s="24">
        <v>3109</v>
      </c>
      <c r="M37" s="24">
        <v>0</v>
      </c>
      <c r="N37" s="88">
        <v>3900</v>
      </c>
      <c r="O37" s="34">
        <v>0</v>
      </c>
      <c r="P37" s="34">
        <v>0</v>
      </c>
      <c r="R37" s="3"/>
    </row>
    <row r="38" spans="1:18" x14ac:dyDescent="0.25">
      <c r="A38" s="18"/>
      <c r="B38" s="33"/>
      <c r="C38" s="20" t="s">
        <v>56</v>
      </c>
      <c r="D38" s="85" t="s">
        <v>57</v>
      </c>
      <c r="E38" s="87">
        <v>3440</v>
      </c>
      <c r="F38" s="23">
        <v>0</v>
      </c>
      <c r="G38" s="23">
        <v>0</v>
      </c>
      <c r="H38" s="23">
        <v>3800</v>
      </c>
      <c r="I38" s="23">
        <v>0</v>
      </c>
      <c r="J38" s="23">
        <v>0</v>
      </c>
      <c r="K38" s="23">
        <v>5000</v>
      </c>
      <c r="L38" s="23">
        <v>0</v>
      </c>
      <c r="M38" s="23">
        <v>0</v>
      </c>
      <c r="N38" s="87">
        <v>5000</v>
      </c>
      <c r="O38" s="34">
        <v>0</v>
      </c>
      <c r="P38" s="34">
        <v>0</v>
      </c>
      <c r="R38" s="3"/>
    </row>
    <row r="39" spans="1:18" ht="30" x14ac:dyDescent="0.25">
      <c r="A39" s="18"/>
      <c r="B39" s="33"/>
      <c r="C39" s="20" t="s">
        <v>58</v>
      </c>
      <c r="D39" s="85" t="s">
        <v>59</v>
      </c>
      <c r="E39" s="87">
        <v>20</v>
      </c>
      <c r="F39" s="23">
        <v>0</v>
      </c>
      <c r="G39" s="23">
        <v>0</v>
      </c>
      <c r="H39" s="23">
        <v>38</v>
      </c>
      <c r="I39" s="23">
        <v>0</v>
      </c>
      <c r="J39" s="23">
        <v>0</v>
      </c>
      <c r="K39" s="23">
        <v>38</v>
      </c>
      <c r="L39" s="23">
        <v>0</v>
      </c>
      <c r="M39" s="23">
        <v>0</v>
      </c>
      <c r="N39" s="87">
        <v>38</v>
      </c>
      <c r="O39" s="34">
        <v>0</v>
      </c>
      <c r="P39" s="34">
        <v>0</v>
      </c>
      <c r="R39" s="3"/>
    </row>
    <row r="40" spans="1:18" ht="30" x14ac:dyDescent="0.25">
      <c r="A40" s="18"/>
      <c r="B40" s="33"/>
      <c r="C40" s="20" t="s">
        <v>60</v>
      </c>
      <c r="D40" s="32" t="s">
        <v>61</v>
      </c>
      <c r="E40" s="87">
        <v>6300</v>
      </c>
      <c r="F40" s="24">
        <v>6782</v>
      </c>
      <c r="G40" s="24">
        <v>0</v>
      </c>
      <c r="H40" s="23">
        <f>6900-55-150-91-182-122</f>
        <v>6300</v>
      </c>
      <c r="I40" s="24">
        <v>6800</v>
      </c>
      <c r="J40" s="24">
        <v>0</v>
      </c>
      <c r="K40" s="23">
        <f>7200-110-245-400-145</f>
        <v>6300</v>
      </c>
      <c r="L40" s="24">
        <v>6900</v>
      </c>
      <c r="M40" s="24">
        <v>0</v>
      </c>
      <c r="N40" s="88">
        <v>6300</v>
      </c>
      <c r="O40" s="34">
        <v>0</v>
      </c>
      <c r="P40" s="34">
        <v>0</v>
      </c>
      <c r="R40" s="3"/>
    </row>
    <row r="41" spans="1:18" ht="30" x14ac:dyDescent="0.25">
      <c r="A41" s="18"/>
      <c r="B41" s="33"/>
      <c r="C41" s="20" t="s">
        <v>62</v>
      </c>
      <c r="D41" s="32" t="s">
        <v>63</v>
      </c>
      <c r="E41" s="87">
        <f>4000+1855</f>
        <v>5855</v>
      </c>
      <c r="F41" s="24">
        <v>5600</v>
      </c>
      <c r="G41" s="24">
        <v>0</v>
      </c>
      <c r="H41" s="23">
        <f>5800+55</f>
        <v>5855</v>
      </c>
      <c r="I41" s="24">
        <v>5600</v>
      </c>
      <c r="J41" s="24">
        <v>0</v>
      </c>
      <c r="K41" s="23">
        <v>6300</v>
      </c>
      <c r="L41" s="24">
        <v>5800</v>
      </c>
      <c r="M41" s="24">
        <v>0</v>
      </c>
      <c r="N41" s="88">
        <v>6300</v>
      </c>
      <c r="O41" s="34">
        <v>0</v>
      </c>
      <c r="P41" s="34">
        <v>0</v>
      </c>
      <c r="R41" s="3"/>
    </row>
    <row r="42" spans="1:18" x14ac:dyDescent="0.25">
      <c r="A42" s="18"/>
      <c r="B42" s="33"/>
      <c r="C42" s="20" t="s">
        <v>64</v>
      </c>
      <c r="D42" s="32" t="s">
        <v>65</v>
      </c>
      <c r="E42" s="87">
        <v>48</v>
      </c>
      <c r="F42" s="24">
        <v>50</v>
      </c>
      <c r="G42" s="24">
        <v>0</v>
      </c>
      <c r="H42" s="23">
        <v>50</v>
      </c>
      <c r="I42" s="24">
        <v>50</v>
      </c>
      <c r="J42" s="24">
        <v>0</v>
      </c>
      <c r="K42" s="23">
        <v>50</v>
      </c>
      <c r="L42" s="24">
        <v>50</v>
      </c>
      <c r="M42" s="24">
        <v>0</v>
      </c>
      <c r="N42" s="88">
        <v>50</v>
      </c>
      <c r="O42" s="34">
        <v>0</v>
      </c>
      <c r="P42" s="34">
        <v>0</v>
      </c>
      <c r="R42" s="3"/>
    </row>
    <row r="43" spans="1:18" ht="30" x14ac:dyDescent="0.25">
      <c r="A43" s="18"/>
      <c r="B43" s="33"/>
      <c r="C43" s="20" t="s">
        <v>66</v>
      </c>
      <c r="D43" s="32" t="s">
        <v>67</v>
      </c>
      <c r="E43" s="87">
        <v>600</v>
      </c>
      <c r="F43" s="24">
        <v>450</v>
      </c>
      <c r="G43" s="24">
        <v>0</v>
      </c>
      <c r="H43" s="23">
        <f>450+150</f>
        <v>600</v>
      </c>
      <c r="I43" s="24">
        <v>450</v>
      </c>
      <c r="J43" s="24">
        <v>0</v>
      </c>
      <c r="K43" s="23">
        <f>490+110</f>
        <v>600</v>
      </c>
      <c r="L43" s="24">
        <v>450</v>
      </c>
      <c r="M43" s="24">
        <v>0</v>
      </c>
      <c r="N43" s="88">
        <v>600</v>
      </c>
      <c r="O43" s="34">
        <v>0</v>
      </c>
      <c r="P43" s="34">
        <v>0</v>
      </c>
      <c r="R43" s="3"/>
    </row>
    <row r="44" spans="1:18" x14ac:dyDescent="0.25">
      <c r="A44" s="18"/>
      <c r="B44" s="33"/>
      <c r="C44" s="20" t="s">
        <v>68</v>
      </c>
      <c r="D44" s="32" t="s">
        <v>69</v>
      </c>
      <c r="E44" s="87">
        <v>9700</v>
      </c>
      <c r="F44" s="24">
        <v>9585</v>
      </c>
      <c r="G44" s="24">
        <v>0</v>
      </c>
      <c r="H44" s="23">
        <f>10085+136</f>
        <v>10221</v>
      </c>
      <c r="I44" s="24">
        <v>9900</v>
      </c>
      <c r="J44" s="24">
        <v>0</v>
      </c>
      <c r="K44" s="23">
        <f>10500+400+683</f>
        <v>11583</v>
      </c>
      <c r="L44" s="24">
        <v>10085</v>
      </c>
      <c r="M44" s="24">
        <v>0</v>
      </c>
      <c r="N44" s="88">
        <v>11583</v>
      </c>
      <c r="O44" s="34">
        <v>0</v>
      </c>
      <c r="P44" s="34">
        <v>0</v>
      </c>
      <c r="R44" s="3"/>
    </row>
    <row r="45" spans="1:18" ht="30" x14ac:dyDescent="0.25">
      <c r="A45" s="18"/>
      <c r="B45" s="33"/>
      <c r="C45" s="20" t="s">
        <v>70</v>
      </c>
      <c r="D45" s="32" t="s">
        <v>71</v>
      </c>
      <c r="E45" s="87">
        <v>2600</v>
      </c>
      <c r="F45" s="24">
        <v>2700</v>
      </c>
      <c r="G45" s="24">
        <v>0</v>
      </c>
      <c r="H45" s="23">
        <f>2991-255-136</f>
        <v>2600</v>
      </c>
      <c r="I45" s="24">
        <v>2700</v>
      </c>
      <c r="J45" s="24">
        <v>0</v>
      </c>
      <c r="K45" s="23">
        <f>3050-400</f>
        <v>2650</v>
      </c>
      <c r="L45" s="24">
        <v>2991</v>
      </c>
      <c r="M45" s="24">
        <v>0</v>
      </c>
      <c r="N45" s="88">
        <v>2650</v>
      </c>
      <c r="O45" s="34">
        <v>0</v>
      </c>
      <c r="P45" s="34">
        <v>0</v>
      </c>
      <c r="R45" s="3"/>
    </row>
    <row r="46" spans="1:18" ht="30" x14ac:dyDescent="0.25">
      <c r="A46" s="18"/>
      <c r="B46" s="33"/>
      <c r="C46" s="20" t="s">
        <v>72</v>
      </c>
      <c r="D46" s="32" t="s">
        <v>73</v>
      </c>
      <c r="E46" s="87">
        <v>1000</v>
      </c>
      <c r="F46" s="24">
        <v>1200</v>
      </c>
      <c r="G46" s="24">
        <v>0</v>
      </c>
      <c r="H46" s="23">
        <f>1683-683</f>
        <v>1000</v>
      </c>
      <c r="I46" s="24">
        <v>1683</v>
      </c>
      <c r="J46" s="24">
        <v>0</v>
      </c>
      <c r="K46" s="23">
        <f>1683-683</f>
        <v>1000</v>
      </c>
      <c r="L46" s="24">
        <v>1683</v>
      </c>
      <c r="M46" s="24">
        <v>0</v>
      </c>
      <c r="N46" s="88">
        <v>1000</v>
      </c>
      <c r="O46" s="34">
        <v>0</v>
      </c>
      <c r="P46" s="34">
        <v>0</v>
      </c>
      <c r="R46" s="3"/>
    </row>
    <row r="47" spans="1:18" ht="30" x14ac:dyDescent="0.25">
      <c r="A47" s="18"/>
      <c r="B47" s="33"/>
      <c r="C47" s="20" t="s">
        <v>74</v>
      </c>
      <c r="D47" s="32" t="s">
        <v>75</v>
      </c>
      <c r="E47" s="87">
        <v>2830</v>
      </c>
      <c r="F47" s="24">
        <v>2276</v>
      </c>
      <c r="G47" s="24">
        <v>0</v>
      </c>
      <c r="H47" s="23">
        <f>2648+182+283</f>
        <v>3113</v>
      </c>
      <c r="I47" s="24">
        <v>2648</v>
      </c>
      <c r="J47" s="24">
        <v>0</v>
      </c>
      <c r="K47" s="23">
        <f>2900+145+125</f>
        <v>3170</v>
      </c>
      <c r="L47" s="24">
        <v>2648</v>
      </c>
      <c r="M47" s="24">
        <v>0</v>
      </c>
      <c r="N47" s="88">
        <v>3170</v>
      </c>
      <c r="O47" s="34">
        <v>0</v>
      </c>
      <c r="P47" s="34">
        <v>0</v>
      </c>
      <c r="R47" s="3"/>
    </row>
    <row r="48" spans="1:18" ht="60" x14ac:dyDescent="0.25">
      <c r="A48" s="18"/>
      <c r="B48" s="33"/>
      <c r="C48" s="20" t="s">
        <v>76</v>
      </c>
      <c r="D48" s="32" t="s">
        <v>77</v>
      </c>
      <c r="E48" s="87">
        <v>252</v>
      </c>
      <c r="F48" s="24">
        <v>262</v>
      </c>
      <c r="G48" s="24">
        <v>0</v>
      </c>
      <c r="H48" s="23">
        <f>552-295</f>
        <v>257</v>
      </c>
      <c r="I48" s="24">
        <v>271</v>
      </c>
      <c r="J48" s="24">
        <v>0</v>
      </c>
      <c r="K48" s="23">
        <f>562-305</f>
        <v>257</v>
      </c>
      <c r="L48" s="24">
        <v>552</v>
      </c>
      <c r="M48" s="24">
        <v>0</v>
      </c>
      <c r="N48" s="88">
        <v>257</v>
      </c>
      <c r="O48" s="34">
        <v>0</v>
      </c>
      <c r="P48" s="34">
        <v>0</v>
      </c>
      <c r="R48" s="3"/>
    </row>
    <row r="49" spans="1:18" ht="60" x14ac:dyDescent="0.25">
      <c r="A49" s="18"/>
      <c r="B49" s="33"/>
      <c r="C49" s="20" t="s">
        <v>78</v>
      </c>
      <c r="D49" s="32" t="s">
        <v>79</v>
      </c>
      <c r="E49" s="87">
        <v>256</v>
      </c>
      <c r="F49" s="24">
        <v>257</v>
      </c>
      <c r="G49" s="24">
        <v>0</v>
      </c>
      <c r="H49" s="23">
        <f>384-125</f>
        <v>259</v>
      </c>
      <c r="I49" s="24">
        <v>350</v>
      </c>
      <c r="J49" s="24">
        <v>0</v>
      </c>
      <c r="K49" s="23">
        <f>384-125</f>
        <v>259</v>
      </c>
      <c r="L49" s="24">
        <v>384</v>
      </c>
      <c r="M49" s="24">
        <v>0</v>
      </c>
      <c r="N49" s="88">
        <v>259</v>
      </c>
      <c r="O49" s="34">
        <v>0</v>
      </c>
      <c r="P49" s="34">
        <v>0</v>
      </c>
      <c r="R49" s="3"/>
    </row>
    <row r="50" spans="1:18" ht="30" x14ac:dyDescent="0.25">
      <c r="A50" s="41"/>
      <c r="B50" s="33"/>
      <c r="C50" s="84" t="s">
        <v>124</v>
      </c>
      <c r="D50" s="85" t="s">
        <v>125</v>
      </c>
      <c r="E50" s="87">
        <v>550</v>
      </c>
      <c r="F50" s="24"/>
      <c r="G50" s="24"/>
      <c r="H50" s="23">
        <v>550</v>
      </c>
      <c r="I50" s="24"/>
      <c r="J50" s="24"/>
      <c r="K50" s="23">
        <v>550</v>
      </c>
      <c r="L50" s="24"/>
      <c r="M50" s="24"/>
      <c r="N50" s="88">
        <v>550</v>
      </c>
      <c r="O50" s="34"/>
      <c r="P50" s="34"/>
      <c r="Q50" s="3"/>
      <c r="R50" s="3"/>
    </row>
    <row r="51" spans="1:18" ht="60" x14ac:dyDescent="0.25">
      <c r="A51" s="41"/>
      <c r="B51" s="33"/>
      <c r="C51" s="84" t="s">
        <v>126</v>
      </c>
      <c r="D51" s="85" t="s">
        <v>127</v>
      </c>
      <c r="E51" s="21"/>
      <c r="F51" s="24"/>
      <c r="G51" s="24"/>
      <c r="H51" s="23"/>
      <c r="I51" s="24"/>
      <c r="J51" s="24"/>
      <c r="K51" s="23"/>
      <c r="L51" s="24"/>
      <c r="M51" s="24"/>
      <c r="N51" s="88"/>
      <c r="O51" s="34"/>
      <c r="P51" s="34"/>
    </row>
    <row r="52" spans="1:18" ht="75" x14ac:dyDescent="0.25">
      <c r="A52" s="41"/>
      <c r="B52" s="33"/>
      <c r="C52" s="84" t="s">
        <v>128</v>
      </c>
      <c r="D52" s="85" t="s">
        <v>129</v>
      </c>
      <c r="E52" s="21"/>
      <c r="F52" s="24"/>
      <c r="G52" s="24"/>
      <c r="H52" s="23"/>
      <c r="I52" s="24"/>
      <c r="J52" s="24"/>
      <c r="K52" s="23"/>
      <c r="L52" s="24"/>
      <c r="M52" s="24"/>
      <c r="N52" s="88"/>
      <c r="O52" s="34"/>
      <c r="P52" s="34"/>
    </row>
    <row r="53" spans="1:18" ht="30" x14ac:dyDescent="0.25">
      <c r="A53" s="18"/>
      <c r="B53" s="27" t="s">
        <v>80</v>
      </c>
      <c r="C53" s="28"/>
      <c r="D53" s="29" t="s">
        <v>81</v>
      </c>
      <c r="E53" s="30">
        <f t="shared" si="2"/>
        <v>58300</v>
      </c>
      <c r="F53" s="31">
        <v>58300</v>
      </c>
      <c r="G53" s="31">
        <v>0</v>
      </c>
      <c r="H53" s="30">
        <f t="shared" si="7"/>
        <v>57500</v>
      </c>
      <c r="I53" s="31">
        <v>57500</v>
      </c>
      <c r="J53" s="31">
        <v>0</v>
      </c>
      <c r="K53" s="30">
        <f t="shared" si="8"/>
        <v>57500</v>
      </c>
      <c r="L53" s="31">
        <v>57500</v>
      </c>
      <c r="M53" s="31">
        <v>0</v>
      </c>
      <c r="N53" s="30">
        <f>K53</f>
        <v>57500</v>
      </c>
      <c r="O53" s="34">
        <v>0</v>
      </c>
      <c r="P53" s="34">
        <v>0</v>
      </c>
    </row>
    <row r="54" spans="1:18" x14ac:dyDescent="0.25">
      <c r="A54" s="18"/>
      <c r="B54" s="25"/>
      <c r="C54" s="26"/>
      <c r="D54" s="22" t="s">
        <v>6</v>
      </c>
      <c r="E54" s="23">
        <f t="shared" si="2"/>
        <v>0</v>
      </c>
      <c r="F54" s="23">
        <f>SUM(F55:F56)</f>
        <v>0</v>
      </c>
      <c r="G54" s="23">
        <f>SUM(G55:G56)</f>
        <v>0</v>
      </c>
      <c r="H54" s="23">
        <f t="shared" si="7"/>
        <v>0</v>
      </c>
      <c r="I54" s="23">
        <f>SUM(I55:I56)</f>
        <v>0</v>
      </c>
      <c r="J54" s="23">
        <f>SUM(J55:J56)</f>
        <v>0</v>
      </c>
      <c r="K54" s="23">
        <f t="shared" si="8"/>
        <v>0</v>
      </c>
      <c r="L54" s="23">
        <f>SUM(L55:L56)</f>
        <v>0</v>
      </c>
      <c r="M54" s="23">
        <f>SUM(M55:M56)</f>
        <v>0</v>
      </c>
      <c r="N54" s="87">
        <f>SUM(O54:P54)</f>
        <v>0</v>
      </c>
      <c r="O54" s="21">
        <f>SUM(O55:O56)</f>
        <v>0</v>
      </c>
      <c r="P54" s="21">
        <f>SUM(P55:P56)</f>
        <v>0</v>
      </c>
    </row>
    <row r="55" spans="1:18" x14ac:dyDescent="0.25">
      <c r="A55" s="18"/>
      <c r="B55" s="25"/>
      <c r="C55" s="26"/>
      <c r="D55" s="32" t="s">
        <v>19</v>
      </c>
      <c r="E55" s="23">
        <f t="shared" si="2"/>
        <v>0</v>
      </c>
      <c r="F55" s="24">
        <v>0</v>
      </c>
      <c r="G55" s="24">
        <v>0</v>
      </c>
      <c r="H55" s="23">
        <f t="shared" si="7"/>
        <v>0</v>
      </c>
      <c r="I55" s="24">
        <v>0</v>
      </c>
      <c r="J55" s="24">
        <v>0</v>
      </c>
      <c r="K55" s="23">
        <f t="shared" si="8"/>
        <v>0</v>
      </c>
      <c r="L55" s="24">
        <v>0</v>
      </c>
      <c r="M55" s="24">
        <v>0</v>
      </c>
      <c r="N55" s="87">
        <f>SUM(O55:P55)</f>
        <v>0</v>
      </c>
      <c r="O55" s="34">
        <v>0</v>
      </c>
      <c r="P55" s="34">
        <v>0</v>
      </c>
    </row>
    <row r="56" spans="1:18" x14ac:dyDescent="0.25">
      <c r="A56" s="18"/>
      <c r="B56" s="25"/>
      <c r="C56" s="26"/>
      <c r="D56" s="32" t="s">
        <v>20</v>
      </c>
      <c r="E56" s="23">
        <f t="shared" si="2"/>
        <v>0</v>
      </c>
      <c r="F56" s="24">
        <v>0</v>
      </c>
      <c r="G56" s="24">
        <v>0</v>
      </c>
      <c r="H56" s="23">
        <f t="shared" si="7"/>
        <v>0</v>
      </c>
      <c r="I56" s="24">
        <v>0</v>
      </c>
      <c r="J56" s="24">
        <v>0</v>
      </c>
      <c r="K56" s="23">
        <f t="shared" si="8"/>
        <v>0</v>
      </c>
      <c r="L56" s="24">
        <v>0</v>
      </c>
      <c r="M56" s="24">
        <v>0</v>
      </c>
      <c r="N56" s="21">
        <f>SUM(O56:P56)</f>
        <v>0</v>
      </c>
      <c r="O56" s="34">
        <v>0</v>
      </c>
      <c r="P56" s="34">
        <v>0</v>
      </c>
    </row>
    <row r="57" spans="1:18" x14ac:dyDescent="0.25">
      <c r="B57" s="2" t="s">
        <v>130</v>
      </c>
      <c r="E57" s="4">
        <v>8000</v>
      </c>
    </row>
  </sheetData>
  <mergeCells count="15">
    <mergeCell ref="M1:P1"/>
    <mergeCell ref="A6:A8"/>
    <mergeCell ref="B6:B8"/>
    <mergeCell ref="C6:C8"/>
    <mergeCell ref="D6:D8"/>
    <mergeCell ref="E7:G7"/>
    <mergeCell ref="O2:P2"/>
    <mergeCell ref="N7:P7"/>
    <mergeCell ref="E6:P6"/>
    <mergeCell ref="H2:I2"/>
    <mergeCell ref="L2:M2"/>
    <mergeCell ref="H7:J7"/>
    <mergeCell ref="K7:M7"/>
    <mergeCell ref="B3:P3"/>
    <mergeCell ref="N8:P8"/>
  </mergeCells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Q65"/>
  <sheetViews>
    <sheetView topLeftCell="B1" zoomScaleNormal="100" zoomScaleSheetLayoutView="66" workbookViewId="0">
      <pane xSplit="3" ySplit="8" topLeftCell="F34" activePane="bottomRight" state="frozen"/>
      <selection activeCell="B1" sqref="B1"/>
      <selection pane="topRight" activeCell="E1" sqref="E1"/>
      <selection pane="bottomLeft" activeCell="B9" sqref="B9"/>
      <selection pane="bottomRight" activeCell="O45" sqref="O45"/>
    </sheetView>
  </sheetViews>
  <sheetFormatPr defaultColWidth="9.140625" defaultRowHeight="15" x14ac:dyDescent="0.25"/>
  <cols>
    <col min="1" max="1" width="4" style="12" hidden="1" customWidth="1"/>
    <col min="2" max="2" width="15.140625" style="11" customWidth="1"/>
    <col min="3" max="3" width="13" style="11" customWidth="1"/>
    <col min="4" max="4" width="55.5703125" style="1" customWidth="1"/>
    <col min="5" max="5" width="20.42578125" style="1" hidden="1" customWidth="1"/>
    <col min="6" max="6" width="15" style="4" customWidth="1"/>
    <col min="7" max="7" width="19.28515625" style="1" hidden="1" customWidth="1"/>
    <col min="8" max="8" width="17.42578125" style="11" hidden="1" customWidth="1"/>
    <col min="9" max="9" width="15" style="4" customWidth="1"/>
    <col min="10" max="10" width="17.42578125" style="1" hidden="1" customWidth="1"/>
    <col min="11" max="11" width="17.42578125" style="11" hidden="1" customWidth="1"/>
    <col min="12" max="12" width="18.7109375" style="4" customWidth="1"/>
    <col min="13" max="13" width="16.5703125" style="1" hidden="1" customWidth="1"/>
    <col min="14" max="14" width="20" style="1" hidden="1" customWidth="1"/>
    <col min="15" max="15" width="18.7109375" style="4" customWidth="1"/>
    <col min="16" max="16" width="16.5703125" style="1" hidden="1" customWidth="1"/>
    <col min="17" max="17" width="20" style="1" hidden="1" customWidth="1"/>
    <col min="18" max="16384" width="9.140625" style="1"/>
  </cols>
  <sheetData>
    <row r="2" spans="1:17" ht="18" x14ac:dyDescent="0.25">
      <c r="I2" s="101"/>
      <c r="J2" s="101"/>
      <c r="M2" s="101"/>
      <c r="N2" s="101"/>
      <c r="P2" s="101" t="s">
        <v>14</v>
      </c>
      <c r="Q2" s="101"/>
    </row>
    <row r="3" spans="1:17" ht="41.25" customHeight="1" x14ac:dyDescent="0.25">
      <c r="B3" s="105" t="s">
        <v>12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18" x14ac:dyDescent="0.25">
      <c r="G4" s="3"/>
      <c r="J4" s="3"/>
      <c r="M4" s="14"/>
      <c r="N4" s="14"/>
      <c r="O4" s="15"/>
      <c r="P4" s="16"/>
      <c r="Q4" s="17" t="s">
        <v>16</v>
      </c>
    </row>
    <row r="5" spans="1:17" ht="18" x14ac:dyDescent="0.25">
      <c r="G5" s="7"/>
      <c r="H5" s="10"/>
      <c r="J5" s="7"/>
      <c r="M5" s="7"/>
      <c r="P5" s="7"/>
    </row>
    <row r="6" spans="1:17" ht="63" customHeight="1" x14ac:dyDescent="0.25">
      <c r="A6" s="96"/>
      <c r="B6" s="97" t="s">
        <v>0</v>
      </c>
      <c r="C6" s="97" t="s">
        <v>1</v>
      </c>
      <c r="D6" s="97" t="s">
        <v>2</v>
      </c>
      <c r="E6" s="37"/>
      <c r="F6" s="106" t="s">
        <v>9</v>
      </c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1:17" ht="33" customHeight="1" x14ac:dyDescent="0.25">
      <c r="A7" s="96"/>
      <c r="B7" s="98"/>
      <c r="C7" s="98"/>
      <c r="D7" s="98"/>
      <c r="E7" s="35"/>
      <c r="F7" s="109" t="s">
        <v>7</v>
      </c>
      <c r="G7" s="109"/>
      <c r="H7" s="109"/>
      <c r="I7" s="109" t="s">
        <v>8</v>
      </c>
      <c r="J7" s="109"/>
      <c r="K7" s="109"/>
      <c r="L7" s="109" t="s">
        <v>10</v>
      </c>
      <c r="M7" s="109"/>
      <c r="N7" s="109"/>
      <c r="O7" s="109" t="s">
        <v>13</v>
      </c>
      <c r="P7" s="109"/>
      <c r="Q7" s="109"/>
    </row>
    <row r="8" spans="1:17" ht="60" x14ac:dyDescent="0.25">
      <c r="A8" s="96"/>
      <c r="B8" s="99"/>
      <c r="C8" s="99"/>
      <c r="D8" s="99"/>
      <c r="E8" s="36" t="s">
        <v>83</v>
      </c>
      <c r="F8" s="89" t="s">
        <v>3</v>
      </c>
      <c r="G8" s="90" t="s">
        <v>4</v>
      </c>
      <c r="H8" s="90" t="s">
        <v>5</v>
      </c>
      <c r="I8" s="89" t="s">
        <v>3</v>
      </c>
      <c r="J8" s="90" t="s">
        <v>4</v>
      </c>
      <c r="K8" s="90" t="s">
        <v>5</v>
      </c>
      <c r="L8" s="89" t="s">
        <v>3</v>
      </c>
      <c r="M8" s="90" t="s">
        <v>4</v>
      </c>
      <c r="N8" s="90" t="s">
        <v>5</v>
      </c>
      <c r="O8" s="89" t="s">
        <v>3</v>
      </c>
      <c r="P8" s="90" t="s">
        <v>4</v>
      </c>
      <c r="Q8" s="90" t="s">
        <v>5</v>
      </c>
    </row>
    <row r="9" spans="1:17" ht="38.25" customHeight="1" x14ac:dyDescent="0.25">
      <c r="A9" s="18"/>
      <c r="B9" s="27" t="s">
        <v>21</v>
      </c>
      <c r="C9" s="28"/>
      <c r="D9" s="29" t="s">
        <v>22</v>
      </c>
      <c r="E9" s="38">
        <f>E13+E19+E32+E53</f>
        <v>3118700</v>
      </c>
      <c r="F9" s="40">
        <f>F13+F19+F32+F53</f>
        <v>3539341</v>
      </c>
      <c r="G9" s="40">
        <f t="shared" ref="G9:O9" si="0">G13+G19+G32+G53</f>
        <v>1011212</v>
      </c>
      <c r="H9" s="40">
        <f t="shared" si="0"/>
        <v>65000</v>
      </c>
      <c r="I9" s="40">
        <f t="shared" si="0"/>
        <v>3821675</v>
      </c>
      <c r="J9" s="40">
        <f t="shared" si="0"/>
        <v>1025932</v>
      </c>
      <c r="K9" s="40">
        <f t="shared" si="0"/>
        <v>65000</v>
      </c>
      <c r="L9" s="40">
        <f t="shared" si="0"/>
        <v>4123506</v>
      </c>
      <c r="M9" s="40">
        <f t="shared" si="0"/>
        <v>1038324</v>
      </c>
      <c r="N9" s="40">
        <f t="shared" si="0"/>
        <v>65000</v>
      </c>
      <c r="O9" s="40">
        <f t="shared" si="0"/>
        <v>4283988</v>
      </c>
      <c r="P9" s="87">
        <f t="shared" ref="P9:Q12" si="1">P13+P19+P32+P53</f>
        <v>0</v>
      </c>
      <c r="Q9" s="87">
        <f t="shared" si="1"/>
        <v>0</v>
      </c>
    </row>
    <row r="10" spans="1:17" s="4" customFormat="1" x14ac:dyDescent="0.25">
      <c r="A10" s="19"/>
      <c r="B10" s="20"/>
      <c r="C10" s="20"/>
      <c r="D10" s="22" t="s">
        <v>6</v>
      </c>
      <c r="E10" s="42">
        <v>3126000</v>
      </c>
      <c r="F10" s="87">
        <f t="shared" ref="F10:N10" si="2">F14+F20+F33+F54</f>
        <v>0</v>
      </c>
      <c r="G10" s="87">
        <f t="shared" si="2"/>
        <v>0</v>
      </c>
      <c r="H10" s="87">
        <f t="shared" si="2"/>
        <v>0</v>
      </c>
      <c r="I10" s="87">
        <f t="shared" si="2"/>
        <v>0</v>
      </c>
      <c r="J10" s="87">
        <f t="shared" si="2"/>
        <v>0</v>
      </c>
      <c r="K10" s="87">
        <f t="shared" si="2"/>
        <v>0</v>
      </c>
      <c r="L10" s="87">
        <f t="shared" si="2"/>
        <v>0</v>
      </c>
      <c r="M10" s="87">
        <f t="shared" si="2"/>
        <v>0</v>
      </c>
      <c r="N10" s="87">
        <f t="shared" si="2"/>
        <v>0</v>
      </c>
      <c r="O10" s="87">
        <f>O14+O20+O33+O54</f>
        <v>0</v>
      </c>
      <c r="P10" s="87">
        <f t="shared" si="1"/>
        <v>0</v>
      </c>
      <c r="Q10" s="87">
        <f t="shared" si="1"/>
        <v>0</v>
      </c>
    </row>
    <row r="11" spans="1:17" s="4" customFormat="1" x14ac:dyDescent="0.25">
      <c r="A11" s="19"/>
      <c r="B11" s="20"/>
      <c r="C11" s="20"/>
      <c r="D11" s="22" t="s">
        <v>23</v>
      </c>
      <c r="E11" s="42">
        <f>E10-E9</f>
        <v>7300</v>
      </c>
      <c r="F11" s="87">
        <f t="shared" ref="F11:N11" si="3">F15+F21+F34+F55</f>
        <v>0</v>
      </c>
      <c r="G11" s="87">
        <f t="shared" si="3"/>
        <v>0</v>
      </c>
      <c r="H11" s="87">
        <f t="shared" si="3"/>
        <v>0</v>
      </c>
      <c r="I11" s="87">
        <f t="shared" si="3"/>
        <v>0</v>
      </c>
      <c r="J11" s="87">
        <f t="shared" si="3"/>
        <v>0</v>
      </c>
      <c r="K11" s="87">
        <f t="shared" si="3"/>
        <v>0</v>
      </c>
      <c r="L11" s="87">
        <f t="shared" si="3"/>
        <v>0</v>
      </c>
      <c r="M11" s="87">
        <f t="shared" si="3"/>
        <v>0</v>
      </c>
      <c r="N11" s="87">
        <f t="shared" si="3"/>
        <v>0</v>
      </c>
      <c r="O11" s="87">
        <f>O15+O21+O34+O55</f>
        <v>0</v>
      </c>
      <c r="P11" s="87">
        <f t="shared" si="1"/>
        <v>0</v>
      </c>
      <c r="Q11" s="87">
        <f t="shared" si="1"/>
        <v>0</v>
      </c>
    </row>
    <row r="12" spans="1:17" x14ac:dyDescent="0.25">
      <c r="A12" s="18"/>
      <c r="B12" s="25"/>
      <c r="C12" s="26"/>
      <c r="D12" s="22" t="s">
        <v>24</v>
      </c>
      <c r="E12" s="22"/>
      <c r="F12" s="87">
        <f t="shared" ref="F12:N12" si="4">F16+F22+F35+F56</f>
        <v>25</v>
      </c>
      <c r="G12" s="87">
        <f t="shared" si="4"/>
        <v>0</v>
      </c>
      <c r="H12" s="87">
        <f t="shared" si="4"/>
        <v>0</v>
      </c>
      <c r="I12" s="87">
        <f t="shared" si="4"/>
        <v>25</v>
      </c>
      <c r="J12" s="87">
        <f t="shared" si="4"/>
        <v>0</v>
      </c>
      <c r="K12" s="87">
        <f t="shared" si="4"/>
        <v>0</v>
      </c>
      <c r="L12" s="87">
        <f t="shared" si="4"/>
        <v>25</v>
      </c>
      <c r="M12" s="87">
        <f t="shared" si="4"/>
        <v>0</v>
      </c>
      <c r="N12" s="87">
        <f t="shared" si="4"/>
        <v>0</v>
      </c>
      <c r="O12" s="87">
        <f>O16+O22+O35+O56</f>
        <v>25</v>
      </c>
      <c r="P12" s="87">
        <f t="shared" si="1"/>
        <v>0</v>
      </c>
      <c r="Q12" s="87">
        <f t="shared" si="1"/>
        <v>0</v>
      </c>
    </row>
    <row r="13" spans="1:17" ht="18.75" x14ac:dyDescent="0.25">
      <c r="A13" s="18"/>
      <c r="B13" s="27" t="s">
        <v>25</v>
      </c>
      <c r="C13" s="28"/>
      <c r="D13" s="29" t="s">
        <v>26</v>
      </c>
      <c r="E13" s="40">
        <f>SUM(E17:E18)</f>
        <v>2230000</v>
      </c>
      <c r="F13" s="40">
        <f>SUM(F17:F18)</f>
        <v>2630000</v>
      </c>
      <c r="G13" s="40">
        <f t="shared" ref="G13:O13" si="5">SUM(G17:G18)</f>
        <v>120000</v>
      </c>
      <c r="H13" s="40">
        <f t="shared" si="5"/>
        <v>0</v>
      </c>
      <c r="I13" s="40">
        <f t="shared" si="5"/>
        <v>2900550</v>
      </c>
      <c r="J13" s="40">
        <f t="shared" si="5"/>
        <v>120812</v>
      </c>
      <c r="K13" s="40">
        <f t="shared" si="5"/>
        <v>0</v>
      </c>
      <c r="L13" s="40">
        <f t="shared" si="5"/>
        <v>3190418</v>
      </c>
      <c r="M13" s="40">
        <f t="shared" si="5"/>
        <v>121000</v>
      </c>
      <c r="N13" s="40">
        <f t="shared" si="5"/>
        <v>0</v>
      </c>
      <c r="O13" s="40">
        <f t="shared" si="5"/>
        <v>3343000</v>
      </c>
      <c r="P13" s="91">
        <f>SUM(P17:P18)</f>
        <v>0</v>
      </c>
      <c r="Q13" s="91">
        <f>SUM(Q17:Q18)</f>
        <v>0</v>
      </c>
    </row>
    <row r="14" spans="1:17" hidden="1" x14ac:dyDescent="0.25">
      <c r="A14" s="18"/>
      <c r="B14" s="25"/>
      <c r="C14" s="26"/>
      <c r="D14" s="22" t="s">
        <v>6</v>
      </c>
      <c r="E14" s="22"/>
      <c r="F14" s="87">
        <f t="shared" ref="F14:F56" si="6">SUM(G14:H14)</f>
        <v>0</v>
      </c>
      <c r="G14" s="87">
        <f>SUM(G15:G16)</f>
        <v>0</v>
      </c>
      <c r="H14" s="87">
        <f>SUM(H15:H16)</f>
        <v>0</v>
      </c>
      <c r="I14" s="87">
        <f t="shared" ref="I14:I56" si="7">SUM(J14:K14)</f>
        <v>0</v>
      </c>
      <c r="J14" s="87">
        <f>SUM(J15:J16)</f>
        <v>0</v>
      </c>
      <c r="K14" s="87">
        <f>SUM(K15:K16)</f>
        <v>0</v>
      </c>
      <c r="L14" s="87">
        <f t="shared" ref="L14:L56" si="8">SUM(M14:N14)</f>
        <v>0</v>
      </c>
      <c r="M14" s="87">
        <f>SUM(M15:M16)</f>
        <v>0</v>
      </c>
      <c r="N14" s="87">
        <f>SUM(N15:N16)</f>
        <v>0</v>
      </c>
      <c r="O14" s="87">
        <f t="shared" ref="O14:O56" si="9">SUM(P14:Q14)</f>
        <v>0</v>
      </c>
      <c r="P14" s="87">
        <f>SUM(P15:P16)</f>
        <v>0</v>
      </c>
      <c r="Q14" s="87">
        <f>SUM(Q15:Q16)</f>
        <v>0</v>
      </c>
    </row>
    <row r="15" spans="1:17" hidden="1" x14ac:dyDescent="0.25">
      <c r="A15" s="18"/>
      <c r="B15" s="25"/>
      <c r="C15" s="26"/>
      <c r="D15" s="32" t="s">
        <v>19</v>
      </c>
      <c r="E15" s="32"/>
      <c r="F15" s="87">
        <f t="shared" si="6"/>
        <v>0</v>
      </c>
      <c r="G15" s="91">
        <v>0</v>
      </c>
      <c r="H15" s="91">
        <v>0</v>
      </c>
      <c r="I15" s="87">
        <f t="shared" si="7"/>
        <v>0</v>
      </c>
      <c r="J15" s="91">
        <v>0</v>
      </c>
      <c r="K15" s="91">
        <v>0</v>
      </c>
      <c r="L15" s="87">
        <f t="shared" si="8"/>
        <v>0</v>
      </c>
      <c r="M15" s="91">
        <v>0</v>
      </c>
      <c r="N15" s="91">
        <v>0</v>
      </c>
      <c r="O15" s="87">
        <f t="shared" si="9"/>
        <v>0</v>
      </c>
      <c r="P15" s="91">
        <v>0</v>
      </c>
      <c r="Q15" s="91">
        <v>0</v>
      </c>
    </row>
    <row r="16" spans="1:17" hidden="1" x14ac:dyDescent="0.25">
      <c r="A16" s="18"/>
      <c r="B16" s="25"/>
      <c r="C16" s="26"/>
      <c r="D16" s="32" t="s">
        <v>20</v>
      </c>
      <c r="E16" s="32"/>
      <c r="F16" s="87">
        <f t="shared" si="6"/>
        <v>0</v>
      </c>
      <c r="G16" s="91">
        <v>0</v>
      </c>
      <c r="H16" s="91">
        <v>0</v>
      </c>
      <c r="I16" s="87">
        <f t="shared" si="7"/>
        <v>0</v>
      </c>
      <c r="J16" s="91">
        <v>0</v>
      </c>
      <c r="K16" s="91">
        <v>0</v>
      </c>
      <c r="L16" s="87">
        <f t="shared" si="8"/>
        <v>0</v>
      </c>
      <c r="M16" s="91">
        <v>0</v>
      </c>
      <c r="N16" s="91">
        <v>0</v>
      </c>
      <c r="O16" s="87">
        <f t="shared" si="9"/>
        <v>0</v>
      </c>
      <c r="P16" s="91">
        <v>0</v>
      </c>
      <c r="Q16" s="91">
        <v>0</v>
      </c>
    </row>
    <row r="17" spans="1:17" ht="30" x14ac:dyDescent="0.25">
      <c r="A17" s="18"/>
      <c r="B17" s="33"/>
      <c r="C17" s="20" t="s">
        <v>27</v>
      </c>
      <c r="D17" s="32" t="s">
        <v>28</v>
      </c>
      <c r="E17" s="39">
        <v>2110000</v>
      </c>
      <c r="F17" s="87">
        <f>'3.2 (ჭერის ფარგლებში)'!E17</f>
        <v>2510000</v>
      </c>
      <c r="G17" s="91">
        <v>0</v>
      </c>
      <c r="H17" s="91">
        <v>0</v>
      </c>
      <c r="I17" s="87">
        <f>'3.2 (ჭერის ფარგლებში)'!H17</f>
        <v>2779738</v>
      </c>
      <c r="J17" s="91">
        <v>0</v>
      </c>
      <c r="K17" s="91">
        <v>0</v>
      </c>
      <c r="L17" s="87">
        <f>'3.2 (ჭერის ფარგლებში)'!K17</f>
        <v>3069418</v>
      </c>
      <c r="M17" s="91">
        <v>0</v>
      </c>
      <c r="N17" s="91">
        <v>0</v>
      </c>
      <c r="O17" s="87">
        <f>'3.2 (ჭერის ფარგლებში)'!N13</f>
        <v>3221500</v>
      </c>
      <c r="P17" s="91">
        <v>0</v>
      </c>
      <c r="Q17" s="91">
        <v>0</v>
      </c>
    </row>
    <row r="18" spans="1:17" ht="60" x14ac:dyDescent="0.25">
      <c r="A18" s="18"/>
      <c r="B18" s="33"/>
      <c r="C18" s="20" t="s">
        <v>29</v>
      </c>
      <c r="D18" s="32" t="s">
        <v>30</v>
      </c>
      <c r="E18" s="39">
        <v>120000</v>
      </c>
      <c r="F18" s="87">
        <v>120000</v>
      </c>
      <c r="G18" s="91">
        <v>120000</v>
      </c>
      <c r="H18" s="91">
        <v>0</v>
      </c>
      <c r="I18" s="87">
        <v>120812</v>
      </c>
      <c r="J18" s="91">
        <v>120812</v>
      </c>
      <c r="K18" s="91">
        <v>0</v>
      </c>
      <c r="L18" s="87">
        <v>121000</v>
      </c>
      <c r="M18" s="91">
        <v>121000</v>
      </c>
      <c r="N18" s="91">
        <v>0</v>
      </c>
      <c r="O18" s="87">
        <v>121500</v>
      </c>
      <c r="P18" s="91">
        <v>0</v>
      </c>
      <c r="Q18" s="91">
        <v>0</v>
      </c>
    </row>
    <row r="19" spans="1:17" ht="30" x14ac:dyDescent="0.25">
      <c r="A19" s="18"/>
      <c r="B19" s="27" t="s">
        <v>31</v>
      </c>
      <c r="C19" s="28"/>
      <c r="D19" s="29" t="s">
        <v>32</v>
      </c>
      <c r="E19" s="40">
        <f>E23+E24+E25+E26+E27+E28+E29+E30+E31</f>
        <v>793000</v>
      </c>
      <c r="F19" s="40">
        <f>F23+F24+F25+F26+F27+F28+F29+F30+F31</f>
        <v>805700</v>
      </c>
      <c r="G19" s="40">
        <f t="shared" ref="G19:O19" si="10">G23+G24+G25+G26+G27+G28+G29+G30+G31</f>
        <v>792450</v>
      </c>
      <c r="H19" s="40">
        <f t="shared" si="10"/>
        <v>0</v>
      </c>
      <c r="I19" s="40">
        <f t="shared" si="10"/>
        <v>816700</v>
      </c>
      <c r="J19" s="40">
        <f t="shared" si="10"/>
        <v>804918</v>
      </c>
      <c r="K19" s="40">
        <f t="shared" si="10"/>
        <v>0</v>
      </c>
      <c r="L19" s="40">
        <f t="shared" si="10"/>
        <v>824600</v>
      </c>
      <c r="M19" s="40">
        <f t="shared" si="10"/>
        <v>815772</v>
      </c>
      <c r="N19" s="40">
        <f t="shared" si="10"/>
        <v>0</v>
      </c>
      <c r="O19" s="40">
        <f t="shared" si="10"/>
        <v>832300</v>
      </c>
      <c r="P19" s="91">
        <f>P23+P24+P25+P26+P27+P28+P29+P30+P31</f>
        <v>0</v>
      </c>
      <c r="Q19" s="91">
        <f>Q23+Q24+Q25+Q26+Q27+Q28+Q29+Q30+Q31</f>
        <v>0</v>
      </c>
    </row>
    <row r="20" spans="1:17" x14ac:dyDescent="0.25">
      <c r="A20" s="18"/>
      <c r="B20" s="25"/>
      <c r="C20" s="26"/>
      <c r="D20" s="22" t="s">
        <v>6</v>
      </c>
      <c r="E20" s="39">
        <v>484</v>
      </c>
      <c r="F20" s="87">
        <f t="shared" si="6"/>
        <v>0</v>
      </c>
      <c r="G20" s="87">
        <f>SUM(G21:G22)</f>
        <v>0</v>
      </c>
      <c r="H20" s="87">
        <f>SUM(H21:H22)</f>
        <v>0</v>
      </c>
      <c r="I20" s="87">
        <f t="shared" si="7"/>
        <v>0</v>
      </c>
      <c r="J20" s="87">
        <f>SUM(J21:J22)</f>
        <v>0</v>
      </c>
      <c r="K20" s="87">
        <f>SUM(K21:K22)</f>
        <v>0</v>
      </c>
      <c r="L20" s="87">
        <f t="shared" si="8"/>
        <v>0</v>
      </c>
      <c r="M20" s="87">
        <f>SUM(M21:M22)</f>
        <v>0</v>
      </c>
      <c r="N20" s="87">
        <f>SUM(N21:N22)</f>
        <v>0</v>
      </c>
      <c r="O20" s="87">
        <f t="shared" si="9"/>
        <v>0</v>
      </c>
      <c r="P20" s="87">
        <f>SUM(P21:P22)</f>
        <v>0</v>
      </c>
      <c r="Q20" s="87">
        <f>SUM(Q21:Q22)</f>
        <v>0</v>
      </c>
    </row>
    <row r="21" spans="1:17" x14ac:dyDescent="0.25">
      <c r="A21" s="18"/>
      <c r="B21" s="25"/>
      <c r="C21" s="26"/>
      <c r="D21" s="32" t="s">
        <v>19</v>
      </c>
      <c r="E21" s="39">
        <v>0</v>
      </c>
      <c r="F21" s="87">
        <f t="shared" si="6"/>
        <v>0</v>
      </c>
      <c r="G21" s="91">
        <v>0</v>
      </c>
      <c r="H21" s="91">
        <v>0</v>
      </c>
      <c r="I21" s="87">
        <f t="shared" si="7"/>
        <v>0</v>
      </c>
      <c r="J21" s="91">
        <v>0</v>
      </c>
      <c r="K21" s="91">
        <v>0</v>
      </c>
      <c r="L21" s="87">
        <f t="shared" si="8"/>
        <v>0</v>
      </c>
      <c r="M21" s="91">
        <v>0</v>
      </c>
      <c r="N21" s="91">
        <v>0</v>
      </c>
      <c r="O21" s="87">
        <f t="shared" si="9"/>
        <v>0</v>
      </c>
      <c r="P21" s="91">
        <v>0</v>
      </c>
      <c r="Q21" s="91">
        <v>0</v>
      </c>
    </row>
    <row r="22" spans="1:17" x14ac:dyDescent="0.25">
      <c r="A22" s="18"/>
      <c r="B22" s="25"/>
      <c r="C22" s="26"/>
      <c r="D22" s="32" t="s">
        <v>20</v>
      </c>
      <c r="E22" s="39">
        <v>484</v>
      </c>
      <c r="F22" s="87">
        <f t="shared" si="6"/>
        <v>0</v>
      </c>
      <c r="G22" s="91">
        <v>0</v>
      </c>
      <c r="H22" s="91">
        <v>0</v>
      </c>
      <c r="I22" s="87">
        <f t="shared" si="7"/>
        <v>0</v>
      </c>
      <c r="J22" s="91">
        <v>0</v>
      </c>
      <c r="K22" s="91">
        <v>0</v>
      </c>
      <c r="L22" s="87">
        <f t="shared" si="8"/>
        <v>0</v>
      </c>
      <c r="M22" s="91">
        <v>0</v>
      </c>
      <c r="N22" s="91">
        <v>0</v>
      </c>
      <c r="O22" s="87">
        <f t="shared" si="9"/>
        <v>0</v>
      </c>
      <c r="P22" s="91">
        <v>0</v>
      </c>
      <c r="Q22" s="91">
        <v>0</v>
      </c>
    </row>
    <row r="23" spans="1:17" ht="30" x14ac:dyDescent="0.25">
      <c r="A23" s="18"/>
      <c r="B23" s="33"/>
      <c r="C23" s="20" t="s">
        <v>33</v>
      </c>
      <c r="D23" s="32" t="s">
        <v>34</v>
      </c>
      <c r="E23" s="39">
        <v>350760</v>
      </c>
      <c r="F23" s="87">
        <v>351000</v>
      </c>
      <c r="G23" s="91">
        <v>350760</v>
      </c>
      <c r="H23" s="91">
        <v>0</v>
      </c>
      <c r="I23" s="87">
        <v>352800</v>
      </c>
      <c r="J23" s="91">
        <v>356721</v>
      </c>
      <c r="K23" s="91">
        <v>0</v>
      </c>
      <c r="L23" s="87">
        <v>357300</v>
      </c>
      <c r="M23" s="91">
        <v>361361</v>
      </c>
      <c r="N23" s="91">
        <v>0</v>
      </c>
      <c r="O23" s="87">
        <v>360000</v>
      </c>
      <c r="P23" s="91">
        <v>0</v>
      </c>
      <c r="Q23" s="91">
        <v>0</v>
      </c>
    </row>
    <row r="24" spans="1:17" x14ac:dyDescent="0.25">
      <c r="A24" s="18"/>
      <c r="B24" s="33"/>
      <c r="C24" s="20" t="s">
        <v>35</v>
      </c>
      <c r="D24" s="32" t="s">
        <v>36</v>
      </c>
      <c r="E24" s="39">
        <v>272150</v>
      </c>
      <c r="F24" s="87">
        <v>284300</v>
      </c>
      <c r="G24" s="91">
        <v>272150</v>
      </c>
      <c r="H24" s="91">
        <v>0</v>
      </c>
      <c r="I24" s="87">
        <v>292600</v>
      </c>
      <c r="J24" s="91">
        <v>275697</v>
      </c>
      <c r="K24" s="91">
        <v>0</v>
      </c>
      <c r="L24" s="87">
        <v>295000</v>
      </c>
      <c r="M24" s="91">
        <v>281911</v>
      </c>
      <c r="N24" s="91">
        <v>0</v>
      </c>
      <c r="O24" s="87">
        <v>300000</v>
      </c>
      <c r="P24" s="91">
        <v>0</v>
      </c>
      <c r="Q24" s="91">
        <v>0</v>
      </c>
    </row>
    <row r="25" spans="1:17" ht="30" x14ac:dyDescent="0.25">
      <c r="A25" s="18"/>
      <c r="B25" s="33"/>
      <c r="C25" s="20" t="s">
        <v>37</v>
      </c>
      <c r="D25" s="32" t="s">
        <v>38</v>
      </c>
      <c r="E25" s="39">
        <v>126000</v>
      </c>
      <c r="F25" s="87">
        <v>126000</v>
      </c>
      <c r="G25" s="91">
        <v>126000</v>
      </c>
      <c r="H25" s="91">
        <v>0</v>
      </c>
      <c r="I25" s="87">
        <v>126000</v>
      </c>
      <c r="J25" s="91">
        <v>126000</v>
      </c>
      <c r="K25" s="91">
        <v>0</v>
      </c>
      <c r="L25" s="87">
        <v>126000</v>
      </c>
      <c r="M25" s="91">
        <v>126000</v>
      </c>
      <c r="N25" s="91">
        <v>0</v>
      </c>
      <c r="O25" s="87">
        <v>126000</v>
      </c>
      <c r="P25" s="91">
        <v>0</v>
      </c>
      <c r="Q25" s="91">
        <v>0</v>
      </c>
    </row>
    <row r="26" spans="1:17" x14ac:dyDescent="0.25">
      <c r="A26" s="18"/>
      <c r="B26" s="33"/>
      <c r="C26" s="20" t="s">
        <v>39</v>
      </c>
      <c r="D26" s="32" t="s">
        <v>40</v>
      </c>
      <c r="E26" s="39">
        <v>550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>
        <v>0</v>
      </c>
      <c r="O26" s="87">
        <v>0</v>
      </c>
      <c r="P26" s="91">
        <v>0</v>
      </c>
      <c r="Q26" s="91">
        <v>0</v>
      </c>
    </row>
    <row r="27" spans="1:17" x14ac:dyDescent="0.25">
      <c r="A27" s="18"/>
      <c r="B27" s="33"/>
      <c r="C27" s="20" t="s">
        <v>41</v>
      </c>
      <c r="D27" s="32" t="s">
        <v>42</v>
      </c>
      <c r="E27" s="39">
        <v>22000</v>
      </c>
      <c r="F27" s="87">
        <v>23000</v>
      </c>
      <c r="G27" s="91">
        <v>22000</v>
      </c>
      <c r="H27" s="91">
        <v>0</v>
      </c>
      <c r="I27" s="87">
        <v>24000</v>
      </c>
      <c r="J27" s="91">
        <v>25000</v>
      </c>
      <c r="K27" s="91">
        <v>0</v>
      </c>
      <c r="L27" s="87">
        <v>25000</v>
      </c>
      <c r="M27" s="91">
        <v>25000</v>
      </c>
      <c r="N27" s="91">
        <v>0</v>
      </c>
      <c r="O27" s="87">
        <v>25000</v>
      </c>
      <c r="P27" s="91">
        <v>0</v>
      </c>
      <c r="Q27" s="91">
        <v>0</v>
      </c>
    </row>
    <row r="28" spans="1:17" ht="30" x14ac:dyDescent="0.25">
      <c r="A28" s="18"/>
      <c r="B28" s="33"/>
      <c r="C28" s="20" t="s">
        <v>43</v>
      </c>
      <c r="D28" s="32" t="s">
        <v>44</v>
      </c>
      <c r="E28" s="39">
        <v>15000</v>
      </c>
      <c r="F28" s="87">
        <v>15000</v>
      </c>
      <c r="G28" s="91">
        <v>15000</v>
      </c>
      <c r="H28" s="91">
        <v>0</v>
      </c>
      <c r="I28" s="87">
        <v>15000</v>
      </c>
      <c r="J28" s="91">
        <v>15000</v>
      </c>
      <c r="K28" s="91">
        <v>0</v>
      </c>
      <c r="L28" s="87">
        <v>15000</v>
      </c>
      <c r="M28" s="91">
        <v>15000</v>
      </c>
      <c r="N28" s="91">
        <v>0</v>
      </c>
      <c r="O28" s="87">
        <v>15000</v>
      </c>
      <c r="P28" s="91">
        <v>0</v>
      </c>
      <c r="Q28" s="91">
        <v>0</v>
      </c>
    </row>
    <row r="29" spans="1:17" ht="45" x14ac:dyDescent="0.25">
      <c r="A29" s="18"/>
      <c r="B29" s="33"/>
      <c r="C29" s="20" t="s">
        <v>45</v>
      </c>
      <c r="D29" s="32" t="s">
        <v>46</v>
      </c>
      <c r="E29" s="39">
        <v>1300</v>
      </c>
      <c r="F29" s="87">
        <v>1300</v>
      </c>
      <c r="G29" s="91">
        <v>1300</v>
      </c>
      <c r="H29" s="91">
        <v>0</v>
      </c>
      <c r="I29" s="87">
        <v>1300</v>
      </c>
      <c r="J29" s="91">
        <v>1300</v>
      </c>
      <c r="K29" s="91">
        <v>0</v>
      </c>
      <c r="L29" s="87">
        <v>1300</v>
      </c>
      <c r="M29" s="91">
        <v>1300</v>
      </c>
      <c r="N29" s="91">
        <v>0</v>
      </c>
      <c r="O29" s="87">
        <v>1300</v>
      </c>
      <c r="P29" s="91">
        <v>0</v>
      </c>
      <c r="Q29" s="91">
        <v>0</v>
      </c>
    </row>
    <row r="30" spans="1:17" x14ac:dyDescent="0.25">
      <c r="A30" s="18"/>
      <c r="B30" s="33"/>
      <c r="C30" s="20" t="s">
        <v>47</v>
      </c>
      <c r="D30" s="32" t="s">
        <v>48</v>
      </c>
      <c r="E30" s="39">
        <v>4900</v>
      </c>
      <c r="F30" s="87">
        <v>4800</v>
      </c>
      <c r="G30" s="91">
        <v>4900</v>
      </c>
      <c r="H30" s="91">
        <v>0</v>
      </c>
      <c r="I30" s="87">
        <v>4700</v>
      </c>
      <c r="J30" s="91">
        <v>4900</v>
      </c>
      <c r="K30" s="91">
        <v>0</v>
      </c>
      <c r="L30" s="87">
        <v>4700</v>
      </c>
      <c r="M30" s="91">
        <v>4900</v>
      </c>
      <c r="N30" s="91">
        <v>0</v>
      </c>
      <c r="O30" s="87">
        <v>4700</v>
      </c>
      <c r="P30" s="91">
        <v>0</v>
      </c>
      <c r="Q30" s="91">
        <v>0</v>
      </c>
    </row>
    <row r="31" spans="1:17" x14ac:dyDescent="0.25">
      <c r="A31" s="18"/>
      <c r="B31" s="33"/>
      <c r="C31" s="20" t="s">
        <v>49</v>
      </c>
      <c r="D31" s="32" t="s">
        <v>50</v>
      </c>
      <c r="E31" s="39">
        <v>340</v>
      </c>
      <c r="F31" s="87">
        <v>300</v>
      </c>
      <c r="G31" s="91">
        <v>340</v>
      </c>
      <c r="H31" s="91">
        <v>0</v>
      </c>
      <c r="I31" s="87">
        <v>300</v>
      </c>
      <c r="J31" s="91">
        <v>300</v>
      </c>
      <c r="K31" s="91">
        <v>0</v>
      </c>
      <c r="L31" s="87">
        <v>300</v>
      </c>
      <c r="M31" s="91">
        <v>300</v>
      </c>
      <c r="N31" s="91">
        <v>0</v>
      </c>
      <c r="O31" s="87">
        <v>300</v>
      </c>
      <c r="P31" s="91">
        <v>0</v>
      </c>
      <c r="Q31" s="91">
        <v>0</v>
      </c>
    </row>
    <row r="32" spans="1:17" ht="18.75" x14ac:dyDescent="0.25">
      <c r="A32" s="18"/>
      <c r="B32" s="27" t="s">
        <v>51</v>
      </c>
      <c r="C32" s="28"/>
      <c r="D32" s="29" t="s">
        <v>52</v>
      </c>
      <c r="E32" s="40">
        <f>SUM(E36:E49)</f>
        <v>37400</v>
      </c>
      <c r="F32" s="40">
        <f>SUM(F36:F52)</f>
        <v>38641</v>
      </c>
      <c r="G32" s="40">
        <f t="shared" ref="G32:O32" si="11">SUM(G36:G52)</f>
        <v>33762</v>
      </c>
      <c r="H32" s="40">
        <f t="shared" si="11"/>
        <v>0</v>
      </c>
      <c r="I32" s="40">
        <f t="shared" si="11"/>
        <v>39425</v>
      </c>
      <c r="J32" s="40">
        <f t="shared" si="11"/>
        <v>35202</v>
      </c>
      <c r="K32" s="40">
        <f t="shared" si="11"/>
        <v>0</v>
      </c>
      <c r="L32" s="40">
        <f t="shared" si="11"/>
        <v>43488</v>
      </c>
      <c r="M32" s="40">
        <f t="shared" si="11"/>
        <v>36552</v>
      </c>
      <c r="N32" s="40">
        <f t="shared" si="11"/>
        <v>0</v>
      </c>
      <c r="O32" s="40">
        <f t="shared" si="11"/>
        <v>43688</v>
      </c>
      <c r="P32" s="91">
        <f>SUM(P36:P49)</f>
        <v>0</v>
      </c>
      <c r="Q32" s="91">
        <f>SUM(Q36:Q49)</f>
        <v>0</v>
      </c>
    </row>
    <row r="33" spans="1:17" x14ac:dyDescent="0.25">
      <c r="A33" s="18"/>
      <c r="B33" s="25"/>
      <c r="C33" s="26"/>
      <c r="D33" s="22" t="s">
        <v>6</v>
      </c>
      <c r="E33" s="22"/>
      <c r="F33" s="87">
        <f t="shared" si="6"/>
        <v>0</v>
      </c>
      <c r="G33" s="87">
        <f>SUM(G34:G35)</f>
        <v>0</v>
      </c>
      <c r="H33" s="87">
        <f>SUM(H34:H35)</f>
        <v>0</v>
      </c>
      <c r="I33" s="87">
        <f t="shared" si="7"/>
        <v>0</v>
      </c>
      <c r="J33" s="87">
        <f>SUM(J34:J35)</f>
        <v>0</v>
      </c>
      <c r="K33" s="87">
        <f>SUM(K34:K35)</f>
        <v>0</v>
      </c>
      <c r="L33" s="87">
        <f t="shared" si="8"/>
        <v>0</v>
      </c>
      <c r="M33" s="87">
        <f>SUM(M34:M35)</f>
        <v>0</v>
      </c>
      <c r="N33" s="87">
        <f>SUM(N34:N35)</f>
        <v>0</v>
      </c>
      <c r="O33" s="87">
        <f t="shared" si="9"/>
        <v>0</v>
      </c>
      <c r="P33" s="87">
        <f>SUM(P34:P35)</f>
        <v>0</v>
      </c>
      <c r="Q33" s="87">
        <f>SUM(Q34:Q35)</f>
        <v>0</v>
      </c>
    </row>
    <row r="34" spans="1:17" x14ac:dyDescent="0.25">
      <c r="A34" s="18"/>
      <c r="B34" s="25"/>
      <c r="C34" s="26"/>
      <c r="D34" s="32" t="s">
        <v>19</v>
      </c>
      <c r="E34" s="32"/>
      <c r="F34" s="87">
        <f t="shared" si="6"/>
        <v>0</v>
      </c>
      <c r="G34" s="91">
        <v>0</v>
      </c>
      <c r="H34" s="91">
        <v>0</v>
      </c>
      <c r="I34" s="87">
        <f t="shared" si="7"/>
        <v>0</v>
      </c>
      <c r="J34" s="91">
        <v>0</v>
      </c>
      <c r="K34" s="91">
        <v>0</v>
      </c>
      <c r="L34" s="87">
        <f t="shared" si="8"/>
        <v>0</v>
      </c>
      <c r="M34" s="91">
        <v>0</v>
      </c>
      <c r="N34" s="91">
        <v>0</v>
      </c>
      <c r="O34" s="87">
        <f t="shared" si="9"/>
        <v>0</v>
      </c>
      <c r="P34" s="91">
        <v>0</v>
      </c>
      <c r="Q34" s="91">
        <v>0</v>
      </c>
    </row>
    <row r="35" spans="1:17" x14ac:dyDescent="0.25">
      <c r="A35" s="18"/>
      <c r="B35" s="25"/>
      <c r="C35" s="26"/>
      <c r="D35" s="32" t="s">
        <v>20</v>
      </c>
      <c r="E35" s="32"/>
      <c r="F35" s="87">
        <v>25</v>
      </c>
      <c r="G35" s="91">
        <v>0</v>
      </c>
      <c r="H35" s="91">
        <v>0</v>
      </c>
      <c r="I35" s="87">
        <v>25</v>
      </c>
      <c r="J35" s="91">
        <v>0</v>
      </c>
      <c r="K35" s="91">
        <v>0</v>
      </c>
      <c r="L35" s="87">
        <v>25</v>
      </c>
      <c r="M35" s="91">
        <v>0</v>
      </c>
      <c r="N35" s="91">
        <v>0</v>
      </c>
      <c r="O35" s="87">
        <v>25</v>
      </c>
      <c r="P35" s="91">
        <v>0</v>
      </c>
      <c r="Q35" s="91">
        <v>0</v>
      </c>
    </row>
    <row r="36" spans="1:17" ht="30" x14ac:dyDescent="0.25">
      <c r="A36" s="18"/>
      <c r="B36" s="33"/>
      <c r="C36" s="20" t="s">
        <v>53</v>
      </c>
      <c r="D36" s="32" t="s">
        <v>82</v>
      </c>
      <c r="E36" s="39">
        <v>1800</v>
      </c>
      <c r="F36" s="88">
        <v>2000</v>
      </c>
      <c r="G36" s="91">
        <v>1800</v>
      </c>
      <c r="H36" s="91">
        <v>0</v>
      </c>
      <c r="I36" s="88">
        <v>2000</v>
      </c>
      <c r="J36" s="91">
        <v>1800</v>
      </c>
      <c r="K36" s="91">
        <v>0</v>
      </c>
      <c r="L36" s="88">
        <v>2000</v>
      </c>
      <c r="M36" s="91">
        <v>1900</v>
      </c>
      <c r="N36" s="91">
        <v>0</v>
      </c>
      <c r="O36" s="88">
        <v>2000</v>
      </c>
      <c r="P36" s="91">
        <v>0</v>
      </c>
      <c r="Q36" s="91">
        <v>0</v>
      </c>
    </row>
    <row r="37" spans="1:17" x14ac:dyDescent="0.25">
      <c r="A37" s="18"/>
      <c r="B37" s="33"/>
      <c r="C37" s="20" t="s">
        <v>54</v>
      </c>
      <c r="D37" s="32" t="s">
        <v>55</v>
      </c>
      <c r="E37" s="39">
        <v>2800</v>
      </c>
      <c r="F37" s="88">
        <v>4300</v>
      </c>
      <c r="G37" s="91">
        <v>2800</v>
      </c>
      <c r="H37" s="91">
        <v>0</v>
      </c>
      <c r="I37" s="88">
        <v>4300</v>
      </c>
      <c r="J37" s="91">
        <v>2950</v>
      </c>
      <c r="K37" s="91">
        <v>0</v>
      </c>
      <c r="L37" s="88">
        <v>4500</v>
      </c>
      <c r="M37" s="91">
        <v>3109</v>
      </c>
      <c r="N37" s="91">
        <v>0</v>
      </c>
      <c r="O37" s="88">
        <v>4500</v>
      </c>
      <c r="P37" s="91">
        <v>0</v>
      </c>
      <c r="Q37" s="91">
        <v>0</v>
      </c>
    </row>
    <row r="38" spans="1:17" x14ac:dyDescent="0.25">
      <c r="A38" s="18"/>
      <c r="B38" s="33"/>
      <c r="C38" s="20" t="s">
        <v>56</v>
      </c>
      <c r="D38" s="85" t="s">
        <v>57</v>
      </c>
      <c r="E38" s="39">
        <v>3600</v>
      </c>
      <c r="F38" s="88">
        <v>0</v>
      </c>
      <c r="G38" s="91">
        <v>0</v>
      </c>
      <c r="H38" s="91">
        <v>0</v>
      </c>
      <c r="I38" s="88">
        <v>0</v>
      </c>
      <c r="J38" s="91">
        <v>0</v>
      </c>
      <c r="K38" s="91">
        <v>0</v>
      </c>
      <c r="L38" s="88">
        <v>0</v>
      </c>
      <c r="M38" s="91">
        <v>0</v>
      </c>
      <c r="N38" s="91">
        <v>0</v>
      </c>
      <c r="O38" s="88">
        <v>0</v>
      </c>
      <c r="P38" s="91">
        <v>0</v>
      </c>
      <c r="Q38" s="91">
        <v>0</v>
      </c>
    </row>
    <row r="39" spans="1:17" x14ac:dyDescent="0.25">
      <c r="A39" s="18"/>
      <c r="B39" s="33"/>
      <c r="C39" s="20" t="s">
        <v>58</v>
      </c>
      <c r="D39" s="85" t="s">
        <v>59</v>
      </c>
      <c r="E39" s="39">
        <v>38</v>
      </c>
      <c r="F39" s="88">
        <v>0</v>
      </c>
      <c r="G39" s="91">
        <v>0</v>
      </c>
      <c r="H39" s="91">
        <v>0</v>
      </c>
      <c r="I39" s="88">
        <v>0</v>
      </c>
      <c r="J39" s="91">
        <v>0</v>
      </c>
      <c r="K39" s="91">
        <v>0</v>
      </c>
      <c r="L39" s="88">
        <v>0</v>
      </c>
      <c r="M39" s="91">
        <v>0</v>
      </c>
      <c r="N39" s="91">
        <v>0</v>
      </c>
      <c r="O39" s="88">
        <v>0</v>
      </c>
      <c r="P39" s="91">
        <v>0</v>
      </c>
      <c r="Q39" s="91">
        <v>0</v>
      </c>
    </row>
    <row r="40" spans="1:17" x14ac:dyDescent="0.25">
      <c r="A40" s="18"/>
      <c r="B40" s="33"/>
      <c r="C40" s="20" t="s">
        <v>60</v>
      </c>
      <c r="D40" s="32" t="s">
        <v>61</v>
      </c>
      <c r="E40" s="39">
        <v>6782</v>
      </c>
      <c r="F40" s="88">
        <v>6300</v>
      </c>
      <c r="G40" s="91">
        <v>6782</v>
      </c>
      <c r="H40" s="91">
        <v>0</v>
      </c>
      <c r="I40" s="88">
        <v>6500</v>
      </c>
      <c r="J40" s="91">
        <v>6800</v>
      </c>
      <c r="K40" s="91">
        <v>0</v>
      </c>
      <c r="L40" s="88">
        <v>6800</v>
      </c>
      <c r="M40" s="91">
        <v>6900</v>
      </c>
      <c r="N40" s="91">
        <v>0</v>
      </c>
      <c r="O40" s="88">
        <v>6800</v>
      </c>
      <c r="P40" s="91">
        <v>0</v>
      </c>
      <c r="Q40" s="91">
        <v>0</v>
      </c>
    </row>
    <row r="41" spans="1:17" x14ac:dyDescent="0.25">
      <c r="A41" s="18"/>
      <c r="B41" s="33"/>
      <c r="C41" s="20" t="s">
        <v>62</v>
      </c>
      <c r="D41" s="32" t="s">
        <v>63</v>
      </c>
      <c r="E41" s="39">
        <v>5600</v>
      </c>
      <c r="F41" s="88">
        <v>4100</v>
      </c>
      <c r="G41" s="91">
        <v>5600</v>
      </c>
      <c r="H41" s="91">
        <v>0</v>
      </c>
      <c r="I41" s="88">
        <v>4300</v>
      </c>
      <c r="J41" s="91">
        <v>5600</v>
      </c>
      <c r="K41" s="91">
        <v>0</v>
      </c>
      <c r="L41" s="88">
        <v>6300</v>
      </c>
      <c r="M41" s="91">
        <v>5800</v>
      </c>
      <c r="N41" s="91">
        <v>0</v>
      </c>
      <c r="O41" s="88">
        <v>6300</v>
      </c>
      <c r="P41" s="91">
        <v>0</v>
      </c>
      <c r="Q41" s="91">
        <v>0</v>
      </c>
    </row>
    <row r="42" spans="1:17" x14ac:dyDescent="0.25">
      <c r="A42" s="18"/>
      <c r="B42" s="33"/>
      <c r="C42" s="20" t="s">
        <v>64</v>
      </c>
      <c r="D42" s="32" t="s">
        <v>65</v>
      </c>
      <c r="E42" s="39">
        <v>50</v>
      </c>
      <c r="F42" s="88">
        <v>48</v>
      </c>
      <c r="G42" s="91">
        <v>50</v>
      </c>
      <c r="H42" s="91">
        <v>0</v>
      </c>
      <c r="I42" s="88">
        <v>60</v>
      </c>
      <c r="J42" s="91">
        <v>50</v>
      </c>
      <c r="K42" s="91">
        <v>0</v>
      </c>
      <c r="L42" s="88">
        <v>60</v>
      </c>
      <c r="M42" s="91">
        <v>50</v>
      </c>
      <c r="N42" s="91">
        <v>0</v>
      </c>
      <c r="O42" s="88">
        <v>60</v>
      </c>
      <c r="P42" s="91">
        <v>0</v>
      </c>
      <c r="Q42" s="91">
        <v>0</v>
      </c>
    </row>
    <row r="43" spans="1:17" x14ac:dyDescent="0.25">
      <c r="A43" s="18"/>
      <c r="B43" s="33"/>
      <c r="C43" s="20" t="s">
        <v>66</v>
      </c>
      <c r="D43" s="32" t="s">
        <v>67</v>
      </c>
      <c r="E43" s="39">
        <v>450</v>
      </c>
      <c r="F43" s="88">
        <v>660</v>
      </c>
      <c r="G43" s="91">
        <v>450</v>
      </c>
      <c r="H43" s="91">
        <v>0</v>
      </c>
      <c r="I43" s="88">
        <v>660</v>
      </c>
      <c r="J43" s="91">
        <v>450</v>
      </c>
      <c r="K43" s="91">
        <v>0</v>
      </c>
      <c r="L43" s="88">
        <v>700</v>
      </c>
      <c r="M43" s="91">
        <v>450</v>
      </c>
      <c r="N43" s="91">
        <v>0</v>
      </c>
      <c r="O43" s="88">
        <v>700</v>
      </c>
      <c r="P43" s="91">
        <v>0</v>
      </c>
      <c r="Q43" s="91">
        <v>0</v>
      </c>
    </row>
    <row r="44" spans="1:17" x14ac:dyDescent="0.25">
      <c r="A44" s="18"/>
      <c r="B44" s="33"/>
      <c r="C44" s="20" t="s">
        <v>68</v>
      </c>
      <c r="D44" s="32" t="s">
        <v>69</v>
      </c>
      <c r="E44" s="39">
        <v>9585</v>
      </c>
      <c r="F44" s="88">
        <f>12100+260</f>
        <v>12360</v>
      </c>
      <c r="G44" s="91">
        <v>9585</v>
      </c>
      <c r="H44" s="91">
        <v>0</v>
      </c>
      <c r="I44" s="88">
        <f>12500+260</f>
        <v>12760</v>
      </c>
      <c r="J44" s="91">
        <v>9900</v>
      </c>
      <c r="K44" s="91">
        <v>0</v>
      </c>
      <c r="L44" s="88">
        <f>13500+260</f>
        <v>13760</v>
      </c>
      <c r="M44" s="91">
        <v>10085</v>
      </c>
      <c r="N44" s="91">
        <v>0</v>
      </c>
      <c r="O44" s="88">
        <f>13500+260</f>
        <v>13760</v>
      </c>
      <c r="P44" s="91">
        <v>0</v>
      </c>
      <c r="Q44" s="91">
        <v>0</v>
      </c>
    </row>
    <row r="45" spans="1:17" ht="30" x14ac:dyDescent="0.25">
      <c r="A45" s="18"/>
      <c r="B45" s="33"/>
      <c r="C45" s="20" t="s">
        <v>70</v>
      </c>
      <c r="D45" s="32" t="s">
        <v>71</v>
      </c>
      <c r="E45" s="39">
        <v>2700</v>
      </c>
      <c r="F45" s="88">
        <v>2600</v>
      </c>
      <c r="G45" s="91">
        <v>2700</v>
      </c>
      <c r="H45" s="91">
        <v>0</v>
      </c>
      <c r="I45" s="88">
        <v>2900</v>
      </c>
      <c r="J45" s="91">
        <v>2700</v>
      </c>
      <c r="K45" s="91">
        <v>0</v>
      </c>
      <c r="L45" s="88">
        <v>3100</v>
      </c>
      <c r="M45" s="91">
        <v>2991</v>
      </c>
      <c r="N45" s="91">
        <v>0</v>
      </c>
      <c r="O45" s="88">
        <v>3200</v>
      </c>
      <c r="P45" s="91">
        <v>0</v>
      </c>
      <c r="Q45" s="91">
        <v>0</v>
      </c>
    </row>
    <row r="46" spans="1:17" x14ac:dyDescent="0.25">
      <c r="A46" s="18"/>
      <c r="B46" s="33"/>
      <c r="C46" s="20" t="s">
        <v>72</v>
      </c>
      <c r="D46" s="32" t="s">
        <v>73</v>
      </c>
      <c r="E46" s="39">
        <v>1200</v>
      </c>
      <c r="F46" s="88">
        <v>1000</v>
      </c>
      <c r="G46" s="91">
        <v>1200</v>
      </c>
      <c r="H46" s="91">
        <v>0</v>
      </c>
      <c r="I46" s="88">
        <v>1200</v>
      </c>
      <c r="J46" s="91">
        <v>1683</v>
      </c>
      <c r="K46" s="91">
        <v>0</v>
      </c>
      <c r="L46" s="88">
        <v>1300</v>
      </c>
      <c r="M46" s="91">
        <v>1683</v>
      </c>
      <c r="N46" s="91">
        <v>0</v>
      </c>
      <c r="O46" s="88">
        <v>1300</v>
      </c>
      <c r="P46" s="91">
        <v>0</v>
      </c>
      <c r="Q46" s="91">
        <v>0</v>
      </c>
    </row>
    <row r="47" spans="1:17" x14ac:dyDescent="0.25">
      <c r="A47" s="18"/>
      <c r="B47" s="33"/>
      <c r="C47" s="20" t="s">
        <v>74</v>
      </c>
      <c r="D47" s="32" t="s">
        <v>75</v>
      </c>
      <c r="E47" s="39">
        <v>2276</v>
      </c>
      <c r="F47" s="88">
        <v>3600</v>
      </c>
      <c r="G47" s="91">
        <v>2276</v>
      </c>
      <c r="H47" s="91">
        <v>0</v>
      </c>
      <c r="I47" s="88">
        <v>2800</v>
      </c>
      <c r="J47" s="91">
        <v>2648</v>
      </c>
      <c r="K47" s="91">
        <v>0</v>
      </c>
      <c r="L47" s="88">
        <v>2900</v>
      </c>
      <c r="M47" s="91">
        <v>2648</v>
      </c>
      <c r="N47" s="91">
        <v>0</v>
      </c>
      <c r="O47" s="88">
        <v>3000</v>
      </c>
      <c r="P47" s="91">
        <v>0</v>
      </c>
      <c r="Q47" s="91">
        <v>0</v>
      </c>
    </row>
    <row r="48" spans="1:17" ht="30" x14ac:dyDescent="0.25">
      <c r="A48" s="18"/>
      <c r="B48" s="33"/>
      <c r="C48" s="20" t="s">
        <v>76</v>
      </c>
      <c r="D48" s="32" t="s">
        <v>77</v>
      </c>
      <c r="E48" s="39">
        <v>262</v>
      </c>
      <c r="F48" s="88">
        <v>252</v>
      </c>
      <c r="G48" s="91">
        <v>262</v>
      </c>
      <c r="H48" s="91">
        <v>0</v>
      </c>
      <c r="I48" s="88">
        <v>300</v>
      </c>
      <c r="J48" s="91">
        <v>271</v>
      </c>
      <c r="K48" s="91">
        <v>0</v>
      </c>
      <c r="L48" s="88">
        <v>350</v>
      </c>
      <c r="M48" s="91">
        <v>552</v>
      </c>
      <c r="N48" s="91">
        <v>0</v>
      </c>
      <c r="O48" s="88">
        <v>350</v>
      </c>
      <c r="P48" s="91">
        <v>0</v>
      </c>
      <c r="Q48" s="91">
        <v>0</v>
      </c>
    </row>
    <row r="49" spans="1:17" ht="30" x14ac:dyDescent="0.25">
      <c r="A49" s="18"/>
      <c r="B49" s="33"/>
      <c r="C49" s="20" t="s">
        <v>78</v>
      </c>
      <c r="D49" s="32" t="s">
        <v>79</v>
      </c>
      <c r="E49" s="39">
        <v>257</v>
      </c>
      <c r="F49" s="88">
        <v>256</v>
      </c>
      <c r="G49" s="91">
        <v>257</v>
      </c>
      <c r="H49" s="91">
        <v>0</v>
      </c>
      <c r="I49" s="88">
        <v>384</v>
      </c>
      <c r="J49" s="91">
        <v>350</v>
      </c>
      <c r="K49" s="91">
        <v>0</v>
      </c>
      <c r="L49" s="88">
        <v>384</v>
      </c>
      <c r="M49" s="91">
        <v>384</v>
      </c>
      <c r="N49" s="91">
        <v>0</v>
      </c>
      <c r="O49" s="88">
        <v>384</v>
      </c>
      <c r="P49" s="91">
        <v>0</v>
      </c>
      <c r="Q49" s="91">
        <v>0</v>
      </c>
    </row>
    <row r="50" spans="1:17" ht="30" x14ac:dyDescent="0.25">
      <c r="A50" s="86"/>
      <c r="B50" s="33"/>
      <c r="C50" s="84" t="s">
        <v>124</v>
      </c>
      <c r="D50" s="85" t="s">
        <v>125</v>
      </c>
      <c r="E50" s="39"/>
      <c r="F50" s="88">
        <v>934</v>
      </c>
      <c r="G50" s="91"/>
      <c r="H50" s="91"/>
      <c r="I50" s="88">
        <v>1000</v>
      </c>
      <c r="J50" s="91"/>
      <c r="K50" s="91"/>
      <c r="L50" s="88">
        <v>1000</v>
      </c>
      <c r="M50" s="91"/>
      <c r="N50" s="91"/>
      <c r="O50" s="88">
        <v>1000</v>
      </c>
      <c r="P50" s="91"/>
      <c r="Q50" s="91"/>
    </row>
    <row r="51" spans="1:17" ht="30" x14ac:dyDescent="0.25">
      <c r="A51" s="86"/>
      <c r="B51" s="33"/>
      <c r="C51" s="84" t="s">
        <v>126</v>
      </c>
      <c r="D51" s="85" t="s">
        <v>127</v>
      </c>
      <c r="E51" s="39"/>
      <c r="F51" s="88">
        <v>201</v>
      </c>
      <c r="G51" s="91"/>
      <c r="H51" s="91"/>
      <c r="I51" s="88">
        <v>201</v>
      </c>
      <c r="J51" s="91"/>
      <c r="K51" s="91"/>
      <c r="L51" s="88">
        <v>274</v>
      </c>
      <c r="M51" s="91"/>
      <c r="N51" s="91"/>
      <c r="O51" s="88">
        <v>274</v>
      </c>
      <c r="P51" s="91"/>
      <c r="Q51" s="91"/>
    </row>
    <row r="52" spans="1:17" ht="45" x14ac:dyDescent="0.25">
      <c r="A52" s="86"/>
      <c r="B52" s="33"/>
      <c r="C52" s="84" t="s">
        <v>128</v>
      </c>
      <c r="D52" s="85" t="s">
        <v>129</v>
      </c>
      <c r="E52" s="39"/>
      <c r="F52" s="88">
        <v>30</v>
      </c>
      <c r="G52" s="91"/>
      <c r="H52" s="91"/>
      <c r="I52" s="88">
        <v>60</v>
      </c>
      <c r="J52" s="91"/>
      <c r="K52" s="91"/>
      <c r="L52" s="88">
        <v>60</v>
      </c>
      <c r="M52" s="91"/>
      <c r="N52" s="91"/>
      <c r="O52" s="88">
        <v>60</v>
      </c>
      <c r="P52" s="91"/>
      <c r="Q52" s="91"/>
    </row>
    <row r="53" spans="1:17" ht="18.75" x14ac:dyDescent="0.25">
      <c r="A53" s="18"/>
      <c r="B53" s="27" t="s">
        <v>80</v>
      </c>
      <c r="C53" s="28"/>
      <c r="D53" s="29" t="s">
        <v>81</v>
      </c>
      <c r="E53" s="40">
        <v>58300</v>
      </c>
      <c r="F53" s="40">
        <v>65000</v>
      </c>
      <c r="G53" s="40">
        <v>65000</v>
      </c>
      <c r="H53" s="40">
        <v>65000</v>
      </c>
      <c r="I53" s="40">
        <v>65000</v>
      </c>
      <c r="J53" s="40">
        <v>65000</v>
      </c>
      <c r="K53" s="40">
        <v>65000</v>
      </c>
      <c r="L53" s="40">
        <v>65000</v>
      </c>
      <c r="M53" s="40">
        <v>65000</v>
      </c>
      <c r="N53" s="40">
        <v>65000</v>
      </c>
      <c r="O53" s="40">
        <v>65000</v>
      </c>
      <c r="P53" s="91">
        <v>0</v>
      </c>
      <c r="Q53" s="91">
        <v>0</v>
      </c>
    </row>
    <row r="54" spans="1:17" x14ac:dyDescent="0.25">
      <c r="A54" s="18"/>
      <c r="B54" s="25"/>
      <c r="C54" s="26"/>
      <c r="D54" s="22" t="s">
        <v>6</v>
      </c>
      <c r="E54" s="22"/>
      <c r="F54" s="87">
        <f t="shared" si="6"/>
        <v>0</v>
      </c>
      <c r="G54" s="87">
        <f>SUM(G55:G56)</f>
        <v>0</v>
      </c>
      <c r="H54" s="87">
        <f>SUM(H55:H56)</f>
        <v>0</v>
      </c>
      <c r="I54" s="87">
        <f t="shared" si="7"/>
        <v>0</v>
      </c>
      <c r="J54" s="87">
        <f>SUM(J55:J56)</f>
        <v>0</v>
      </c>
      <c r="K54" s="87">
        <f>SUM(K55:K56)</f>
        <v>0</v>
      </c>
      <c r="L54" s="87">
        <f t="shared" si="8"/>
        <v>0</v>
      </c>
      <c r="M54" s="87">
        <f>SUM(M55:M56)</f>
        <v>0</v>
      </c>
      <c r="N54" s="87">
        <f>SUM(N55:N56)</f>
        <v>0</v>
      </c>
      <c r="O54" s="87">
        <f t="shared" si="9"/>
        <v>0</v>
      </c>
      <c r="P54" s="87">
        <f>SUM(P55:P56)</f>
        <v>0</v>
      </c>
      <c r="Q54" s="87">
        <f>SUM(Q55:Q56)</f>
        <v>0</v>
      </c>
    </row>
    <row r="55" spans="1:17" x14ac:dyDescent="0.25">
      <c r="A55" s="18"/>
      <c r="B55" s="25"/>
      <c r="C55" s="26"/>
      <c r="D55" s="32" t="s">
        <v>19</v>
      </c>
      <c r="E55" s="32"/>
      <c r="F55" s="87">
        <f t="shared" si="6"/>
        <v>0</v>
      </c>
      <c r="G55" s="91">
        <v>0</v>
      </c>
      <c r="H55" s="91">
        <v>0</v>
      </c>
      <c r="I55" s="87">
        <f t="shared" si="7"/>
        <v>0</v>
      </c>
      <c r="J55" s="91">
        <v>0</v>
      </c>
      <c r="K55" s="91">
        <v>0</v>
      </c>
      <c r="L55" s="87">
        <f t="shared" si="8"/>
        <v>0</v>
      </c>
      <c r="M55" s="91">
        <v>0</v>
      </c>
      <c r="N55" s="91">
        <v>0</v>
      </c>
      <c r="O55" s="87">
        <f t="shared" si="9"/>
        <v>0</v>
      </c>
      <c r="P55" s="91">
        <v>0</v>
      </c>
      <c r="Q55" s="91">
        <v>0</v>
      </c>
    </row>
    <row r="56" spans="1:17" x14ac:dyDescent="0.25">
      <c r="A56" s="18"/>
      <c r="B56" s="25"/>
      <c r="C56" s="26"/>
      <c r="D56" s="32" t="s">
        <v>20</v>
      </c>
      <c r="E56" s="32"/>
      <c r="F56" s="87">
        <f t="shared" si="6"/>
        <v>0</v>
      </c>
      <c r="G56" s="91">
        <v>0</v>
      </c>
      <c r="H56" s="91">
        <v>0</v>
      </c>
      <c r="I56" s="87">
        <f t="shared" si="7"/>
        <v>0</v>
      </c>
      <c r="J56" s="91">
        <v>0</v>
      </c>
      <c r="K56" s="91">
        <v>0</v>
      </c>
      <c r="L56" s="87">
        <f t="shared" si="8"/>
        <v>0</v>
      </c>
      <c r="M56" s="91">
        <v>0</v>
      </c>
      <c r="N56" s="91">
        <v>0</v>
      </c>
      <c r="O56" s="87">
        <f t="shared" si="9"/>
        <v>0</v>
      </c>
      <c r="P56" s="91">
        <v>0</v>
      </c>
      <c r="Q56" s="91">
        <v>0</v>
      </c>
    </row>
    <row r="58" spans="1:17" x14ac:dyDescent="0.25">
      <c r="A58" s="86"/>
    </row>
    <row r="59" spans="1:17" x14ac:dyDescent="0.25">
      <c r="A59" s="86"/>
    </row>
    <row r="60" spans="1:17" ht="41.1" customHeight="1" x14ac:dyDescent="0.25">
      <c r="C60" s="110" t="s">
        <v>17</v>
      </c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</row>
    <row r="61" spans="1:17" x14ac:dyDescent="0.25">
      <c r="B61" s="1"/>
      <c r="C61" s="1"/>
    </row>
    <row r="62" spans="1:17" x14ac:dyDescent="0.25">
      <c r="B62" s="1"/>
      <c r="C62" s="1"/>
    </row>
    <row r="63" spans="1:17" x14ac:dyDescent="0.25">
      <c r="B63" s="1"/>
      <c r="C63" s="1"/>
    </row>
    <row r="64" spans="1:17" x14ac:dyDescent="0.25">
      <c r="B64" s="1"/>
      <c r="C64" s="1"/>
    </row>
    <row r="65" spans="3:3" ht="18" x14ac:dyDescent="0.35">
      <c r="C65" s="13"/>
    </row>
  </sheetData>
  <mergeCells count="14">
    <mergeCell ref="C60:Q60"/>
    <mergeCell ref="I2:J2"/>
    <mergeCell ref="M2:N2"/>
    <mergeCell ref="P2:Q2"/>
    <mergeCell ref="B3:Q3"/>
    <mergeCell ref="A6:A8"/>
    <mergeCell ref="B6:B8"/>
    <mergeCell ref="C6:C8"/>
    <mergeCell ref="D6:D8"/>
    <mergeCell ref="F6:Q6"/>
    <mergeCell ref="F7:H7"/>
    <mergeCell ref="I7:K7"/>
    <mergeCell ref="L7:N7"/>
    <mergeCell ref="O7:Q7"/>
  </mergeCells>
  <pageMargins left="0.23622047244094499" right="0.23622047244094499" top="0.74803149606299202" bottom="0.74803149606299202" header="0.31496062992126" footer="0.31496062992126"/>
  <pageSetup paperSize="9" scale="4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3:F36"/>
  <sheetViews>
    <sheetView topLeftCell="A19" workbookViewId="0">
      <selection activeCell="F36" sqref="F36"/>
    </sheetView>
  </sheetViews>
  <sheetFormatPr defaultColWidth="9.140625" defaultRowHeight="15" x14ac:dyDescent="0.25"/>
  <cols>
    <col min="1" max="1" width="4.140625" style="43" bestFit="1" customWidth="1"/>
    <col min="2" max="2" width="10" style="47" bestFit="1" customWidth="1"/>
    <col min="3" max="3" width="18.7109375" style="48" bestFit="1" customWidth="1"/>
    <col min="4" max="4" width="15" style="48" bestFit="1" customWidth="1"/>
    <col min="5" max="5" width="15.42578125" style="48" customWidth="1"/>
    <col min="6" max="6" width="18.28515625" style="43" customWidth="1"/>
    <col min="7" max="7" width="25.5703125" style="44" customWidth="1"/>
    <col min="8" max="8" width="20" style="44" customWidth="1"/>
    <col min="9" max="9" width="16.42578125" style="44" customWidth="1"/>
    <col min="10" max="10" width="21" style="44" customWidth="1"/>
    <col min="11" max="11" width="15.140625" style="44" customWidth="1"/>
    <col min="12" max="16384" width="9.140625" style="44"/>
  </cols>
  <sheetData>
    <row r="3" spans="1:6" ht="105" x14ac:dyDescent="0.25">
      <c r="B3" s="49" t="s">
        <v>84</v>
      </c>
      <c r="C3" s="49" t="s">
        <v>85</v>
      </c>
      <c r="D3" s="49" t="s">
        <v>86</v>
      </c>
      <c r="E3" s="49" t="s">
        <v>87</v>
      </c>
      <c r="F3" s="55" t="s">
        <v>89</v>
      </c>
    </row>
    <row r="4" spans="1:6" x14ac:dyDescent="0.25">
      <c r="A4" s="45">
        <v>1</v>
      </c>
      <c r="B4" s="50" t="s">
        <v>88</v>
      </c>
      <c r="C4" s="51"/>
      <c r="D4" s="51"/>
      <c r="E4" s="52">
        <v>812822</v>
      </c>
    </row>
    <row r="5" spans="1:6" x14ac:dyDescent="0.25">
      <c r="A5" s="45">
        <v>2</v>
      </c>
      <c r="B5" s="53">
        <v>1.2020999999999999</v>
      </c>
      <c r="C5" s="51">
        <v>6797</v>
      </c>
      <c r="D5" s="51">
        <v>3200</v>
      </c>
      <c r="E5" s="51">
        <f t="shared" ref="E5:E16" si="0">E4+C5-D5</f>
        <v>816419</v>
      </c>
      <c r="F5" s="46">
        <f>E5*250</f>
        <v>204104750</v>
      </c>
    </row>
    <row r="6" spans="1:6" x14ac:dyDescent="0.25">
      <c r="A6" s="45">
        <v>3</v>
      </c>
      <c r="B6" s="53">
        <v>2.2021000000000002</v>
      </c>
      <c r="C6" s="51">
        <v>5567</v>
      </c>
      <c r="D6" s="51">
        <v>3200</v>
      </c>
      <c r="E6" s="51">
        <f t="shared" si="0"/>
        <v>818786</v>
      </c>
      <c r="F6" s="46">
        <f t="shared" ref="F6:F16" si="1">E6*250</f>
        <v>204696500</v>
      </c>
    </row>
    <row r="7" spans="1:6" x14ac:dyDescent="0.25">
      <c r="A7" s="45">
        <v>4</v>
      </c>
      <c r="B7" s="53">
        <v>3.2021000000000002</v>
      </c>
      <c r="C7" s="51">
        <v>6018</v>
      </c>
      <c r="D7" s="51">
        <v>3200</v>
      </c>
      <c r="E7" s="51">
        <f t="shared" si="0"/>
        <v>821604</v>
      </c>
      <c r="F7" s="46">
        <f t="shared" si="1"/>
        <v>205401000</v>
      </c>
    </row>
    <row r="8" spans="1:6" x14ac:dyDescent="0.25">
      <c r="A8" s="45">
        <v>5</v>
      </c>
      <c r="B8" s="53">
        <v>4.2020999999999997</v>
      </c>
      <c r="C8" s="51">
        <v>5588</v>
      </c>
      <c r="D8" s="51">
        <v>3200</v>
      </c>
      <c r="E8" s="51">
        <f t="shared" si="0"/>
        <v>823992</v>
      </c>
      <c r="F8" s="46">
        <f t="shared" si="1"/>
        <v>205998000</v>
      </c>
    </row>
    <row r="9" spans="1:6" x14ac:dyDescent="0.25">
      <c r="A9" s="45">
        <v>6</v>
      </c>
      <c r="B9" s="53">
        <v>5.2020999999999997</v>
      </c>
      <c r="C9" s="51">
        <v>5853</v>
      </c>
      <c r="D9" s="51">
        <v>3200</v>
      </c>
      <c r="E9" s="51">
        <f t="shared" si="0"/>
        <v>826645</v>
      </c>
      <c r="F9" s="46">
        <f t="shared" si="1"/>
        <v>206661250</v>
      </c>
    </row>
    <row r="10" spans="1:6" x14ac:dyDescent="0.25">
      <c r="A10" s="45">
        <v>7</v>
      </c>
      <c r="B10" s="53">
        <v>6.2020999999999997</v>
      </c>
      <c r="C10" s="51">
        <v>5306</v>
      </c>
      <c r="D10" s="51">
        <v>3200</v>
      </c>
      <c r="E10" s="51">
        <f t="shared" si="0"/>
        <v>828751</v>
      </c>
      <c r="F10" s="46">
        <f t="shared" si="1"/>
        <v>207187750</v>
      </c>
    </row>
    <row r="11" spans="1:6" x14ac:dyDescent="0.25">
      <c r="A11" s="45">
        <v>8</v>
      </c>
      <c r="B11" s="53">
        <v>7.2020999999999997</v>
      </c>
      <c r="C11" s="51">
        <v>5615</v>
      </c>
      <c r="D11" s="51">
        <v>3200</v>
      </c>
      <c r="E11" s="54">
        <f t="shared" si="0"/>
        <v>831166</v>
      </c>
      <c r="F11" s="46">
        <f t="shared" si="1"/>
        <v>207791500</v>
      </c>
    </row>
    <row r="12" spans="1:6" x14ac:dyDescent="0.25">
      <c r="A12" s="45">
        <v>9</v>
      </c>
      <c r="B12" s="53">
        <v>8.2020999999999997</v>
      </c>
      <c r="C12" s="51">
        <v>5421</v>
      </c>
      <c r="D12" s="51">
        <v>3200</v>
      </c>
      <c r="E12" s="51">
        <f t="shared" si="0"/>
        <v>833387</v>
      </c>
      <c r="F12" s="46">
        <f t="shared" si="1"/>
        <v>208346750</v>
      </c>
    </row>
    <row r="13" spans="1:6" x14ac:dyDescent="0.25">
      <c r="A13" s="45">
        <v>10</v>
      </c>
      <c r="B13" s="53">
        <v>9.2020999999999997</v>
      </c>
      <c r="C13" s="51">
        <v>5281</v>
      </c>
      <c r="D13" s="51">
        <v>3200</v>
      </c>
      <c r="E13" s="51">
        <f t="shared" si="0"/>
        <v>835468</v>
      </c>
      <c r="F13" s="46">
        <f t="shared" si="1"/>
        <v>208867000</v>
      </c>
    </row>
    <row r="14" spans="1:6" x14ac:dyDescent="0.25">
      <c r="A14" s="45">
        <v>11</v>
      </c>
      <c r="B14" s="53">
        <v>10.2021</v>
      </c>
      <c r="C14" s="51">
        <v>5168</v>
      </c>
      <c r="D14" s="51">
        <v>3200</v>
      </c>
      <c r="E14" s="51">
        <f t="shared" si="0"/>
        <v>837436</v>
      </c>
      <c r="F14" s="46">
        <f t="shared" si="1"/>
        <v>209359000</v>
      </c>
    </row>
    <row r="15" spans="1:6" x14ac:dyDescent="0.25">
      <c r="A15" s="45">
        <v>12</v>
      </c>
      <c r="B15" s="53">
        <v>11.2021</v>
      </c>
      <c r="C15" s="51">
        <v>4620</v>
      </c>
      <c r="D15" s="51">
        <v>3200</v>
      </c>
      <c r="E15" s="51">
        <f t="shared" si="0"/>
        <v>838856</v>
      </c>
      <c r="F15" s="46">
        <f t="shared" si="1"/>
        <v>209714000</v>
      </c>
    </row>
    <row r="16" spans="1:6" x14ac:dyDescent="0.25">
      <c r="A16" s="45">
        <v>13</v>
      </c>
      <c r="B16" s="53">
        <v>12.2021</v>
      </c>
      <c r="C16" s="51">
        <v>4119</v>
      </c>
      <c r="D16" s="51">
        <v>3200</v>
      </c>
      <c r="E16" s="51">
        <f t="shared" si="0"/>
        <v>839775</v>
      </c>
      <c r="F16" s="46">
        <f t="shared" si="1"/>
        <v>209943750</v>
      </c>
    </row>
    <row r="17" spans="1:6" x14ac:dyDescent="0.25">
      <c r="F17" s="46"/>
    </row>
    <row r="18" spans="1:6" x14ac:dyDescent="0.25">
      <c r="E18" s="48" t="s">
        <v>3</v>
      </c>
      <c r="F18" s="46">
        <f>SUM(F5:F16)</f>
        <v>2488071250</v>
      </c>
    </row>
    <row r="21" spans="1:6" ht="30" x14ac:dyDescent="0.25">
      <c r="F21" s="55" t="s">
        <v>90</v>
      </c>
    </row>
    <row r="22" spans="1:6" x14ac:dyDescent="0.25">
      <c r="A22" s="45">
        <v>1</v>
      </c>
      <c r="B22" s="53">
        <v>12.2021</v>
      </c>
      <c r="C22" s="51"/>
      <c r="D22" s="51"/>
      <c r="E22" s="51">
        <v>839775</v>
      </c>
      <c r="F22" s="46"/>
    </row>
    <row r="23" spans="1:6" x14ac:dyDescent="0.25">
      <c r="A23" s="45">
        <v>2</v>
      </c>
      <c r="B23" s="53">
        <v>1.2021999999999999</v>
      </c>
      <c r="C23" s="51">
        <v>6973</v>
      </c>
      <c r="D23" s="51">
        <v>3200</v>
      </c>
      <c r="E23" s="51">
        <f t="shared" ref="E23:E34" si="2">E22+C23-D23</f>
        <v>843548</v>
      </c>
      <c r="F23" s="46">
        <f>E23*270</f>
        <v>227757960</v>
      </c>
    </row>
    <row r="24" spans="1:6" x14ac:dyDescent="0.25">
      <c r="A24" s="45">
        <v>3</v>
      </c>
      <c r="B24" s="53">
        <v>2.2021999999999999</v>
      </c>
      <c r="C24" s="51">
        <v>5385</v>
      </c>
      <c r="D24" s="51">
        <v>3200</v>
      </c>
      <c r="E24" s="51">
        <f t="shared" si="2"/>
        <v>845733</v>
      </c>
      <c r="F24" s="46">
        <f t="shared" ref="F24:F34" si="3">E24*270</f>
        <v>228347910</v>
      </c>
    </row>
    <row r="25" spans="1:6" x14ac:dyDescent="0.25">
      <c r="A25" s="45">
        <v>4</v>
      </c>
      <c r="B25" s="53">
        <v>3.2021999999999999</v>
      </c>
      <c r="C25" s="51">
        <v>6006</v>
      </c>
      <c r="D25" s="51">
        <v>3200</v>
      </c>
      <c r="E25" s="51">
        <f t="shared" si="2"/>
        <v>848539</v>
      </c>
      <c r="F25" s="46">
        <f t="shared" si="3"/>
        <v>229105530</v>
      </c>
    </row>
    <row r="26" spans="1:6" x14ac:dyDescent="0.25">
      <c r="A26" s="45">
        <v>5</v>
      </c>
      <c r="B26" s="53">
        <v>4.2022000000000004</v>
      </c>
      <c r="C26" s="51">
        <v>5637</v>
      </c>
      <c r="D26" s="51">
        <v>3200</v>
      </c>
      <c r="E26" s="51">
        <f t="shared" si="2"/>
        <v>850976</v>
      </c>
      <c r="F26" s="46">
        <f t="shared" si="3"/>
        <v>229763520</v>
      </c>
    </row>
    <row r="27" spans="1:6" x14ac:dyDescent="0.25">
      <c r="A27" s="45">
        <v>6</v>
      </c>
      <c r="B27" s="53">
        <v>5.2022000000000004</v>
      </c>
      <c r="C27" s="51">
        <v>5712</v>
      </c>
      <c r="D27" s="51">
        <v>3200</v>
      </c>
      <c r="E27" s="51">
        <f t="shared" si="2"/>
        <v>853488</v>
      </c>
      <c r="F27" s="46">
        <f t="shared" si="3"/>
        <v>230441760</v>
      </c>
    </row>
    <row r="28" spans="1:6" x14ac:dyDescent="0.25">
      <c r="A28" s="45">
        <v>7</v>
      </c>
      <c r="B28" s="53">
        <v>6.2022000000000004</v>
      </c>
      <c r="C28" s="51">
        <v>5366</v>
      </c>
      <c r="D28" s="51">
        <v>3200</v>
      </c>
      <c r="E28" s="51">
        <f t="shared" si="2"/>
        <v>855654</v>
      </c>
      <c r="F28" s="46">
        <f t="shared" si="3"/>
        <v>231026580</v>
      </c>
    </row>
    <row r="29" spans="1:6" x14ac:dyDescent="0.25">
      <c r="A29" s="45">
        <v>8</v>
      </c>
      <c r="B29" s="53">
        <v>7.2022000000000004</v>
      </c>
      <c r="C29" s="51">
        <v>5451</v>
      </c>
      <c r="D29" s="51">
        <v>3200</v>
      </c>
      <c r="E29" s="54">
        <f t="shared" si="2"/>
        <v>857905</v>
      </c>
      <c r="F29" s="46">
        <f t="shared" si="3"/>
        <v>231634350</v>
      </c>
    </row>
    <row r="30" spans="1:6" x14ac:dyDescent="0.25">
      <c r="A30" s="45">
        <v>9</v>
      </c>
      <c r="B30" s="53">
        <v>8.2021999999999995</v>
      </c>
      <c r="C30" s="51">
        <v>5453</v>
      </c>
      <c r="D30" s="51">
        <v>3200</v>
      </c>
      <c r="E30" s="51">
        <f t="shared" si="2"/>
        <v>860158</v>
      </c>
      <c r="F30" s="46">
        <f t="shared" si="3"/>
        <v>232242660</v>
      </c>
    </row>
    <row r="31" spans="1:6" x14ac:dyDescent="0.25">
      <c r="A31" s="45">
        <v>10</v>
      </c>
      <c r="B31" s="53">
        <v>9.2021999999999995</v>
      </c>
      <c r="C31" s="51">
        <v>5237</v>
      </c>
      <c r="D31" s="51">
        <v>3200</v>
      </c>
      <c r="E31" s="51">
        <f t="shared" si="2"/>
        <v>862195</v>
      </c>
      <c r="F31" s="46">
        <f t="shared" si="3"/>
        <v>232792650</v>
      </c>
    </row>
    <row r="32" spans="1:6" x14ac:dyDescent="0.25">
      <c r="A32" s="45">
        <v>11</v>
      </c>
      <c r="B32" s="53">
        <v>10.202199999999999</v>
      </c>
      <c r="C32" s="51">
        <v>5260</v>
      </c>
      <c r="D32" s="51">
        <v>3200</v>
      </c>
      <c r="E32" s="51">
        <f t="shared" si="2"/>
        <v>864255</v>
      </c>
      <c r="F32" s="46">
        <f t="shared" si="3"/>
        <v>233348850</v>
      </c>
    </row>
    <row r="33" spans="1:6" x14ac:dyDescent="0.25">
      <c r="A33" s="45">
        <v>12</v>
      </c>
      <c r="B33" s="53">
        <v>11.202199999999999</v>
      </c>
      <c r="C33" s="51">
        <v>4578</v>
      </c>
      <c r="D33" s="51">
        <v>3200</v>
      </c>
      <c r="E33" s="51">
        <f t="shared" si="2"/>
        <v>865633</v>
      </c>
      <c r="F33" s="46">
        <f t="shared" si="3"/>
        <v>233720910</v>
      </c>
    </row>
    <row r="34" spans="1:6" x14ac:dyDescent="0.25">
      <c r="A34" s="45">
        <v>13</v>
      </c>
      <c r="B34" s="53">
        <v>12.202199999999999</v>
      </c>
      <c r="C34" s="51">
        <v>4394</v>
      </c>
      <c r="D34" s="51">
        <v>3200</v>
      </c>
      <c r="E34" s="51">
        <f t="shared" si="2"/>
        <v>866827</v>
      </c>
      <c r="F34" s="46">
        <f t="shared" si="3"/>
        <v>234043290</v>
      </c>
    </row>
    <row r="35" spans="1:6" x14ac:dyDescent="0.25">
      <c r="F35" s="46"/>
    </row>
    <row r="36" spans="1:6" x14ac:dyDescent="0.25">
      <c r="E36" s="48" t="s">
        <v>3</v>
      </c>
      <c r="F36" s="46">
        <f>SUM(F23:F34)</f>
        <v>2774225970</v>
      </c>
    </row>
  </sheetData>
  <pageMargins left="0.2" right="0.2" top="0.25" bottom="0.2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3:F15"/>
  <sheetViews>
    <sheetView workbookViewId="0">
      <selection activeCell="C7" sqref="C7"/>
    </sheetView>
  </sheetViews>
  <sheetFormatPr defaultColWidth="9.140625" defaultRowHeight="15" x14ac:dyDescent="0.25"/>
  <cols>
    <col min="1" max="1" width="20.28515625" style="57" customWidth="1"/>
    <col min="2" max="2" width="25.28515625" style="57" customWidth="1"/>
    <col min="3" max="3" width="30.7109375" style="57" customWidth="1"/>
    <col min="4" max="4" width="11.140625" style="57" bestFit="1" customWidth="1"/>
    <col min="5" max="5" width="9.140625" style="57"/>
    <col min="6" max="6" width="15" style="57" customWidth="1"/>
    <col min="7" max="16384" width="9.140625" style="57"/>
  </cols>
  <sheetData>
    <row r="3" spans="2:6" x14ac:dyDescent="0.25">
      <c r="B3" s="56" t="s">
        <v>91</v>
      </c>
    </row>
    <row r="4" spans="2:6" x14ac:dyDescent="0.25">
      <c r="B4" s="58" t="s">
        <v>92</v>
      </c>
      <c r="C4" s="59"/>
      <c r="F4" s="56" t="s">
        <v>93</v>
      </c>
    </row>
    <row r="5" spans="2:6" ht="26.25" x14ac:dyDescent="0.25">
      <c r="B5" s="60" t="s">
        <v>94</v>
      </c>
      <c r="C5" s="61">
        <v>460000</v>
      </c>
      <c r="F5" s="57">
        <v>345850000</v>
      </c>
    </row>
    <row r="6" spans="2:6" ht="26.25" x14ac:dyDescent="0.25">
      <c r="B6" s="60" t="s">
        <v>95</v>
      </c>
      <c r="C6" s="62">
        <v>63</v>
      </c>
      <c r="F6" s="57">
        <f>F5-3000000</f>
        <v>342850000</v>
      </c>
    </row>
    <row r="7" spans="2:6" x14ac:dyDescent="0.25">
      <c r="B7" s="60" t="s">
        <v>96</v>
      </c>
      <c r="C7" s="61">
        <v>2500000</v>
      </c>
      <c r="F7" s="57">
        <f>(F6/12)/60</f>
        <v>476180.55555555556</v>
      </c>
    </row>
    <row r="8" spans="2:6" x14ac:dyDescent="0.25">
      <c r="B8" s="62" t="s">
        <v>97</v>
      </c>
      <c r="C8" s="61">
        <f>C5*C6</f>
        <v>28980000</v>
      </c>
    </row>
    <row r="9" spans="2:6" ht="18" x14ac:dyDescent="0.25">
      <c r="B9" s="63" t="s">
        <v>98</v>
      </c>
      <c r="C9" s="64">
        <f>(C8*12)+C7</f>
        <v>350260000</v>
      </c>
    </row>
    <row r="12" spans="2:6" x14ac:dyDescent="0.25">
      <c r="C12" s="57" t="s">
        <v>122</v>
      </c>
    </row>
    <row r="13" spans="2:6" ht="18" x14ac:dyDescent="0.25">
      <c r="B13" s="65">
        <v>2022</v>
      </c>
      <c r="C13" s="64">
        <f>C9+(C9*1)/100</f>
        <v>353762600</v>
      </c>
      <c r="D13" s="66"/>
      <c r="E13" s="56"/>
    </row>
    <row r="14" spans="2:6" ht="18" x14ac:dyDescent="0.25">
      <c r="B14" s="65">
        <v>2023</v>
      </c>
      <c r="C14" s="64">
        <f>C13+(C13*1)/100</f>
        <v>357300226</v>
      </c>
      <c r="D14" s="66"/>
    </row>
    <row r="15" spans="2:6" ht="18" x14ac:dyDescent="0.25">
      <c r="B15" s="65">
        <v>2024</v>
      </c>
      <c r="C15" s="64">
        <f>C14+(C14*1)/100</f>
        <v>360873228.25999999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C1:M28"/>
  <sheetViews>
    <sheetView topLeftCell="E8" workbookViewId="0">
      <selection activeCell="L25" sqref="L25"/>
    </sheetView>
  </sheetViews>
  <sheetFormatPr defaultColWidth="9.140625" defaultRowHeight="15" x14ac:dyDescent="0.25"/>
  <cols>
    <col min="1" max="1" width="17.28515625" style="57" customWidth="1"/>
    <col min="2" max="2" width="21" style="57" customWidth="1"/>
    <col min="3" max="3" width="22.42578125" style="57" customWidth="1"/>
    <col min="4" max="4" width="30.85546875" style="57" customWidth="1"/>
    <col min="5" max="5" width="9.140625" style="57"/>
    <col min="6" max="6" width="14.85546875" style="57" customWidth="1"/>
    <col min="7" max="7" width="34" style="57" customWidth="1"/>
    <col min="8" max="8" width="23.28515625" style="57" customWidth="1"/>
    <col min="9" max="9" width="18.7109375" style="57" customWidth="1"/>
    <col min="10" max="10" width="9.140625" style="57"/>
    <col min="11" max="12" width="15.28515625" style="57" customWidth="1"/>
    <col min="13" max="13" width="16.42578125" style="57" customWidth="1"/>
    <col min="14" max="16384" width="9.140625" style="57"/>
  </cols>
  <sheetData>
    <row r="1" spans="3:13" x14ac:dyDescent="0.25">
      <c r="C1" s="67"/>
      <c r="G1" s="68"/>
      <c r="H1" s="69"/>
      <c r="I1" s="69"/>
    </row>
    <row r="3" spans="3:13" x14ac:dyDescent="0.25">
      <c r="G3" s="65" t="s">
        <v>117</v>
      </c>
      <c r="H3" s="57" t="s">
        <v>3</v>
      </c>
      <c r="I3" s="56" t="s">
        <v>99</v>
      </c>
      <c r="J3" s="56" t="s">
        <v>100</v>
      </c>
      <c r="K3" s="56" t="s">
        <v>101</v>
      </c>
      <c r="L3" s="56" t="s">
        <v>102</v>
      </c>
      <c r="M3" s="56" t="s">
        <v>103</v>
      </c>
    </row>
    <row r="4" spans="3:13" x14ac:dyDescent="0.25">
      <c r="G4" s="70" t="s">
        <v>104</v>
      </c>
      <c r="H4" s="71">
        <v>172702</v>
      </c>
      <c r="I4" s="72">
        <v>28365</v>
      </c>
      <c r="J4" s="72">
        <v>74282</v>
      </c>
      <c r="K4" s="72">
        <v>11327</v>
      </c>
      <c r="L4" s="72">
        <v>12003</v>
      </c>
      <c r="M4" s="73">
        <v>46725</v>
      </c>
    </row>
    <row r="5" spans="3:13" x14ac:dyDescent="0.25">
      <c r="G5" s="70" t="s">
        <v>105</v>
      </c>
      <c r="H5" s="71">
        <v>163</v>
      </c>
      <c r="I5" s="74">
        <v>222</v>
      </c>
      <c r="J5" s="59">
        <v>143</v>
      </c>
      <c r="K5" s="59">
        <v>223</v>
      </c>
      <c r="L5" s="59">
        <v>90</v>
      </c>
      <c r="M5" s="59">
        <v>61</v>
      </c>
    </row>
    <row r="6" spans="3:13" x14ac:dyDescent="0.25">
      <c r="G6" s="75" t="s">
        <v>97</v>
      </c>
      <c r="H6" s="71">
        <f>(I4*I5)+(J4*J5)+(K4*K5)+(L4*L5)+(M4*M5)</f>
        <v>23375772</v>
      </c>
      <c r="I6" s="71"/>
      <c r="J6" s="59"/>
      <c r="K6" s="59"/>
      <c r="L6" s="59"/>
      <c r="M6" s="59"/>
    </row>
    <row r="7" spans="3:13" x14ac:dyDescent="0.25">
      <c r="G7" s="76" t="s">
        <v>98</v>
      </c>
      <c r="H7" s="77">
        <f>H6*12</f>
        <v>280509264</v>
      </c>
      <c r="I7" s="77"/>
      <c r="J7" s="59"/>
      <c r="K7" s="59"/>
      <c r="L7" s="59"/>
      <c r="M7" s="59"/>
    </row>
    <row r="11" spans="3:13" x14ac:dyDescent="0.25">
      <c r="G11" s="65" t="s">
        <v>118</v>
      </c>
      <c r="H11" s="57" t="s">
        <v>3</v>
      </c>
      <c r="I11" s="56" t="s">
        <v>99</v>
      </c>
      <c r="J11" s="56" t="s">
        <v>100</v>
      </c>
      <c r="K11" s="56" t="s">
        <v>101</v>
      </c>
      <c r="L11" s="56" t="s">
        <v>102</v>
      </c>
      <c r="M11" s="56" t="s">
        <v>103</v>
      </c>
    </row>
    <row r="12" spans="3:13" x14ac:dyDescent="0.25">
      <c r="G12" s="70" t="s">
        <v>104</v>
      </c>
      <c r="H12" s="71">
        <f>SUM(I12:M12)</f>
        <v>174003</v>
      </c>
      <c r="I12" s="72">
        <v>28500</v>
      </c>
      <c r="J12" s="72">
        <v>75000</v>
      </c>
      <c r="K12" s="72">
        <v>11500</v>
      </c>
      <c r="L12" s="72">
        <v>12003</v>
      </c>
      <c r="M12" s="73">
        <v>47000</v>
      </c>
    </row>
    <row r="13" spans="3:13" x14ac:dyDescent="0.25">
      <c r="G13" s="70" t="s">
        <v>105</v>
      </c>
      <c r="H13" s="71">
        <v>163</v>
      </c>
      <c r="I13" s="74">
        <v>222</v>
      </c>
      <c r="J13" s="59">
        <v>143</v>
      </c>
      <c r="K13" s="59">
        <v>223</v>
      </c>
      <c r="L13" s="59">
        <v>90</v>
      </c>
      <c r="M13" s="59">
        <v>61</v>
      </c>
    </row>
    <row r="14" spans="3:13" x14ac:dyDescent="0.25">
      <c r="G14" s="75" t="s">
        <v>97</v>
      </c>
      <c r="H14" s="71">
        <f>(I12*I13)+(J12*J13)+(K12*K13)+(L12*L13)+(M12*M13)</f>
        <v>23563770</v>
      </c>
      <c r="I14" s="71"/>
      <c r="J14" s="59"/>
      <c r="K14" s="59"/>
      <c r="L14" s="59"/>
      <c r="M14" s="59"/>
    </row>
    <row r="15" spans="3:13" x14ac:dyDescent="0.25">
      <c r="G15" s="76" t="s">
        <v>98</v>
      </c>
      <c r="H15" s="77">
        <f>H14*12</f>
        <v>282765240</v>
      </c>
      <c r="I15" s="77"/>
      <c r="J15" s="59"/>
      <c r="K15" s="59"/>
      <c r="L15" s="59"/>
      <c r="M15" s="59"/>
    </row>
    <row r="17" spans="6:10" x14ac:dyDescent="0.25">
      <c r="F17" s="65"/>
      <c r="G17" s="65" t="s">
        <v>119</v>
      </c>
      <c r="H17" s="65"/>
    </row>
    <row r="18" spans="6:10" x14ac:dyDescent="0.25">
      <c r="F18" s="65" t="s">
        <v>120</v>
      </c>
      <c r="G18" s="77">
        <f>(I12+K12)*30*4+(J12*20*4)</f>
        <v>10800000</v>
      </c>
      <c r="H18" s="65"/>
    </row>
    <row r="19" spans="6:10" ht="18.75" x14ac:dyDescent="0.3">
      <c r="F19" s="65" t="s">
        <v>121</v>
      </c>
      <c r="G19" s="83">
        <f>H15+G18</f>
        <v>293565240</v>
      </c>
      <c r="H19" s="65"/>
    </row>
    <row r="21" spans="6:10" x14ac:dyDescent="0.25">
      <c r="F21" s="57" t="s">
        <v>123</v>
      </c>
      <c r="G21" s="77">
        <f>(I12+K12)*30*12+(J12*20)*12</f>
        <v>32400000</v>
      </c>
    </row>
    <row r="22" spans="6:10" x14ac:dyDescent="0.25">
      <c r="G22" s="66">
        <f>H7+G21</f>
        <v>312909264</v>
      </c>
    </row>
    <row r="24" spans="6:10" ht="18.75" x14ac:dyDescent="0.3">
      <c r="H24" s="111" t="s">
        <v>107</v>
      </c>
      <c r="I24" s="112"/>
    </row>
    <row r="25" spans="6:10" ht="18.75" x14ac:dyDescent="0.3">
      <c r="H25" s="78">
        <v>2022</v>
      </c>
      <c r="I25" s="78">
        <f>G19*0.5/100+G19</f>
        <v>295033066.19999999</v>
      </c>
      <c r="J25" s="57" t="s">
        <v>106</v>
      </c>
    </row>
    <row r="26" spans="6:10" ht="18.75" x14ac:dyDescent="0.3">
      <c r="H26" s="78">
        <v>2023</v>
      </c>
      <c r="I26" s="78">
        <f>I25*1/100+I25</f>
        <v>297983396.86199999</v>
      </c>
      <c r="J26" s="56" t="s">
        <v>106</v>
      </c>
    </row>
    <row r="27" spans="6:10" ht="18.75" x14ac:dyDescent="0.3">
      <c r="H27" s="78">
        <v>2024</v>
      </c>
      <c r="I27" s="78">
        <f>I26*1/100+I26</f>
        <v>300963230.83061999</v>
      </c>
      <c r="J27" s="56" t="s">
        <v>106</v>
      </c>
    </row>
    <row r="28" spans="6:10" ht="18.75" x14ac:dyDescent="0.3">
      <c r="H28" s="78"/>
      <c r="I28" s="78"/>
    </row>
  </sheetData>
  <mergeCells count="1">
    <mergeCell ref="H24:I2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H13"/>
  <sheetViews>
    <sheetView workbookViewId="0">
      <selection activeCell="H13" sqref="H13"/>
    </sheetView>
  </sheetViews>
  <sheetFormatPr defaultRowHeight="15" x14ac:dyDescent="0.25"/>
  <cols>
    <col min="3" max="3" width="29.5703125" customWidth="1"/>
    <col min="4" max="5" width="19.85546875" customWidth="1"/>
    <col min="6" max="6" width="23.7109375" customWidth="1"/>
    <col min="7" max="7" width="14.42578125" customWidth="1"/>
    <col min="8" max="8" width="21" customWidth="1"/>
  </cols>
  <sheetData>
    <row r="8" spans="3:8" x14ac:dyDescent="0.25">
      <c r="C8" s="82"/>
    </row>
    <row r="9" spans="3:8" ht="30" x14ac:dyDescent="0.25">
      <c r="C9" s="80" t="s">
        <v>108</v>
      </c>
      <c r="D9" s="79" t="s">
        <v>116</v>
      </c>
      <c r="E9" s="79" t="s">
        <v>7</v>
      </c>
      <c r="F9" s="80" t="s">
        <v>109</v>
      </c>
      <c r="G9" s="79" t="s">
        <v>110</v>
      </c>
      <c r="H9" s="79" t="s">
        <v>111</v>
      </c>
    </row>
    <row r="10" spans="3:8" x14ac:dyDescent="0.25">
      <c r="C10" s="81" t="s">
        <v>112</v>
      </c>
      <c r="D10" s="81">
        <v>7066</v>
      </c>
      <c r="E10" s="81">
        <v>7400</v>
      </c>
      <c r="F10" s="81">
        <v>158</v>
      </c>
      <c r="G10" s="81">
        <f>E10*F10</f>
        <v>1169200</v>
      </c>
      <c r="H10" s="81">
        <f>G10*12</f>
        <v>14030400</v>
      </c>
    </row>
    <row r="11" spans="3:8" x14ac:dyDescent="0.25">
      <c r="C11" s="81" t="s">
        <v>113</v>
      </c>
      <c r="D11" s="81">
        <v>4350</v>
      </c>
      <c r="E11" s="81">
        <v>4600</v>
      </c>
      <c r="F11" s="81">
        <v>145</v>
      </c>
      <c r="G11" s="81">
        <f>E11*F11</f>
        <v>667000</v>
      </c>
      <c r="H11" s="81">
        <f>G11*12</f>
        <v>8004000</v>
      </c>
    </row>
    <row r="12" spans="3:8" x14ac:dyDescent="0.25">
      <c r="C12" s="81" t="s">
        <v>114</v>
      </c>
      <c r="D12" s="81">
        <v>1404</v>
      </c>
      <c r="E12" s="81">
        <v>1600</v>
      </c>
      <c r="F12" s="81">
        <v>20</v>
      </c>
      <c r="G12" s="81">
        <f>E12*F12</f>
        <v>32000</v>
      </c>
      <c r="H12" s="81">
        <f>G12*12</f>
        <v>384000</v>
      </c>
    </row>
    <row r="13" spans="3:8" x14ac:dyDescent="0.25">
      <c r="C13" s="79" t="s">
        <v>115</v>
      </c>
      <c r="D13" s="79"/>
      <c r="E13" s="79"/>
      <c r="F13" s="79"/>
      <c r="G13" s="79"/>
      <c r="H13" s="79">
        <f>SUM(H10:H12)</f>
        <v>22418400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3.2 (ჭერის ფარგლებში)</vt:lpstr>
      <vt:lpstr>3ა.2 (ჭერს ზევით)</vt:lpstr>
      <vt:lpstr>პენსია_2020-2022 ელიკო (2)</vt:lpstr>
      <vt:lpstr>საარსებო შემწეობები  (2)</vt:lpstr>
      <vt:lpstr>სოციალური პაკეტი (2)</vt:lpstr>
      <vt:lpstr>დემოგრაფია  (2)</vt:lpstr>
      <vt:lpstr>'3.2 (ჭერის ფარგლებში)'!Print_Area</vt:lpstr>
      <vt:lpstr>'3ა.2 (ჭერს ზევით)'!Print_Area</vt:lpstr>
      <vt:lpstr>'3.2 (ჭერის ფარგლებში)'!Print_Titles</vt:lpstr>
      <vt:lpstr>'3ა.2 (ჭერს ზევით)'!Print_Titles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Maia Gotiashvili</cp:lastModifiedBy>
  <cp:lastPrinted>2020-05-15T14:28:27Z</cp:lastPrinted>
  <dcterms:created xsi:type="dcterms:W3CDTF">2015-11-13T09:57:34Z</dcterms:created>
  <dcterms:modified xsi:type="dcterms:W3CDTF">2020-05-15T14:28:46Z</dcterms:modified>
</cp:coreProperties>
</file>