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კოვიდ" sheetId="1" r:id="rId1"/>
    <sheet name="შიდა." sheetId="7" r:id="rId2"/>
    <sheet name="აპარატი" sheetId="5" r:id="rId3"/>
    <sheet name="I" sheetId="3" r:id="rId4"/>
    <sheet name="xarji" sheetId="4" r:id="rId5"/>
  </sheets>
  <definedNames>
    <definedName name="_xlnm._FilterDatabase" localSheetId="0" hidden="1">კოვიდ!$A$2:$G$61</definedName>
    <definedName name="_xlnm.Print_Area" localSheetId="3">I!$B$2:$C$17</definedName>
    <definedName name="_xlnm.Print_Area" localSheetId="0">კოვიდ!$A$1:$I$61</definedName>
  </definedNames>
  <calcPr calcId="152511"/>
</workbook>
</file>

<file path=xl/calcChain.xml><?xml version="1.0" encoding="utf-8"?>
<calcChain xmlns="http://schemas.openxmlformats.org/spreadsheetml/2006/main">
  <c r="E52" i="1" l="1"/>
  <c r="G50" i="1"/>
  <c r="G49" i="1"/>
  <c r="G48" i="1"/>
  <c r="F3" i="1" l="1"/>
  <c r="F17" i="1"/>
  <c r="F25" i="1" l="1"/>
  <c r="F30" i="1"/>
  <c r="G38" i="1" l="1"/>
  <c r="G39" i="1"/>
  <c r="G40" i="1"/>
  <c r="G41" i="1"/>
  <c r="G42" i="1"/>
  <c r="G43" i="1"/>
  <c r="G44" i="1"/>
  <c r="G45" i="1"/>
  <c r="G46" i="1"/>
  <c r="G47" i="1"/>
  <c r="F7" i="1" l="1"/>
  <c r="F32" i="1"/>
  <c r="G37" i="1" l="1"/>
  <c r="D37" i="1"/>
  <c r="G36" i="1"/>
  <c r="G32" i="1" l="1"/>
  <c r="G33" i="1"/>
  <c r="G34" i="1"/>
  <c r="G35" i="1"/>
  <c r="F4" i="1" l="1"/>
  <c r="I3" i="7" l="1"/>
  <c r="G4" i="7"/>
  <c r="G5" i="7"/>
  <c r="G6" i="7"/>
  <c r="G7" i="7"/>
  <c r="G8" i="7"/>
  <c r="D32" i="1"/>
  <c r="E3" i="7"/>
  <c r="F3" i="7" l="1"/>
  <c r="G3" i="7" s="1"/>
  <c r="F52" i="1"/>
  <c r="G52" i="1"/>
  <c r="G5" i="1" l="1"/>
  <c r="G6" i="1"/>
  <c r="G7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F14" i="1"/>
  <c r="G4" i="1"/>
  <c r="G14" i="1" l="1"/>
  <c r="E31" i="1"/>
  <c r="E3" i="1" s="1"/>
  <c r="I3" i="1" s="1"/>
  <c r="D28" i="1"/>
  <c r="G31" i="1" l="1"/>
  <c r="G3" i="1" s="1"/>
  <c r="E7" i="4"/>
  <c r="E8" i="4"/>
  <c r="E9" i="4"/>
  <c r="E10" i="4"/>
  <c r="E11" i="4"/>
  <c r="E12" i="4"/>
  <c r="E13" i="4"/>
  <c r="E14" i="4"/>
  <c r="E6" i="4"/>
  <c r="E15" i="4" l="1"/>
  <c r="C6" i="3"/>
  <c r="F55" i="1"/>
  <c r="G55" i="1"/>
  <c r="C12" i="3" l="1"/>
  <c r="C11" i="3"/>
  <c r="E56" i="1"/>
  <c r="E58" i="1"/>
  <c r="E55" i="1" l="1"/>
  <c r="D7" i="1" l="1"/>
</calcChain>
</file>

<file path=xl/sharedStrings.xml><?xml version="1.0" encoding="utf-8"?>
<sst xmlns="http://schemas.openxmlformats.org/spreadsheetml/2006/main" count="277" uniqueCount="195">
  <si>
    <t>ხელშეკრულების ნომერი</t>
  </si>
  <si>
    <t>მიმწოდებელი</t>
  </si>
  <si>
    <t>ღირებულება</t>
  </si>
  <si>
    <t>გაფორმებულია</t>
  </si>
  <si>
    <t>40-lab</t>
  </si>
  <si>
    <t>შპს ოქსჯენი</t>
  </si>
  <si>
    <t>კორონავირუსუს სადეტექციო პრაიმერი</t>
  </si>
  <si>
    <t>41-lab</t>
  </si>
  <si>
    <t>შპს ირისე</t>
  </si>
  <si>
    <t>ერთეტაპიანი პჯრ ნაკრები</t>
  </si>
  <si>
    <t>42-lab</t>
  </si>
  <si>
    <t>შპს ემ დი ეს</t>
  </si>
  <si>
    <t>45-lab</t>
  </si>
  <si>
    <t>შპს პრიმამედი</t>
  </si>
  <si>
    <t>46-lab</t>
  </si>
  <si>
    <t>შპს ეი ბი ემ</t>
  </si>
  <si>
    <t>კორონავირუსის სადეტექციო რეაგენტების ნაკრები</t>
  </si>
  <si>
    <t>48-lab</t>
  </si>
  <si>
    <t>შპს ალფალაბი</t>
  </si>
  <si>
    <t>ნაცხის ასაღები აპლიკატორი</t>
  </si>
  <si>
    <t>52-lab</t>
  </si>
  <si>
    <t>შპს made to make</t>
  </si>
  <si>
    <t>სათვალეები დახურული</t>
  </si>
  <si>
    <t>56-lab</t>
  </si>
  <si>
    <t>ერ თი ემ</t>
  </si>
  <si>
    <t>57-lab</t>
  </si>
  <si>
    <t>მედინიუსი</t>
  </si>
  <si>
    <t>ხალათი, ჩაჩი, ბახილი</t>
  </si>
  <si>
    <t>58-lab</t>
  </si>
  <si>
    <t>უნიმედი</t>
  </si>
  <si>
    <t>სახის დამცავი ფარი</t>
  </si>
  <si>
    <t>59-lab</t>
  </si>
  <si>
    <t>ინოვაციური სამკერვალო საწარმო</t>
  </si>
  <si>
    <t>61-lab</t>
  </si>
  <si>
    <t>ლატეკი</t>
  </si>
  <si>
    <t>კრიო სინჯარა,ბიოუსაფრთხოების პარკი</t>
  </si>
  <si>
    <t>62-lab</t>
  </si>
  <si>
    <t>ბიოლენდი</t>
  </si>
  <si>
    <t>63-lab</t>
  </si>
  <si>
    <t>სინჯარა, პიპეტის წვერი</t>
  </si>
  <si>
    <t>65-lab</t>
  </si>
  <si>
    <t>ერმედ ჯორჯია</t>
  </si>
  <si>
    <t>70-lab</t>
  </si>
  <si>
    <t>კრიოსინჯარა</t>
  </si>
  <si>
    <t>71-lab</t>
  </si>
  <si>
    <t>სახარჯი მასალა</t>
  </si>
  <si>
    <t>72-lab</t>
  </si>
  <si>
    <t>თავისუფალი მიკროცსინჯარა</t>
  </si>
  <si>
    <t>73-lab</t>
  </si>
  <si>
    <t>სითხეგაუმტარი ხალათი</t>
  </si>
  <si>
    <t>74-lab</t>
  </si>
  <si>
    <t>75-lab</t>
  </si>
  <si>
    <t>ირისე</t>
  </si>
  <si>
    <t>ახალი კორონავირუსული დაავადების COVID 19-ის მართვა</t>
  </si>
  <si>
    <t>რაოდენობა</t>
  </si>
  <si>
    <t>PCR ტესტ ნაკრები</t>
  </si>
  <si>
    <t>SARS-Cov-2 lgM/igG A test (სწრაფი მარტივი ტესტი ანტისხეული)</t>
  </si>
  <si>
    <t>ერთჯერადი სამშრიანი ნიღაბი</t>
  </si>
  <si>
    <t>1700 / 18000 / 24000</t>
  </si>
  <si>
    <t xml:space="preserve">ლაბორატორიული დახურული სათვალეები </t>
  </si>
  <si>
    <t>ვირუსული რნმ-ის მინი ნაკრები / QIAGEN ექსტრაქცია</t>
  </si>
  <si>
    <t>თერმოციკლერი, რეალურ დროში პჯრ სისტემა სამეცნიერო კვლევებისათვის BioRad</t>
  </si>
  <si>
    <t xml:space="preserve">თერმოციკლერი, რეალურ დროში პჯრ სისტემა სამეცნიერო კვლევებისათვის Applied Biosystems™ </t>
  </si>
  <si>
    <t>PCR - ტესტები ღია სისტემა - ROCHE</t>
  </si>
  <si>
    <t>აპარატურა cobas® 6800/8800 Systems - ROCHE</t>
  </si>
  <si>
    <t>PCR - ტესტები cobas® 6800/8800 Systems - ROCHE</t>
  </si>
  <si>
    <t>შპს მირკო</t>
  </si>
  <si>
    <t>BioRad აპარატურა (ქუთაისი/ბათუმი)</t>
  </si>
  <si>
    <t>შპს ემ-დი-ეს</t>
  </si>
  <si>
    <t>შპს ოლსაიდსი</t>
  </si>
  <si>
    <t>80-lab</t>
  </si>
  <si>
    <t xml:space="preserve">ახალი კორონავირუსული დაავადების COVID 19-ის მართვა </t>
  </si>
  <si>
    <t>პროგრამის ბიუჯეტი</t>
  </si>
  <si>
    <t>მათ შორის შტატგარეშე</t>
  </si>
  <si>
    <t>გაფორმებული ხელშეკრულებების ჯამი</t>
  </si>
  <si>
    <t>დამატებითი შესყიდვები</t>
  </si>
  <si>
    <t>PPE</t>
  </si>
  <si>
    <t>მათ შორის:</t>
  </si>
  <si>
    <t>დამატებით საჭიროება</t>
  </si>
  <si>
    <t>PCR ტესტ ნაკრები (100 000 * $ 25)</t>
  </si>
  <si>
    <t>BioRad - 2 აპარატურა</t>
  </si>
  <si>
    <t>ROCHE - PCR - ტესტები ღია სისტემა - 14 000</t>
  </si>
  <si>
    <t xml:space="preserve">ROCHE - აპარატურა cobas® 6800/8800 Systems </t>
  </si>
  <si>
    <t>ROCHE - PCR - ტესტები cobas® 6800/8800 Systems  
50 000  ტესტი</t>
  </si>
  <si>
    <t>გაფორმების პროცესში არსებული ხელშეკრულებები</t>
  </si>
  <si>
    <t>გადარიცხვა</t>
  </si>
  <si>
    <t>ასანაზრაურებელი</t>
  </si>
  <si>
    <t>რესპირატორი №95</t>
  </si>
  <si>
    <t>ჩაჩი</t>
  </si>
  <si>
    <t>ბახილი</t>
  </si>
  <si>
    <t>კომბინიზონი</t>
  </si>
  <si>
    <t>ნიღაბი სამფენიანი</t>
  </si>
  <si>
    <t>ბნაცხის ასაღები ჩხირი</t>
  </si>
  <si>
    <t>კრიო სინჯარა</t>
  </si>
  <si>
    <t xml:space="preserve">                 </t>
  </si>
  <si>
    <t>ბიოუსაფრთხოების პარკი</t>
  </si>
  <si>
    <t>დასახელება</t>
  </si>
  <si>
    <t>ერთ ფასი</t>
  </si>
  <si>
    <t xml:space="preserve">სულ </t>
  </si>
  <si>
    <t>რესპირატორი -15000 ცალი</t>
  </si>
  <si>
    <t>სეროლოგიური ტესტ ნაკრები (20*96)</t>
  </si>
  <si>
    <t>რეაგენტები</t>
  </si>
  <si>
    <t>სწრაფი მარტივი ტესტი</t>
  </si>
  <si>
    <t>გეა</t>
  </si>
  <si>
    <t>76-lab</t>
  </si>
  <si>
    <t>77-lab</t>
  </si>
  <si>
    <t>78-lab</t>
  </si>
  <si>
    <t>79-lab</t>
  </si>
  <si>
    <t>ბიოუსაფრთხოების პარკი, ბულიონის ფხვნილი</t>
  </si>
  <si>
    <t>ინტერლაბი</t>
  </si>
  <si>
    <t>81- lab</t>
  </si>
  <si>
    <t>82-lab</t>
  </si>
  <si>
    <t>EMD Group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</si>
  <si>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</si>
  <si>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</si>
  <si>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კოდი</t>
  </si>
  <si>
    <t>კონტრაქორი</t>
  </si>
  <si>
    <t>შესყიდვის ობიექტი</t>
  </si>
  <si>
    <t>12-lab</t>
  </si>
  <si>
    <t>სახელმწიფო ბიუჯეტი (აპარატი)</t>
  </si>
  <si>
    <t>პჯრ ნაკრები</t>
  </si>
  <si>
    <t>30.01.2020/06.02.2020</t>
  </si>
  <si>
    <t>13-lab</t>
  </si>
  <si>
    <t>კორონავირუსის სადეტექციო რეაგენტები</t>
  </si>
  <si>
    <t>31.01.2020/05.02.2020</t>
  </si>
  <si>
    <t>14-lab</t>
  </si>
  <si>
    <t>პრაიმერები</t>
  </si>
  <si>
    <t>31.01.2020/02.03.2020</t>
  </si>
  <si>
    <t>15-lab</t>
  </si>
  <si>
    <t>რნმ-ის მინი ნაკრებები</t>
  </si>
  <si>
    <t>22-lab</t>
  </si>
  <si>
    <t>კორონავირუსის სადეტექციო ნაკრები</t>
  </si>
  <si>
    <t>18.02.2020/09.03.2020</t>
  </si>
  <si>
    <t>29-lab</t>
  </si>
  <si>
    <t>ვირუსული რნმ-ის მინი ნაკრები, კორონავირუსის სადეტექციო რეაგენტების ნაკრები</t>
  </si>
  <si>
    <t>02.03.2020/01.04.2020</t>
  </si>
  <si>
    <t>32-lab</t>
  </si>
  <si>
    <t>04.03.2020/17.03.2020</t>
  </si>
  <si>
    <t>39-lab</t>
  </si>
  <si>
    <t>16.03.2020\18.03.2020</t>
  </si>
  <si>
    <t>სულ</t>
  </si>
  <si>
    <t>სევტექსი</t>
  </si>
  <si>
    <t xml:space="preserve">სამშრიანი პირბადე </t>
  </si>
  <si>
    <t>ერთჯერადი ხალათი</t>
  </si>
  <si>
    <t>დოქტორ გუდსი</t>
  </si>
  <si>
    <t>16.03.2020/14.04.2020</t>
  </si>
  <si>
    <t>16.03.2020/09.04.2020</t>
  </si>
  <si>
    <t>16.03.2020/25.03.2020</t>
  </si>
  <si>
    <t>17.03.2020/25.04.2020</t>
  </si>
  <si>
    <t>17.03.2020/26.03.2020</t>
  </si>
  <si>
    <t>20.03.2020/24.03.2020</t>
  </si>
  <si>
    <t>25.03.2020/29.03.2020</t>
  </si>
  <si>
    <t>01.04.2020/10.04.2020</t>
  </si>
  <si>
    <t>01.04.2020/05.04.2020</t>
  </si>
  <si>
    <t>07.04.2020/11.04.2020</t>
  </si>
  <si>
    <t>08.04.2020/17.05.2020</t>
  </si>
  <si>
    <t>08.04.2020/30.04.2020</t>
  </si>
  <si>
    <t>13.04.2020/13.05.2020</t>
  </si>
  <si>
    <t>13.04.2020/17.04.2020</t>
  </si>
  <si>
    <t>14.04.2020/18.04/2020</t>
  </si>
  <si>
    <t>15.04.2020/08.05.2020</t>
  </si>
  <si>
    <t>15.04.2020/07.05.2020</t>
  </si>
  <si>
    <t>16.04.2020/25.05.2020</t>
  </si>
  <si>
    <t>16.04.2020/21.04.2020</t>
  </si>
  <si>
    <t>16.04.2020/05.06.2020</t>
  </si>
  <si>
    <t>16.04.2020/31.07.2020</t>
  </si>
  <si>
    <t>23.04.2020/01.05.2020</t>
  </si>
  <si>
    <t>24.04.2020/30.04.2020</t>
  </si>
  <si>
    <t>83-lab</t>
  </si>
  <si>
    <t>მოწოდების ვადა</t>
  </si>
  <si>
    <t>85-lab</t>
  </si>
  <si>
    <t>კონბინიზონი</t>
  </si>
  <si>
    <t>ჯანი</t>
  </si>
  <si>
    <t>86-lab</t>
  </si>
  <si>
    <t>88-lab</t>
  </si>
  <si>
    <t>7.05.2020/27.05.2020</t>
  </si>
  <si>
    <t>96-lab</t>
  </si>
  <si>
    <t>95-lab</t>
  </si>
  <si>
    <t>კრიოსინჯარა  (120000/50000)</t>
  </si>
  <si>
    <t>PCR ტესტ ნაკრები (10) /რეაგენტები (110)</t>
  </si>
  <si>
    <t>რეაქტივები(100)/სინჯარები (120)</t>
  </si>
  <si>
    <t>კორ სადეტექციო ნაკრები (40)/რეაგენტების ნაკრები (40)</t>
  </si>
  <si>
    <t>კონტროლი</t>
  </si>
  <si>
    <t>სავარაუდო</t>
  </si>
  <si>
    <t>100-lab</t>
  </si>
  <si>
    <t>გრინლაბი</t>
  </si>
  <si>
    <t>სადიაგნოსტიკო პლანშეტი</t>
  </si>
  <si>
    <t>103-lab</t>
  </si>
  <si>
    <t>20.05.2020/04.07.2020</t>
  </si>
  <si>
    <t>20.05.2020/31.05.2020</t>
  </si>
  <si>
    <t>22.05.2020/11.05.2020</t>
  </si>
  <si>
    <t>ოლდსაიდი</t>
  </si>
  <si>
    <t xml:space="preserve">სახარჯი მასალა (ბიო უსაფრ, პარკ. კრიო ყუთა </t>
  </si>
  <si>
    <t>29.05.2020/20.06.2020</t>
  </si>
  <si>
    <t>სახარჯი მასალა / რეაგენტი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</si>
</sst>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2"/>
      <name val="Sylfaen"/>
      <family val="1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6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7" xfId="1" applyNumberFormat="1" applyFont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right" vertical="center" wrapText="1"/>
    </xf>
    <xf numFmtId="164" fontId="0" fillId="0" borderId="0" xfId="1" applyNumberFormat="1" applyFont="1"/>
    <xf numFmtId="164" fontId="4" fillId="2" borderId="5" xfId="1" applyNumberFormat="1" applyFont="1" applyFill="1" applyBorder="1" applyAlignment="1">
      <alignment vertical="center"/>
    </xf>
    <xf numFmtId="164" fontId="0" fillId="0" borderId="0" xfId="0" applyNumberFormat="1"/>
    <xf numFmtId="164" fontId="4" fillId="2" borderId="10" xfId="1" applyNumberFormat="1" applyFont="1" applyFill="1" applyBorder="1" applyAlignment="1">
      <alignment vertical="center"/>
    </xf>
    <xf numFmtId="43" fontId="0" fillId="0" borderId="0" xfId="0" applyNumberFormat="1"/>
    <xf numFmtId="165" fontId="0" fillId="0" borderId="0" xfId="0" applyNumberFormat="1"/>
    <xf numFmtId="0" fontId="6" fillId="0" borderId="0" xfId="0" applyFont="1" applyAlignment="1">
      <alignment horizontal="center"/>
    </xf>
    <xf numFmtId="0" fontId="2" fillId="3" borderId="0" xfId="0" applyFont="1" applyFill="1"/>
    <xf numFmtId="164" fontId="2" fillId="3" borderId="0" xfId="1" applyNumberFormat="1" applyFont="1" applyFill="1"/>
    <xf numFmtId="0" fontId="2" fillId="3" borderId="0" xfId="0" applyFont="1" applyFill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/>
    <xf numFmtId="0" fontId="4" fillId="4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164" fontId="4" fillId="0" borderId="12" xfId="1" applyNumberFormat="1" applyFont="1" applyFill="1" applyBorder="1" applyAlignment="1">
      <alignment horizontal="left" vertical="center" wrapText="1"/>
    </xf>
    <xf numFmtId="164" fontId="4" fillId="0" borderId="10" xfId="1" applyNumberFormat="1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4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8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0" fillId="4" borderId="1" xfId="0" applyFill="1" applyBorder="1"/>
    <xf numFmtId="0" fontId="3" fillId="0" borderId="4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0" xfId="0" applyAlignment="1"/>
    <xf numFmtId="0" fontId="4" fillId="0" borderId="12" xfId="0" applyFont="1" applyBorder="1" applyAlignment="1">
      <alignment vertical="center"/>
    </xf>
    <xf numFmtId="0" fontId="3" fillId="0" borderId="10" xfId="0" applyFont="1" applyFill="1" applyBorder="1" applyAlignment="1">
      <alignment horizontal="center" vertical="center" wrapText="1"/>
    </xf>
    <xf numFmtId="164" fontId="4" fillId="4" borderId="12" xfId="1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tabSelected="1" view="pageBreakPreview" zoomScaleNormal="100" zoomScaleSheetLayoutView="100" workbookViewId="0">
      <pane xSplit="2" ySplit="3" topLeftCell="C18" activePane="bottomRight" state="frozen"/>
      <selection pane="topRight" activeCell="C1" sqref="C1"/>
      <selection pane="bottomLeft" activeCell="A4" sqref="A4"/>
      <selection pane="bottomRight" activeCell="B4" sqref="B4:B46"/>
    </sheetView>
  </sheetViews>
  <sheetFormatPr defaultRowHeight="15" x14ac:dyDescent="0.25"/>
  <cols>
    <col min="1" max="1" width="21.7109375" customWidth="1"/>
    <col min="2" max="2" width="23.5703125" bestFit="1" customWidth="1"/>
    <col min="3" max="3" width="51.140625" customWidth="1"/>
    <col min="4" max="4" width="18.5703125" bestFit="1" customWidth="1"/>
    <col min="5" max="5" width="18.7109375" bestFit="1" customWidth="1"/>
    <col min="6" max="6" width="15.28515625" customWidth="1"/>
    <col min="7" max="7" width="13.5703125" customWidth="1"/>
    <col min="8" max="8" width="22.85546875" customWidth="1"/>
    <col min="9" max="9" width="11.5703125" bestFit="1" customWidth="1"/>
  </cols>
  <sheetData>
    <row r="1" spans="1:9" ht="35.25" customHeight="1" x14ac:dyDescent="0.25">
      <c r="A1" s="63" t="s">
        <v>53</v>
      </c>
      <c r="B1" s="64"/>
      <c r="C1" s="64"/>
      <c r="D1" s="64"/>
      <c r="E1" s="64"/>
      <c r="H1" s="50"/>
    </row>
    <row r="2" spans="1:9" ht="30" x14ac:dyDescent="0.25">
      <c r="A2" s="1" t="s">
        <v>0</v>
      </c>
      <c r="B2" s="1" t="s">
        <v>1</v>
      </c>
      <c r="C2" s="1"/>
      <c r="D2" s="1" t="s">
        <v>54</v>
      </c>
      <c r="E2" s="1" t="s">
        <v>2</v>
      </c>
      <c r="F2" s="1" t="s">
        <v>85</v>
      </c>
      <c r="G2" s="1" t="s">
        <v>86</v>
      </c>
      <c r="H2" s="33" t="s">
        <v>169</v>
      </c>
      <c r="I2" s="52" t="s">
        <v>182</v>
      </c>
    </row>
    <row r="3" spans="1:9" x14ac:dyDescent="0.25">
      <c r="A3" s="60" t="s">
        <v>3</v>
      </c>
      <c r="B3" s="61"/>
      <c r="C3" s="62"/>
      <c r="D3" s="5"/>
      <c r="E3" s="2">
        <f>SUM(E4:E51)</f>
        <v>10187495.4</v>
      </c>
      <c r="F3" s="34">
        <f>SUM(F4:F51)</f>
        <v>2153970</v>
      </c>
      <c r="G3" s="34">
        <f t="shared" ref="G3" si="0">SUM(G4:G51)</f>
        <v>8033525.4000000004</v>
      </c>
      <c r="H3" s="33"/>
      <c r="I3" s="15">
        <f>12000000-E3-E52</f>
        <v>1570304.5999999996</v>
      </c>
    </row>
    <row r="4" spans="1:9" ht="21.75" customHeight="1" x14ac:dyDescent="0.25">
      <c r="A4" s="3" t="s">
        <v>4</v>
      </c>
      <c r="B4" s="6" t="s">
        <v>5</v>
      </c>
      <c r="C4" s="6" t="s">
        <v>6</v>
      </c>
      <c r="D4" s="9">
        <v>20000</v>
      </c>
      <c r="E4" s="30">
        <v>34358</v>
      </c>
      <c r="F4" s="53">
        <f>20406+7600</f>
        <v>28006</v>
      </c>
      <c r="G4" s="30">
        <f>E4-F4</f>
        <v>6352</v>
      </c>
      <c r="H4" s="49" t="s">
        <v>145</v>
      </c>
    </row>
    <row r="5" spans="1:9" x14ac:dyDescent="0.25">
      <c r="A5" s="3" t="s">
        <v>7</v>
      </c>
      <c r="B5" s="4" t="s">
        <v>8</v>
      </c>
      <c r="C5" s="4" t="s">
        <v>9</v>
      </c>
      <c r="D5" s="10"/>
      <c r="E5" s="30">
        <v>55500</v>
      </c>
      <c r="F5" s="53">
        <v>55500</v>
      </c>
      <c r="G5" s="30">
        <f t="shared" ref="G5:G50" si="1">E5-F5</f>
        <v>0</v>
      </c>
      <c r="H5" s="49" t="s">
        <v>146</v>
      </c>
    </row>
    <row r="6" spans="1:9" ht="30" x14ac:dyDescent="0.25">
      <c r="A6" s="3" t="s">
        <v>10</v>
      </c>
      <c r="B6" s="4" t="s">
        <v>11</v>
      </c>
      <c r="C6" s="4" t="s">
        <v>61</v>
      </c>
      <c r="D6" s="10">
        <v>1</v>
      </c>
      <c r="E6" s="30">
        <v>69472</v>
      </c>
      <c r="F6" s="53">
        <v>69472</v>
      </c>
      <c r="G6" s="30">
        <f t="shared" si="1"/>
        <v>0</v>
      </c>
      <c r="H6" s="49" t="s">
        <v>147</v>
      </c>
    </row>
    <row r="7" spans="1:9" x14ac:dyDescent="0.25">
      <c r="A7" s="3" t="s">
        <v>12</v>
      </c>
      <c r="B7" s="4" t="s">
        <v>13</v>
      </c>
      <c r="C7" s="4" t="s">
        <v>60</v>
      </c>
      <c r="D7" s="10">
        <f>80*250</f>
        <v>20000</v>
      </c>
      <c r="E7" s="30">
        <v>362350</v>
      </c>
      <c r="F7" s="53">
        <f>33280+195950</f>
        <v>229230</v>
      </c>
      <c r="G7" s="30">
        <f t="shared" si="1"/>
        <v>133120</v>
      </c>
      <c r="H7" t="s">
        <v>148</v>
      </c>
    </row>
    <row r="8" spans="1:9" x14ac:dyDescent="0.25">
      <c r="A8" s="3" t="s">
        <v>14</v>
      </c>
      <c r="B8" s="4" t="s">
        <v>15</v>
      </c>
      <c r="C8" s="4" t="s">
        <v>16</v>
      </c>
      <c r="D8" s="10">
        <v>20000</v>
      </c>
      <c r="E8" s="30">
        <v>218080</v>
      </c>
      <c r="F8" s="53">
        <v>218080</v>
      </c>
      <c r="G8" s="30">
        <f t="shared" si="1"/>
        <v>0</v>
      </c>
      <c r="H8" t="s">
        <v>149</v>
      </c>
    </row>
    <row r="9" spans="1:9" x14ac:dyDescent="0.25">
      <c r="A9" s="3" t="s">
        <v>17</v>
      </c>
      <c r="B9" s="4" t="s">
        <v>18</v>
      </c>
      <c r="C9" s="4" t="s">
        <v>19</v>
      </c>
      <c r="D9" s="10">
        <v>1500</v>
      </c>
      <c r="E9" s="30">
        <v>825</v>
      </c>
      <c r="F9" s="53">
        <v>825</v>
      </c>
      <c r="G9" s="30">
        <f t="shared" si="1"/>
        <v>0</v>
      </c>
      <c r="H9" t="s">
        <v>150</v>
      </c>
    </row>
    <row r="10" spans="1:9" x14ac:dyDescent="0.25">
      <c r="A10" s="3" t="s">
        <v>20</v>
      </c>
      <c r="B10" s="4" t="s">
        <v>21</v>
      </c>
      <c r="C10" s="4" t="s">
        <v>59</v>
      </c>
      <c r="D10" s="10">
        <v>400</v>
      </c>
      <c r="E10" s="30">
        <v>9600</v>
      </c>
      <c r="F10" s="53">
        <v>9600</v>
      </c>
      <c r="G10" s="30">
        <f t="shared" si="1"/>
        <v>0</v>
      </c>
      <c r="H10" t="s">
        <v>151</v>
      </c>
    </row>
    <row r="11" spans="1:9" x14ac:dyDescent="0.25">
      <c r="A11" s="3" t="s">
        <v>23</v>
      </c>
      <c r="B11" s="4" t="s">
        <v>24</v>
      </c>
      <c r="C11" s="4" t="s">
        <v>22</v>
      </c>
      <c r="D11" s="10">
        <v>2000</v>
      </c>
      <c r="E11" s="30">
        <v>28000</v>
      </c>
      <c r="F11" s="53">
        <v>28000</v>
      </c>
      <c r="G11" s="30">
        <f t="shared" si="1"/>
        <v>0</v>
      </c>
      <c r="H11" t="s">
        <v>152</v>
      </c>
    </row>
    <row r="12" spans="1:9" x14ac:dyDescent="0.25">
      <c r="A12" s="3" t="s">
        <v>25</v>
      </c>
      <c r="B12" s="4" t="s">
        <v>26</v>
      </c>
      <c r="C12" s="4" t="s">
        <v>27</v>
      </c>
      <c r="D12" s="12" t="s">
        <v>58</v>
      </c>
      <c r="E12" s="30">
        <v>10560</v>
      </c>
      <c r="F12" s="53">
        <v>10560</v>
      </c>
      <c r="G12" s="30">
        <f t="shared" si="1"/>
        <v>0</v>
      </c>
      <c r="H12" t="s">
        <v>153</v>
      </c>
    </row>
    <row r="13" spans="1:9" x14ac:dyDescent="0.25">
      <c r="A13" s="3" t="s">
        <v>28</v>
      </c>
      <c r="B13" s="4" t="s">
        <v>29</v>
      </c>
      <c r="C13" s="4" t="s">
        <v>30</v>
      </c>
      <c r="D13" s="10">
        <v>5000</v>
      </c>
      <c r="E13" s="30">
        <v>22500</v>
      </c>
      <c r="F13" s="53">
        <v>22500</v>
      </c>
      <c r="G13" s="30">
        <f t="shared" si="1"/>
        <v>0</v>
      </c>
      <c r="H13" t="s">
        <v>153</v>
      </c>
    </row>
    <row r="14" spans="1:9" ht="30" x14ac:dyDescent="0.25">
      <c r="A14" s="3" t="s">
        <v>31</v>
      </c>
      <c r="B14" s="4" t="s">
        <v>32</v>
      </c>
      <c r="C14" s="4" t="s">
        <v>57</v>
      </c>
      <c r="D14" s="10">
        <v>10000</v>
      </c>
      <c r="E14" s="30">
        <v>8500</v>
      </c>
      <c r="F14" s="53">
        <f>3400+1700+3400</f>
        <v>8500</v>
      </c>
      <c r="G14" s="30">
        <f t="shared" si="1"/>
        <v>0</v>
      </c>
    </row>
    <row r="15" spans="1:9" x14ac:dyDescent="0.25">
      <c r="A15" s="3" t="s">
        <v>33</v>
      </c>
      <c r="B15" s="7" t="s">
        <v>34</v>
      </c>
      <c r="C15" s="4" t="s">
        <v>35</v>
      </c>
      <c r="D15" s="10"/>
      <c r="E15" s="30">
        <v>13905</v>
      </c>
      <c r="F15" s="53">
        <v>13905</v>
      </c>
      <c r="G15" s="30">
        <f t="shared" si="1"/>
        <v>0</v>
      </c>
      <c r="H15" t="s">
        <v>154</v>
      </c>
    </row>
    <row r="16" spans="1:9" x14ac:dyDescent="0.25">
      <c r="A16" s="3" t="s">
        <v>36</v>
      </c>
      <c r="B16" s="7" t="s">
        <v>37</v>
      </c>
      <c r="C16" s="4" t="s">
        <v>19</v>
      </c>
      <c r="D16" s="10">
        <v>2460</v>
      </c>
      <c r="E16" s="30">
        <v>467.4</v>
      </c>
      <c r="F16" s="53">
        <v>467</v>
      </c>
      <c r="G16" s="30">
        <f t="shared" si="1"/>
        <v>0.39999999999997726</v>
      </c>
      <c r="H16" t="s">
        <v>154</v>
      </c>
    </row>
    <row r="17" spans="1:8" x14ac:dyDescent="0.25">
      <c r="A17" s="3" t="s">
        <v>38</v>
      </c>
      <c r="B17" s="7" t="s">
        <v>5</v>
      </c>
      <c r="C17" s="4" t="s">
        <v>39</v>
      </c>
      <c r="D17" s="10"/>
      <c r="E17" s="30">
        <v>30010</v>
      </c>
      <c r="F17" s="53">
        <f>10570+14040</f>
        <v>24610</v>
      </c>
      <c r="G17" s="30">
        <f t="shared" si="1"/>
        <v>5400</v>
      </c>
      <c r="H17" t="s">
        <v>155</v>
      </c>
    </row>
    <row r="18" spans="1:8" ht="30" x14ac:dyDescent="0.25">
      <c r="A18" s="3" t="s">
        <v>40</v>
      </c>
      <c r="B18" s="7" t="s">
        <v>41</v>
      </c>
      <c r="C18" s="4" t="s">
        <v>56</v>
      </c>
      <c r="D18" s="10">
        <v>4500</v>
      </c>
      <c r="E18" s="30">
        <v>85590</v>
      </c>
      <c r="F18" s="30"/>
      <c r="G18" s="30">
        <f t="shared" si="1"/>
        <v>85590</v>
      </c>
      <c r="H18" t="s">
        <v>156</v>
      </c>
    </row>
    <row r="19" spans="1:8" x14ac:dyDescent="0.25">
      <c r="A19" s="3" t="s">
        <v>42</v>
      </c>
      <c r="B19" s="7" t="s">
        <v>34</v>
      </c>
      <c r="C19" s="4" t="s">
        <v>43</v>
      </c>
      <c r="D19" s="10">
        <v>63500</v>
      </c>
      <c r="E19" s="30">
        <v>28575</v>
      </c>
      <c r="F19" s="30"/>
      <c r="G19" s="30">
        <f t="shared" si="1"/>
        <v>28575</v>
      </c>
      <c r="H19" t="s">
        <v>157</v>
      </c>
    </row>
    <row r="20" spans="1:8" x14ac:dyDescent="0.25">
      <c r="A20" s="3" t="s">
        <v>44</v>
      </c>
      <c r="B20" s="7" t="s">
        <v>5</v>
      </c>
      <c r="C20" s="4" t="s">
        <v>45</v>
      </c>
      <c r="D20" s="10"/>
      <c r="E20" s="30">
        <v>24318</v>
      </c>
      <c r="F20" s="30">
        <v>24318</v>
      </c>
      <c r="G20" s="30">
        <f t="shared" si="1"/>
        <v>0</v>
      </c>
      <c r="H20" t="s">
        <v>157</v>
      </c>
    </row>
    <row r="21" spans="1:8" x14ac:dyDescent="0.25">
      <c r="A21" s="3" t="s">
        <v>46</v>
      </c>
      <c r="B21" s="4" t="s">
        <v>18</v>
      </c>
      <c r="C21" s="8" t="s">
        <v>47</v>
      </c>
      <c r="D21" s="11">
        <v>4500</v>
      </c>
      <c r="E21" s="30">
        <v>810</v>
      </c>
      <c r="F21" s="53">
        <v>810</v>
      </c>
      <c r="G21" s="30">
        <f t="shared" si="1"/>
        <v>0</v>
      </c>
      <c r="H21" t="s">
        <v>158</v>
      </c>
    </row>
    <row r="22" spans="1:8" x14ac:dyDescent="0.25">
      <c r="A22" s="3" t="s">
        <v>48</v>
      </c>
      <c r="B22" s="4" t="s">
        <v>24</v>
      </c>
      <c r="C22" s="4" t="s">
        <v>49</v>
      </c>
      <c r="D22" s="10">
        <v>1000</v>
      </c>
      <c r="E22" s="30">
        <v>7000</v>
      </c>
      <c r="F22" s="53">
        <v>7000</v>
      </c>
      <c r="G22" s="30">
        <f t="shared" si="1"/>
        <v>0</v>
      </c>
      <c r="H22" t="s">
        <v>159</v>
      </c>
    </row>
    <row r="23" spans="1:8" ht="30" x14ac:dyDescent="0.25">
      <c r="A23" s="3" t="s">
        <v>50</v>
      </c>
      <c r="B23" s="4" t="s">
        <v>15</v>
      </c>
      <c r="C23" s="4" t="s">
        <v>62</v>
      </c>
      <c r="D23" s="10">
        <v>1</v>
      </c>
      <c r="E23" s="30">
        <v>80070</v>
      </c>
      <c r="F23" s="53">
        <v>80070</v>
      </c>
      <c r="G23" s="30">
        <f t="shared" si="1"/>
        <v>0</v>
      </c>
      <c r="H23" t="s">
        <v>160</v>
      </c>
    </row>
    <row r="24" spans="1:8" x14ac:dyDescent="0.25">
      <c r="A24" s="55" t="s">
        <v>51</v>
      </c>
      <c r="B24" s="4" t="s">
        <v>52</v>
      </c>
      <c r="C24" s="4" t="s">
        <v>55</v>
      </c>
      <c r="D24" s="10">
        <v>20000</v>
      </c>
      <c r="E24" s="30">
        <v>600000</v>
      </c>
      <c r="F24" s="53">
        <v>560000</v>
      </c>
      <c r="G24" s="30">
        <f t="shared" si="1"/>
        <v>40000</v>
      </c>
      <c r="H24" t="s">
        <v>161</v>
      </c>
    </row>
    <row r="25" spans="1:8" x14ac:dyDescent="0.25">
      <c r="A25" s="55" t="s">
        <v>104</v>
      </c>
      <c r="B25" s="3" t="s">
        <v>18</v>
      </c>
      <c r="C25" s="4" t="s">
        <v>108</v>
      </c>
      <c r="D25" s="31"/>
      <c r="E25" s="30">
        <v>18120</v>
      </c>
      <c r="F25" s="53">
        <f>4800+8500+2520</f>
        <v>15820</v>
      </c>
      <c r="G25" s="30">
        <f t="shared" si="1"/>
        <v>2300</v>
      </c>
      <c r="H25" t="s">
        <v>162</v>
      </c>
    </row>
    <row r="26" spans="1:8" x14ac:dyDescent="0.25">
      <c r="A26" s="55" t="s">
        <v>105</v>
      </c>
      <c r="B26" s="3" t="s">
        <v>37</v>
      </c>
      <c r="C26" s="3" t="s">
        <v>19</v>
      </c>
      <c r="D26" s="3">
        <v>4000</v>
      </c>
      <c r="E26" s="30">
        <v>760</v>
      </c>
      <c r="F26" s="53">
        <v>760</v>
      </c>
      <c r="G26" s="30">
        <f t="shared" si="1"/>
        <v>0</v>
      </c>
      <c r="H26" t="s">
        <v>163</v>
      </c>
    </row>
    <row r="27" spans="1:8" x14ac:dyDescent="0.25">
      <c r="A27" s="55" t="s">
        <v>106</v>
      </c>
      <c r="B27" s="3" t="s">
        <v>34</v>
      </c>
      <c r="C27" s="3" t="s">
        <v>19</v>
      </c>
      <c r="D27" s="3">
        <v>12700</v>
      </c>
      <c r="E27" s="30">
        <v>4445</v>
      </c>
      <c r="F27" s="53">
        <v>4445</v>
      </c>
      <c r="G27" s="30">
        <f t="shared" si="1"/>
        <v>0</v>
      </c>
      <c r="H27" t="s">
        <v>163</v>
      </c>
    </row>
    <row r="28" spans="1:8" x14ac:dyDescent="0.25">
      <c r="A28" s="55" t="s">
        <v>107</v>
      </c>
      <c r="B28" s="3" t="s">
        <v>109</v>
      </c>
      <c r="C28" s="3" t="s">
        <v>19</v>
      </c>
      <c r="D28" s="3">
        <f>700+724+600</f>
        <v>2024</v>
      </c>
      <c r="E28" s="30">
        <v>477</v>
      </c>
      <c r="F28" s="53">
        <v>477</v>
      </c>
      <c r="G28" s="30">
        <f t="shared" si="1"/>
        <v>0</v>
      </c>
      <c r="H28" t="s">
        <v>163</v>
      </c>
    </row>
    <row r="29" spans="1:8" x14ac:dyDescent="0.25">
      <c r="A29" s="55" t="s">
        <v>70</v>
      </c>
      <c r="B29" s="3" t="s">
        <v>69</v>
      </c>
      <c r="C29" s="3" t="s">
        <v>19</v>
      </c>
      <c r="D29" s="3">
        <v>50000</v>
      </c>
      <c r="E29" s="30">
        <v>8500</v>
      </c>
      <c r="F29" s="30"/>
      <c r="G29" s="30">
        <f t="shared" si="1"/>
        <v>8500</v>
      </c>
      <c r="H29" t="s">
        <v>164</v>
      </c>
    </row>
    <row r="30" spans="1:8" x14ac:dyDescent="0.25">
      <c r="A30" s="55" t="s">
        <v>110</v>
      </c>
      <c r="B30" s="3" t="s">
        <v>112</v>
      </c>
      <c r="C30" s="3" t="s">
        <v>45</v>
      </c>
      <c r="D30" s="3"/>
      <c r="E30" s="30">
        <v>111428</v>
      </c>
      <c r="F30" s="53">
        <f>11203+81542</f>
        <v>92745</v>
      </c>
      <c r="G30" s="30">
        <f t="shared" si="1"/>
        <v>18683</v>
      </c>
      <c r="H30" t="s">
        <v>165</v>
      </c>
    </row>
    <row r="31" spans="1:8" x14ac:dyDescent="0.25">
      <c r="A31" s="55" t="s">
        <v>111</v>
      </c>
      <c r="B31" s="3" t="s">
        <v>103</v>
      </c>
      <c r="C31" s="3" t="s">
        <v>99</v>
      </c>
      <c r="D31" s="3">
        <v>15000</v>
      </c>
      <c r="E31" s="30">
        <f>D31*6.5</f>
        <v>97500</v>
      </c>
      <c r="F31" s="53">
        <v>97500</v>
      </c>
      <c r="G31" s="30">
        <f t="shared" si="1"/>
        <v>0</v>
      </c>
      <c r="H31" t="s">
        <v>166</v>
      </c>
    </row>
    <row r="32" spans="1:8" x14ac:dyDescent="0.25">
      <c r="A32" s="55" t="s">
        <v>168</v>
      </c>
      <c r="B32" s="3" t="s">
        <v>141</v>
      </c>
      <c r="C32" s="3" t="s">
        <v>142</v>
      </c>
      <c r="D32" s="3">
        <f>E32/0.6</f>
        <v>20000</v>
      </c>
      <c r="E32" s="30">
        <v>12000</v>
      </c>
      <c r="F32" s="53">
        <f>9600+2400</f>
        <v>12000</v>
      </c>
      <c r="G32" s="30">
        <f t="shared" si="1"/>
        <v>0</v>
      </c>
      <c r="H32" t="s">
        <v>167</v>
      </c>
    </row>
    <row r="33" spans="1:9" x14ac:dyDescent="0.25">
      <c r="A33" s="55" t="s">
        <v>170</v>
      </c>
      <c r="B33" s="3" t="s">
        <v>18</v>
      </c>
      <c r="C33" s="3" t="s">
        <v>19</v>
      </c>
      <c r="D33" s="3">
        <v>200000</v>
      </c>
      <c r="E33" s="30">
        <v>116000</v>
      </c>
      <c r="F33" s="53">
        <v>116000</v>
      </c>
      <c r="G33" s="30">
        <f t="shared" si="1"/>
        <v>0</v>
      </c>
      <c r="H33" t="s">
        <v>175</v>
      </c>
    </row>
    <row r="34" spans="1:9" x14ac:dyDescent="0.25">
      <c r="A34" s="56" t="s">
        <v>173</v>
      </c>
      <c r="B34" s="4" t="s">
        <v>15</v>
      </c>
      <c r="C34" s="51" t="s">
        <v>45</v>
      </c>
      <c r="D34" s="51"/>
      <c r="E34" s="30">
        <v>617994</v>
      </c>
      <c r="F34" s="53">
        <v>14926</v>
      </c>
      <c r="G34" s="30">
        <f t="shared" si="1"/>
        <v>603068</v>
      </c>
      <c r="H34" t="s">
        <v>175</v>
      </c>
    </row>
    <row r="35" spans="1:9" x14ac:dyDescent="0.25">
      <c r="A35" s="57" t="s">
        <v>174</v>
      </c>
      <c r="B35" s="28" t="s">
        <v>172</v>
      </c>
      <c r="C35" s="29" t="s">
        <v>171</v>
      </c>
      <c r="D35" s="30">
        <v>2000</v>
      </c>
      <c r="E35" s="30">
        <v>56000</v>
      </c>
      <c r="F35" s="30"/>
      <c r="G35" s="30">
        <f t="shared" si="1"/>
        <v>56000</v>
      </c>
      <c r="H35" t="s">
        <v>175</v>
      </c>
    </row>
    <row r="36" spans="1:9" x14ac:dyDescent="0.25">
      <c r="A36" s="57" t="s">
        <v>176</v>
      </c>
      <c r="B36" s="3" t="s">
        <v>112</v>
      </c>
      <c r="C36" s="7" t="s">
        <v>101</v>
      </c>
      <c r="D36" s="30"/>
      <c r="E36" s="30">
        <v>30620</v>
      </c>
      <c r="F36" s="30"/>
      <c r="G36" s="30">
        <f t="shared" si="1"/>
        <v>30620</v>
      </c>
    </row>
    <row r="37" spans="1:9" x14ac:dyDescent="0.25">
      <c r="A37" s="57" t="s">
        <v>177</v>
      </c>
      <c r="B37" s="7" t="s">
        <v>52</v>
      </c>
      <c r="C37" s="7" t="s">
        <v>100</v>
      </c>
      <c r="D37" s="30">
        <f>96*10*2</f>
        <v>1920</v>
      </c>
      <c r="E37" s="30">
        <v>64000</v>
      </c>
      <c r="F37" s="30"/>
      <c r="G37" s="30">
        <f t="shared" si="1"/>
        <v>64000</v>
      </c>
    </row>
    <row r="38" spans="1:9" x14ac:dyDescent="0.25">
      <c r="A38" s="57">
        <v>371</v>
      </c>
      <c r="B38" s="3" t="s">
        <v>34</v>
      </c>
      <c r="C38" s="7" t="s">
        <v>178</v>
      </c>
      <c r="D38" s="30"/>
      <c r="E38" s="30">
        <v>100500</v>
      </c>
      <c r="F38" s="30"/>
      <c r="G38" s="30">
        <f t="shared" si="1"/>
        <v>100500</v>
      </c>
    </row>
    <row r="39" spans="1:9" x14ac:dyDescent="0.25">
      <c r="A39" s="57">
        <v>369</v>
      </c>
      <c r="B39" s="4" t="s">
        <v>66</v>
      </c>
      <c r="C39" s="7" t="s">
        <v>179</v>
      </c>
      <c r="D39" s="30"/>
      <c r="E39" s="30">
        <v>120850</v>
      </c>
      <c r="F39" s="30">
        <v>120850</v>
      </c>
      <c r="G39" s="30">
        <f t="shared" si="1"/>
        <v>0</v>
      </c>
      <c r="I39" s="30"/>
    </row>
    <row r="40" spans="1:9" x14ac:dyDescent="0.25">
      <c r="A40" s="57">
        <v>368</v>
      </c>
      <c r="B40" s="4" t="s">
        <v>66</v>
      </c>
      <c r="C40" s="7" t="s">
        <v>55</v>
      </c>
      <c r="D40" s="30">
        <v>210</v>
      </c>
      <c r="E40" s="30">
        <v>186270</v>
      </c>
      <c r="F40" s="30">
        <v>186270</v>
      </c>
      <c r="G40" s="30">
        <f t="shared" si="1"/>
        <v>0</v>
      </c>
    </row>
    <row r="41" spans="1:9" x14ac:dyDescent="0.25">
      <c r="A41" s="57">
        <v>367</v>
      </c>
      <c r="B41" s="3" t="s">
        <v>13</v>
      </c>
      <c r="C41" s="7" t="s">
        <v>180</v>
      </c>
      <c r="D41" s="30"/>
      <c r="E41" s="30">
        <v>510000</v>
      </c>
      <c r="F41" s="30"/>
      <c r="G41" s="30">
        <f t="shared" si="1"/>
        <v>510000</v>
      </c>
    </row>
    <row r="42" spans="1:9" x14ac:dyDescent="0.25">
      <c r="A42" s="57" t="s">
        <v>184</v>
      </c>
      <c r="B42" s="4" t="s">
        <v>15</v>
      </c>
      <c r="C42" s="7" t="s">
        <v>181</v>
      </c>
      <c r="D42" s="30"/>
      <c r="E42" s="30">
        <v>2867200</v>
      </c>
      <c r="F42" s="30"/>
      <c r="G42" s="30">
        <f t="shared" si="1"/>
        <v>2867200</v>
      </c>
    </row>
    <row r="43" spans="1:9" x14ac:dyDescent="0.25">
      <c r="A43" s="57">
        <v>370</v>
      </c>
      <c r="B43" s="4" t="s">
        <v>15</v>
      </c>
      <c r="C43" s="7" t="s">
        <v>181</v>
      </c>
      <c r="D43" s="30"/>
      <c r="E43" s="30">
        <v>2867200</v>
      </c>
      <c r="F43" s="30"/>
      <c r="G43" s="30">
        <f t="shared" si="1"/>
        <v>2867200</v>
      </c>
    </row>
    <row r="44" spans="1:9" x14ac:dyDescent="0.25">
      <c r="A44" s="57">
        <v>373</v>
      </c>
      <c r="B44" s="4" t="s">
        <v>66</v>
      </c>
      <c r="C44" s="54" t="s">
        <v>186</v>
      </c>
      <c r="D44" s="30">
        <v>3</v>
      </c>
      <c r="E44" s="30">
        <v>2286</v>
      </c>
      <c r="F44" s="30">
        <v>1524</v>
      </c>
      <c r="G44" s="30">
        <f t="shared" si="1"/>
        <v>762</v>
      </c>
      <c r="H44" t="s">
        <v>188</v>
      </c>
    </row>
    <row r="45" spans="1:9" x14ac:dyDescent="0.25">
      <c r="A45" s="57">
        <v>374</v>
      </c>
      <c r="B45" s="4" t="s">
        <v>185</v>
      </c>
      <c r="C45" s="54" t="s">
        <v>102</v>
      </c>
      <c r="D45" s="30">
        <v>5000</v>
      </c>
      <c r="E45" s="30">
        <v>99200</v>
      </c>
      <c r="F45" s="30">
        <v>99200</v>
      </c>
      <c r="G45" s="30">
        <f t="shared" si="1"/>
        <v>0</v>
      </c>
      <c r="H45" t="s">
        <v>189</v>
      </c>
    </row>
    <row r="46" spans="1:9" x14ac:dyDescent="0.25">
      <c r="A46" s="27" t="s">
        <v>187</v>
      </c>
      <c r="B46" s="4" t="s">
        <v>13</v>
      </c>
      <c r="C46" s="51" t="s">
        <v>45</v>
      </c>
      <c r="D46" s="30"/>
      <c r="E46" s="30">
        <v>31205</v>
      </c>
      <c r="F46" s="30"/>
      <c r="G46" s="30">
        <f t="shared" si="1"/>
        <v>31205</v>
      </c>
      <c r="H46" t="s">
        <v>190</v>
      </c>
    </row>
    <row r="47" spans="1:9" x14ac:dyDescent="0.25">
      <c r="A47" s="4">
        <v>378</v>
      </c>
      <c r="B47" s="4" t="s">
        <v>18</v>
      </c>
      <c r="C47" s="4" t="s">
        <v>19</v>
      </c>
      <c r="D47" s="30">
        <v>200000</v>
      </c>
      <c r="E47" s="30">
        <v>130000</v>
      </c>
      <c r="F47" s="30"/>
      <c r="G47" s="30">
        <f t="shared" si="1"/>
        <v>130000</v>
      </c>
    </row>
    <row r="48" spans="1:9" x14ac:dyDescent="0.25">
      <c r="A48" s="59"/>
      <c r="B48" s="54" t="s">
        <v>191</v>
      </c>
      <c r="C48" s="29" t="s">
        <v>192</v>
      </c>
      <c r="D48" s="30"/>
      <c r="E48" s="30">
        <v>52293</v>
      </c>
      <c r="F48" s="30"/>
      <c r="G48" s="30">
        <f t="shared" si="1"/>
        <v>52293</v>
      </c>
      <c r="H48" t="s">
        <v>193</v>
      </c>
    </row>
    <row r="49" spans="1:8" x14ac:dyDescent="0.25">
      <c r="A49" s="59"/>
      <c r="B49" s="54" t="s">
        <v>5</v>
      </c>
      <c r="C49" s="29" t="s">
        <v>45</v>
      </c>
      <c r="D49" s="30"/>
      <c r="E49" s="30">
        <v>136177</v>
      </c>
      <c r="F49" s="30"/>
      <c r="G49" s="30">
        <f t="shared" si="1"/>
        <v>136177</v>
      </c>
    </row>
    <row r="50" spans="1:8" x14ac:dyDescent="0.25">
      <c r="A50" s="59"/>
      <c r="B50" s="3" t="s">
        <v>112</v>
      </c>
      <c r="C50" s="29" t="s">
        <v>194</v>
      </c>
      <c r="D50" s="30"/>
      <c r="E50" s="30">
        <v>255980</v>
      </c>
      <c r="F50" s="30"/>
      <c r="G50" s="30">
        <f t="shared" si="1"/>
        <v>255980</v>
      </c>
    </row>
    <row r="51" spans="1:8" x14ac:dyDescent="0.25">
      <c r="A51" s="27"/>
      <c r="B51" s="58"/>
      <c r="C51" s="51"/>
      <c r="D51" s="30"/>
      <c r="E51" s="30"/>
      <c r="F51" s="30"/>
      <c r="G51" s="30"/>
    </row>
    <row r="52" spans="1:8" x14ac:dyDescent="0.25">
      <c r="A52" s="60" t="s">
        <v>183</v>
      </c>
      <c r="B52" s="61"/>
      <c r="C52" s="62"/>
      <c r="D52" s="5"/>
      <c r="E52" s="2">
        <f>SUM(E53:E54)</f>
        <v>242200</v>
      </c>
      <c r="F52" s="34">
        <f>SUM(F53:F54)</f>
        <v>0</v>
      </c>
      <c r="G52" s="34">
        <f>SUM(G53:G54)</f>
        <v>0</v>
      </c>
    </row>
    <row r="53" spans="1:8" x14ac:dyDescent="0.25">
      <c r="A53" s="7"/>
      <c r="B53" s="4" t="s">
        <v>185</v>
      </c>
      <c r="C53" s="7" t="s">
        <v>102</v>
      </c>
      <c r="D53" s="30">
        <v>5000</v>
      </c>
      <c r="E53" s="16">
        <v>97200</v>
      </c>
      <c r="F53" s="32"/>
      <c r="G53" s="32"/>
    </row>
    <row r="54" spans="1:8" x14ac:dyDescent="0.25">
      <c r="A54" s="7"/>
      <c r="B54" s="7" t="s">
        <v>18</v>
      </c>
      <c r="C54" s="7" t="s">
        <v>19</v>
      </c>
      <c r="D54" s="10">
        <v>200000</v>
      </c>
      <c r="E54" s="14">
        <v>145000</v>
      </c>
      <c r="F54" s="18"/>
      <c r="H54" s="17"/>
    </row>
    <row r="55" spans="1:8" x14ac:dyDescent="0.25">
      <c r="A55" s="60" t="s">
        <v>75</v>
      </c>
      <c r="B55" s="61"/>
      <c r="C55" s="62"/>
      <c r="D55" s="5"/>
      <c r="E55" s="2">
        <f>SUM(E56:E61)</f>
        <v>16120514.760638298</v>
      </c>
      <c r="F55" s="2">
        <f t="shared" ref="F55:G55" si="2">SUM(F56:F61)</f>
        <v>0</v>
      </c>
      <c r="G55" s="2">
        <f t="shared" si="2"/>
        <v>0</v>
      </c>
    </row>
    <row r="56" spans="1:8" x14ac:dyDescent="0.25">
      <c r="A56" s="3"/>
      <c r="B56" s="4"/>
      <c r="C56" s="4" t="s">
        <v>55</v>
      </c>
      <c r="D56" s="10">
        <v>100000</v>
      </c>
      <c r="E56" s="14">
        <f>D56*25*3.2</f>
        <v>8000000</v>
      </c>
    </row>
    <row r="57" spans="1:8" x14ac:dyDescent="0.25">
      <c r="A57" s="3"/>
      <c r="B57" s="4"/>
      <c r="C57" s="4" t="s">
        <v>76</v>
      </c>
      <c r="D57" s="10"/>
      <c r="E57" s="14">
        <v>1000000</v>
      </c>
    </row>
    <row r="58" spans="1:8" x14ac:dyDescent="0.25">
      <c r="A58" s="3"/>
      <c r="B58" s="4" t="s">
        <v>68</v>
      </c>
      <c r="C58" s="4" t="s">
        <v>67</v>
      </c>
      <c r="D58" s="10">
        <v>2</v>
      </c>
      <c r="E58" s="14">
        <f>146000</f>
        <v>146000</v>
      </c>
    </row>
    <row r="59" spans="1:8" x14ac:dyDescent="0.25">
      <c r="A59" s="3"/>
      <c r="B59" s="4" t="s">
        <v>66</v>
      </c>
      <c r="C59" s="4" t="s">
        <v>63</v>
      </c>
      <c r="D59" s="10">
        <v>14000</v>
      </c>
      <c r="E59" s="14">
        <v>307120</v>
      </c>
    </row>
    <row r="60" spans="1:8" x14ac:dyDescent="0.25">
      <c r="A60" s="3"/>
      <c r="B60" s="4" t="s">
        <v>66</v>
      </c>
      <c r="C60" s="4" t="s">
        <v>64</v>
      </c>
      <c r="D60" s="10">
        <v>1</v>
      </c>
      <c r="E60" s="14">
        <v>2277000</v>
      </c>
    </row>
    <row r="61" spans="1:8" x14ac:dyDescent="0.25">
      <c r="A61" s="3"/>
      <c r="B61" s="4" t="s">
        <v>66</v>
      </c>
      <c r="C61" s="4" t="s">
        <v>65</v>
      </c>
      <c r="D61" s="10">
        <v>50000</v>
      </c>
      <c r="E61" s="14">
        <v>4390394.7606382985</v>
      </c>
    </row>
    <row r="63" spans="1:8" x14ac:dyDescent="0.25">
      <c r="D63" s="15"/>
    </row>
  </sheetData>
  <autoFilter ref="A2:G61"/>
  <mergeCells count="4">
    <mergeCell ref="A3:C3"/>
    <mergeCell ref="A1:E1"/>
    <mergeCell ref="A52:C52"/>
    <mergeCell ref="A55:C55"/>
  </mergeCells>
  <printOptions horizontalCentered="1"/>
  <pageMargins left="0" right="0" top="0" bottom="0" header="0.3" footer="0.3"/>
  <pageSetup paperSize="9" scale="51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8"/>
  <sheetViews>
    <sheetView workbookViewId="0">
      <selection activeCell="E4" sqref="E4"/>
    </sheetView>
  </sheetViews>
  <sheetFormatPr defaultRowHeight="15" x14ac:dyDescent="0.25"/>
  <cols>
    <col min="1" max="6" width="22.5703125" customWidth="1"/>
    <col min="7" max="7" width="17.5703125" customWidth="1"/>
    <col min="9" max="9" width="9.7109375" bestFit="1" customWidth="1"/>
  </cols>
  <sheetData>
    <row r="2" spans="1:9" ht="30" x14ac:dyDescent="0.25">
      <c r="A2" s="33" t="s">
        <v>0</v>
      </c>
      <c r="B2" s="33" t="s">
        <v>1</v>
      </c>
      <c r="C2" s="33"/>
      <c r="D2" s="33" t="s">
        <v>54</v>
      </c>
      <c r="E2" s="33" t="s">
        <v>2</v>
      </c>
      <c r="F2" s="33" t="s">
        <v>85</v>
      </c>
      <c r="G2" s="33" t="s">
        <v>86</v>
      </c>
    </row>
    <row r="3" spans="1:9" x14ac:dyDescent="0.25">
      <c r="A3" s="60" t="s">
        <v>3</v>
      </c>
      <c r="B3" s="61"/>
      <c r="C3" s="62"/>
      <c r="D3" s="47"/>
      <c r="E3" s="34">
        <f>SUM(E4:E32)</f>
        <v>144000</v>
      </c>
      <c r="F3" s="34">
        <f>SUM(F4:F28)</f>
        <v>0</v>
      </c>
      <c r="G3" s="34">
        <f>E3-F3</f>
        <v>144000</v>
      </c>
      <c r="H3">
        <v>360000</v>
      </c>
      <c r="I3" s="15">
        <f>E3-H3</f>
        <v>-216000</v>
      </c>
    </row>
    <row r="4" spans="1:9" x14ac:dyDescent="0.25">
      <c r="A4" s="49"/>
      <c r="B4" s="49" t="s">
        <v>144</v>
      </c>
      <c r="C4" s="49" t="s">
        <v>143</v>
      </c>
      <c r="D4" s="49">
        <v>30000</v>
      </c>
      <c r="E4" s="49">
        <v>144000</v>
      </c>
      <c r="F4" s="49"/>
      <c r="G4" s="48">
        <f t="shared" ref="G4:G8" si="0">E4-F4</f>
        <v>144000</v>
      </c>
    </row>
    <row r="5" spans="1:9" x14ac:dyDescent="0.25">
      <c r="A5" s="49"/>
      <c r="B5" s="49"/>
      <c r="C5" s="49"/>
      <c r="D5" s="49"/>
      <c r="E5" s="49"/>
      <c r="F5" s="49"/>
      <c r="G5" s="48">
        <f t="shared" si="0"/>
        <v>0</v>
      </c>
    </row>
    <row r="6" spans="1:9" x14ac:dyDescent="0.25">
      <c r="A6" s="49"/>
      <c r="B6" s="49"/>
      <c r="C6" s="49"/>
      <c r="D6" s="49"/>
      <c r="E6" s="49"/>
      <c r="F6" s="49"/>
      <c r="G6" s="48">
        <f t="shared" si="0"/>
        <v>0</v>
      </c>
    </row>
    <row r="7" spans="1:9" x14ac:dyDescent="0.25">
      <c r="A7" s="49"/>
      <c r="B7" s="49"/>
      <c r="C7" s="49"/>
      <c r="D7" s="49"/>
      <c r="E7" s="49"/>
      <c r="F7" s="49"/>
      <c r="G7" s="48">
        <f t="shared" si="0"/>
        <v>0</v>
      </c>
    </row>
    <row r="8" spans="1:9" x14ac:dyDescent="0.25">
      <c r="A8" s="49"/>
      <c r="B8" s="49"/>
      <c r="C8" s="49"/>
      <c r="D8" s="49"/>
      <c r="E8" s="49"/>
      <c r="F8" s="49"/>
      <c r="G8" s="48">
        <f t="shared" si="0"/>
        <v>0</v>
      </c>
    </row>
  </sheetData>
  <mergeCells count="1"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C10" sqref="C10"/>
    </sheetView>
  </sheetViews>
  <sheetFormatPr defaultRowHeight="15" x14ac:dyDescent="0.25"/>
  <cols>
    <col min="1" max="1" width="16.7109375" customWidth="1"/>
    <col min="2" max="2" width="18.7109375" customWidth="1"/>
    <col min="3" max="8" width="27.7109375" customWidth="1"/>
  </cols>
  <sheetData>
    <row r="2" spans="1:7" ht="18" x14ac:dyDescent="0.25">
      <c r="A2" s="40" t="s">
        <v>113</v>
      </c>
      <c r="B2" s="65" t="s">
        <v>114</v>
      </c>
      <c r="C2" s="66"/>
      <c r="D2" s="66"/>
      <c r="E2" s="66"/>
      <c r="F2" s="66"/>
      <c r="G2" s="66"/>
    </row>
    <row r="5" spans="1:7" ht="30" x14ac:dyDescent="0.25">
      <c r="A5" s="33" t="s">
        <v>0</v>
      </c>
      <c r="B5" s="33" t="s">
        <v>1</v>
      </c>
      <c r="C5" s="33" t="s">
        <v>115</v>
      </c>
      <c r="D5" s="33" t="s">
        <v>2</v>
      </c>
      <c r="E5" s="33" t="s">
        <v>116</v>
      </c>
      <c r="F5" s="33" t="s">
        <v>117</v>
      </c>
      <c r="G5" s="33"/>
    </row>
    <row r="6" spans="1:7" ht="15.75" thickBot="1" x14ac:dyDescent="0.3">
      <c r="A6" s="35" t="s">
        <v>118</v>
      </c>
      <c r="B6" s="35" t="s">
        <v>119</v>
      </c>
      <c r="C6" s="35">
        <v>33600000</v>
      </c>
      <c r="D6" s="38">
        <v>3835</v>
      </c>
      <c r="E6" s="35" t="s">
        <v>5</v>
      </c>
      <c r="F6" s="35" t="s">
        <v>120</v>
      </c>
      <c r="G6" s="35" t="s">
        <v>121</v>
      </c>
    </row>
    <row r="7" spans="1:7" ht="26.25" thickBot="1" x14ac:dyDescent="0.3">
      <c r="A7" s="35" t="s">
        <v>122</v>
      </c>
      <c r="B7" s="35" t="s">
        <v>119</v>
      </c>
      <c r="C7" s="37">
        <v>33600000</v>
      </c>
      <c r="D7" s="38">
        <v>6652</v>
      </c>
      <c r="E7" s="36" t="s">
        <v>15</v>
      </c>
      <c r="F7" s="39" t="s">
        <v>123</v>
      </c>
      <c r="G7" s="39" t="s">
        <v>124</v>
      </c>
    </row>
    <row r="8" spans="1:7" ht="15.75" thickBot="1" x14ac:dyDescent="0.3">
      <c r="A8" s="35" t="s">
        <v>125</v>
      </c>
      <c r="B8" s="35" t="s">
        <v>119</v>
      </c>
      <c r="C8" s="37">
        <v>33600000</v>
      </c>
      <c r="D8" s="38">
        <v>5436</v>
      </c>
      <c r="E8" s="36" t="s">
        <v>5</v>
      </c>
      <c r="F8" s="39" t="s">
        <v>126</v>
      </c>
      <c r="G8" s="39" t="s">
        <v>127</v>
      </c>
    </row>
    <row r="9" spans="1:7" ht="15.75" thickBot="1" x14ac:dyDescent="0.3">
      <c r="A9" s="35" t="s">
        <v>128</v>
      </c>
      <c r="B9" s="35" t="s">
        <v>119</v>
      </c>
      <c r="C9" s="37">
        <v>33600000</v>
      </c>
      <c r="D9" s="38">
        <v>14593</v>
      </c>
      <c r="E9" s="36" t="s">
        <v>13</v>
      </c>
      <c r="F9" s="39" t="s">
        <v>129</v>
      </c>
      <c r="G9" s="39" t="s">
        <v>127</v>
      </c>
    </row>
    <row r="10" spans="1:7" ht="26.25" thickBot="1" x14ac:dyDescent="0.3">
      <c r="A10" s="35" t="s">
        <v>130</v>
      </c>
      <c r="B10" s="35" t="s">
        <v>119</v>
      </c>
      <c r="C10" s="37">
        <v>33600000</v>
      </c>
      <c r="D10" s="38">
        <v>3240</v>
      </c>
      <c r="E10" s="36" t="s">
        <v>5</v>
      </c>
      <c r="F10" s="39" t="s">
        <v>131</v>
      </c>
      <c r="G10" s="39" t="s">
        <v>132</v>
      </c>
    </row>
    <row r="11" spans="1:7" ht="51.75" thickBot="1" x14ac:dyDescent="0.3">
      <c r="A11" s="35" t="s">
        <v>133</v>
      </c>
      <c r="B11" s="35" t="s">
        <v>119</v>
      </c>
      <c r="C11" s="37">
        <v>33600000</v>
      </c>
      <c r="D11" s="38">
        <v>245499</v>
      </c>
      <c r="E11" s="36" t="s">
        <v>15</v>
      </c>
      <c r="F11" s="39" t="s">
        <v>134</v>
      </c>
      <c r="G11" s="39" t="s">
        <v>135</v>
      </c>
    </row>
    <row r="12" spans="1:7" ht="15.75" thickBot="1" x14ac:dyDescent="0.3">
      <c r="A12" s="35" t="s">
        <v>136</v>
      </c>
      <c r="B12" s="35" t="s">
        <v>119</v>
      </c>
      <c r="C12" s="37">
        <v>33600000</v>
      </c>
      <c r="D12" s="38">
        <v>22200</v>
      </c>
      <c r="E12" s="36" t="s">
        <v>8</v>
      </c>
      <c r="F12" s="39" t="s">
        <v>9</v>
      </c>
      <c r="G12" s="39" t="s">
        <v>137</v>
      </c>
    </row>
    <row r="13" spans="1:7" ht="15.75" thickBot="1" x14ac:dyDescent="0.3">
      <c r="A13" s="41" t="s">
        <v>138</v>
      </c>
      <c r="B13" s="35" t="s">
        <v>119</v>
      </c>
      <c r="C13" s="43">
        <v>33100000</v>
      </c>
      <c r="D13" s="44">
        <v>2200</v>
      </c>
      <c r="E13" s="42" t="s">
        <v>18</v>
      </c>
      <c r="F13" s="45" t="s">
        <v>19</v>
      </c>
      <c r="G13" s="45" t="s">
        <v>139</v>
      </c>
    </row>
    <row r="14" spans="1:7" x14ac:dyDescent="0.25">
      <c r="A14" s="46" t="s">
        <v>140</v>
      </c>
      <c r="B14" s="46"/>
      <c r="C14" s="46"/>
      <c r="D14" s="46">
        <v>303655</v>
      </c>
      <c r="E14" s="46"/>
      <c r="F14" s="46"/>
      <c r="G14" s="46"/>
    </row>
  </sheetData>
  <mergeCells count="1">
    <mergeCell ref="B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E17"/>
  <sheetViews>
    <sheetView view="pageBreakPreview" zoomScale="85" zoomScaleNormal="100" zoomScaleSheetLayoutView="85" workbookViewId="0">
      <selection activeCell="B35" sqref="B35"/>
    </sheetView>
  </sheetViews>
  <sheetFormatPr defaultRowHeight="15" x14ac:dyDescent="0.25"/>
  <cols>
    <col min="1" max="1" width="3.28515625" customWidth="1"/>
    <col min="2" max="2" width="51.28515625" customWidth="1"/>
    <col min="3" max="3" width="16" customWidth="1"/>
    <col min="4" max="4" width="16.7109375" customWidth="1"/>
  </cols>
  <sheetData>
    <row r="2" spans="2:5" ht="33.75" customHeight="1" x14ac:dyDescent="0.25">
      <c r="B2" s="67" t="s">
        <v>71</v>
      </c>
      <c r="C2" s="67"/>
    </row>
    <row r="3" spans="2:5" x14ac:dyDescent="0.25">
      <c r="B3" s="20" t="s">
        <v>72</v>
      </c>
      <c r="C3" s="21">
        <v>2150000</v>
      </c>
    </row>
    <row r="4" spans="2:5" x14ac:dyDescent="0.25">
      <c r="B4" s="19" t="s">
        <v>77</v>
      </c>
      <c r="C4" s="13"/>
    </row>
    <row r="5" spans="2:5" x14ac:dyDescent="0.25">
      <c r="B5" t="s">
        <v>73</v>
      </c>
      <c r="C5" s="13">
        <v>150000</v>
      </c>
    </row>
    <row r="6" spans="2:5" x14ac:dyDescent="0.25">
      <c r="B6" t="s">
        <v>74</v>
      </c>
      <c r="C6" s="13">
        <f>კოვიდ!E3</f>
        <v>10187495.4</v>
      </c>
      <c r="E6" s="15"/>
    </row>
    <row r="7" spans="2:5" x14ac:dyDescent="0.25">
      <c r="B7" t="s">
        <v>84</v>
      </c>
      <c r="C7" s="13">
        <v>306900</v>
      </c>
    </row>
    <row r="11" spans="2:5" ht="27.75" customHeight="1" x14ac:dyDescent="0.25">
      <c r="B11" s="22" t="s">
        <v>78</v>
      </c>
      <c r="C11" s="23">
        <f>SUM(C12:C17)</f>
        <v>16120514.760638298</v>
      </c>
    </row>
    <row r="12" spans="2:5" x14ac:dyDescent="0.25">
      <c r="B12" s="24" t="s">
        <v>79</v>
      </c>
      <c r="C12" s="13">
        <f>100000*25*3.2</f>
        <v>8000000</v>
      </c>
    </row>
    <row r="13" spans="2:5" x14ac:dyDescent="0.25">
      <c r="B13" s="24" t="s">
        <v>76</v>
      </c>
      <c r="C13" s="13">
        <v>1000000</v>
      </c>
    </row>
    <row r="14" spans="2:5" x14ac:dyDescent="0.25">
      <c r="B14" s="24" t="s">
        <v>80</v>
      </c>
      <c r="C14" s="13">
        <v>146000</v>
      </c>
    </row>
    <row r="15" spans="2:5" x14ac:dyDescent="0.25">
      <c r="B15" s="24" t="s">
        <v>81</v>
      </c>
      <c r="C15" s="13">
        <v>307120</v>
      </c>
    </row>
    <row r="16" spans="2:5" x14ac:dyDescent="0.25">
      <c r="B16" s="24" t="s">
        <v>82</v>
      </c>
      <c r="C16" s="13">
        <v>2277000</v>
      </c>
      <c r="E16" s="18"/>
    </row>
    <row r="17" spans="2:5" ht="30" x14ac:dyDescent="0.25">
      <c r="B17" s="24" t="s">
        <v>83</v>
      </c>
      <c r="C17" s="13">
        <v>4390394.7606382985</v>
      </c>
      <c r="E17" s="18"/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15"/>
  <sheetViews>
    <sheetView view="pageBreakPreview" zoomScale="145" zoomScaleNormal="100" zoomScaleSheetLayoutView="145" workbookViewId="0">
      <selection activeCell="B66" sqref="B66"/>
    </sheetView>
  </sheetViews>
  <sheetFormatPr defaultRowHeight="15" x14ac:dyDescent="0.25"/>
  <cols>
    <col min="2" max="2" width="39.7109375" customWidth="1"/>
    <col min="3" max="3" width="13.28515625" customWidth="1"/>
    <col min="4" max="4" width="12" customWidth="1"/>
    <col min="5" max="5" width="23.7109375" customWidth="1"/>
  </cols>
  <sheetData>
    <row r="5" spans="2:5" x14ac:dyDescent="0.25">
      <c r="B5" s="26" t="s">
        <v>96</v>
      </c>
      <c r="C5" s="26" t="s">
        <v>97</v>
      </c>
      <c r="D5" s="26" t="s">
        <v>54</v>
      </c>
      <c r="E5" s="26" t="s">
        <v>98</v>
      </c>
    </row>
    <row r="6" spans="2:5" x14ac:dyDescent="0.25">
      <c r="B6" s="4" t="s">
        <v>49</v>
      </c>
      <c r="C6" s="4">
        <v>7</v>
      </c>
      <c r="D6" s="4">
        <v>30000</v>
      </c>
      <c r="E6" s="4">
        <f>C6*D6</f>
        <v>210000</v>
      </c>
    </row>
    <row r="7" spans="2:5" x14ac:dyDescent="0.25">
      <c r="B7" s="4" t="s">
        <v>87</v>
      </c>
      <c r="C7" s="4">
        <v>14</v>
      </c>
      <c r="D7" s="4">
        <v>30000</v>
      </c>
      <c r="E7" s="4">
        <f t="shared" ref="E7:E14" si="0">C7*D7</f>
        <v>420000</v>
      </c>
    </row>
    <row r="8" spans="2:5" x14ac:dyDescent="0.25">
      <c r="B8" s="4" t="s">
        <v>88</v>
      </c>
      <c r="C8" s="4">
        <v>0.1</v>
      </c>
      <c r="D8" s="4">
        <v>20000</v>
      </c>
      <c r="E8" s="4">
        <f t="shared" si="0"/>
        <v>2000</v>
      </c>
    </row>
    <row r="9" spans="2:5" x14ac:dyDescent="0.25">
      <c r="B9" s="4" t="s">
        <v>89</v>
      </c>
      <c r="C9" s="4">
        <v>2.5000000000000001E-2</v>
      </c>
      <c r="D9" s="4">
        <v>20000</v>
      </c>
      <c r="E9" s="4">
        <f t="shared" si="0"/>
        <v>500</v>
      </c>
    </row>
    <row r="10" spans="2:5" x14ac:dyDescent="0.25">
      <c r="B10" s="4" t="s">
        <v>90</v>
      </c>
      <c r="C10" s="4">
        <v>30</v>
      </c>
      <c r="D10" s="4">
        <v>10000</v>
      </c>
      <c r="E10" s="4">
        <f t="shared" si="0"/>
        <v>300000</v>
      </c>
    </row>
    <row r="11" spans="2:5" x14ac:dyDescent="0.25">
      <c r="B11" s="4" t="s">
        <v>91</v>
      </c>
      <c r="C11" s="4">
        <v>1</v>
      </c>
      <c r="D11" s="4">
        <v>20000</v>
      </c>
      <c r="E11" s="4">
        <f t="shared" si="0"/>
        <v>20000</v>
      </c>
    </row>
    <row r="12" spans="2:5" x14ac:dyDescent="0.25">
      <c r="B12" s="4" t="s">
        <v>92</v>
      </c>
      <c r="C12" s="4">
        <v>0.17</v>
      </c>
      <c r="D12" s="4">
        <v>100000</v>
      </c>
      <c r="E12" s="4">
        <f t="shared" si="0"/>
        <v>17000</v>
      </c>
    </row>
    <row r="13" spans="2:5" x14ac:dyDescent="0.25">
      <c r="B13" s="4" t="s">
        <v>93</v>
      </c>
      <c r="C13" s="4">
        <v>0.45</v>
      </c>
      <c r="D13" s="4">
        <v>100000</v>
      </c>
      <c r="E13" s="4">
        <f t="shared" si="0"/>
        <v>45000</v>
      </c>
    </row>
    <row r="14" spans="2:5" x14ac:dyDescent="0.25">
      <c r="B14" s="4" t="s">
        <v>95</v>
      </c>
      <c r="C14" s="4">
        <v>3.6</v>
      </c>
      <c r="D14" s="4">
        <v>20000</v>
      </c>
      <c r="E14" s="4">
        <f t="shared" si="0"/>
        <v>72000</v>
      </c>
    </row>
    <row r="15" spans="2:5" x14ac:dyDescent="0.25">
      <c r="B15" t="s">
        <v>94</v>
      </c>
      <c r="E15" s="25">
        <f>SUM(E6:E14)</f>
        <v>1086500</v>
      </c>
    </row>
  </sheetData>
  <pageMargins left="0.7" right="0.7" top="0.75" bottom="0.75" header="0.3" footer="0.3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კოვიდ</vt:lpstr>
      <vt:lpstr>შიდა.</vt:lpstr>
      <vt:lpstr>აპარატი</vt:lpstr>
      <vt:lpstr>I</vt:lpstr>
      <vt:lpstr>xarji</vt:lpstr>
      <vt:lpstr>I!Print_Area</vt:lpstr>
      <vt:lpstr>კოვიდ!Print_Area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2020-06-01T05:50:48Z</dcterms:modified>
</cp:coreProperties>
</file>