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java\Desktop\"/>
    </mc:Choice>
  </mc:AlternateContent>
  <bookViews>
    <workbookView xWindow="0" yWindow="468" windowWidth="20472" windowHeight="7296" tabRatio="896"/>
  </bookViews>
  <sheets>
    <sheet name="Public Sector Model" sheetId="1" r:id="rId1"/>
    <sheet name="Private Sector Model" sheetId="3" r:id="rId2"/>
    <sheet name="Data" sheetId="4" state="hidden" r:id="rId3"/>
    <sheet name="Scratch Paper" sheetId="2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3" l="1"/>
  <c r="B12" i="3"/>
  <c r="B34" i="1" l="1"/>
  <c r="B35" i="1"/>
  <c r="D54" i="3" l="1"/>
  <c r="E55" i="3"/>
  <c r="D55" i="3"/>
  <c r="C55" i="3"/>
  <c r="B55" i="3"/>
  <c r="C34" i="3"/>
  <c r="B34" i="3"/>
  <c r="D50" i="1"/>
  <c r="D51" i="1" s="1"/>
  <c r="B33" i="1"/>
  <c r="B31" i="1"/>
  <c r="B29" i="1"/>
  <c r="B52" i="4"/>
  <c r="B26" i="1"/>
  <c r="M43" i="3" l="1"/>
  <c r="A11" i="3" l="1"/>
  <c r="A12" i="3"/>
  <c r="A10" i="3"/>
  <c r="B26" i="3" l="1"/>
  <c r="B85" i="4"/>
  <c r="B116" i="4" s="1"/>
  <c r="C85" i="4"/>
  <c r="D85" i="4"/>
  <c r="E85" i="4"/>
  <c r="E116" i="4" s="1"/>
  <c r="F85" i="4"/>
  <c r="G85" i="4"/>
  <c r="H85" i="4"/>
  <c r="I85" i="4"/>
  <c r="J85" i="4"/>
  <c r="K85" i="4"/>
  <c r="L85" i="4"/>
  <c r="C116" i="4"/>
  <c r="D116" i="4"/>
  <c r="F116" i="4"/>
  <c r="G116" i="4"/>
  <c r="B20" i="1"/>
  <c r="C19" i="3"/>
  <c r="B19" i="3"/>
  <c r="C19" i="1"/>
  <c r="D40" i="1" s="1"/>
  <c r="B19" i="1"/>
  <c r="B40" i="1" s="1"/>
  <c r="B27" i="1" l="1"/>
  <c r="H116" i="4"/>
  <c r="A41" i="3"/>
  <c r="A42" i="3"/>
  <c r="A43" i="3"/>
  <c r="A44" i="3"/>
  <c r="A45" i="3"/>
  <c r="A46" i="3"/>
  <c r="A47" i="3"/>
  <c r="A48" i="3"/>
  <c r="A49" i="3"/>
  <c r="A50" i="3"/>
  <c r="C20" i="3" l="1"/>
  <c r="B20" i="3"/>
  <c r="C20" i="1"/>
  <c r="D41" i="1" s="1"/>
  <c r="B41" i="1"/>
  <c r="J3" i="4" l="1"/>
  <c r="J4" i="4"/>
  <c r="J5" i="4"/>
  <c r="J6" i="4"/>
  <c r="J7" i="4"/>
  <c r="P7" i="4"/>
  <c r="P6" i="4"/>
  <c r="O5" i="4"/>
  <c r="P5" i="4" s="1"/>
  <c r="P12" i="4"/>
  <c r="O11" i="4"/>
  <c r="P11" i="4" s="1"/>
  <c r="O10" i="4"/>
  <c r="P10" i="4" s="1"/>
  <c r="O4" i="4"/>
  <c r="P4" i="4" s="1"/>
  <c r="P9" i="4"/>
  <c r="P3" i="4"/>
  <c r="C12" i="1" l="1"/>
  <c r="B12" i="1"/>
  <c r="H2" i="4"/>
  <c r="H3" i="4"/>
  <c r="J2" i="4"/>
  <c r="C26" i="3" l="1"/>
  <c r="A40" i="3"/>
  <c r="C15" i="3"/>
  <c r="B15" i="3"/>
  <c r="C6" i="3"/>
  <c r="B6" i="3"/>
  <c r="B47" i="3" l="1"/>
  <c r="D47" i="3" s="1"/>
  <c r="D41" i="3"/>
  <c r="D42" i="3" s="1"/>
  <c r="B40" i="3" l="1"/>
  <c r="B48" i="3" s="1"/>
  <c r="C21" i="3"/>
  <c r="D50" i="3"/>
  <c r="B41" i="3"/>
  <c r="B42" i="3" s="1"/>
  <c r="B21" i="3"/>
  <c r="C54" i="3" l="1"/>
  <c r="B54" i="3"/>
  <c r="B57" i="3"/>
  <c r="M44" i="3"/>
  <c r="C57" i="3"/>
  <c r="C29" i="3"/>
  <c r="B29" i="3"/>
  <c r="C52" i="3"/>
  <c r="B50" i="3"/>
  <c r="C51" i="3" s="1"/>
  <c r="B27" i="3"/>
  <c r="B33" i="3" s="1"/>
  <c r="B52" i="3"/>
  <c r="D40" i="3"/>
  <c r="D48" i="3" s="1"/>
  <c r="C27" i="3"/>
  <c r="C33" i="3" s="1"/>
  <c r="A50" i="1"/>
  <c r="A49" i="1"/>
  <c r="A48" i="1"/>
  <c r="B47" i="1"/>
  <c r="A47" i="1"/>
  <c r="A46" i="1"/>
  <c r="A45" i="1"/>
  <c r="A44" i="1"/>
  <c r="A43" i="1"/>
  <c r="A42" i="1"/>
  <c r="A41" i="1"/>
  <c r="A40" i="1"/>
  <c r="C26" i="1"/>
  <c r="C25" i="1"/>
  <c r="C23" i="1"/>
  <c r="C15" i="1"/>
  <c r="B15" i="1"/>
  <c r="C6" i="1"/>
  <c r="B6" i="1"/>
  <c r="E54" i="3" l="1"/>
  <c r="B35" i="3"/>
  <c r="B56" i="3"/>
  <c r="E57" i="3"/>
  <c r="D57" i="3"/>
  <c r="C56" i="3"/>
  <c r="D33" i="3"/>
  <c r="C35" i="3"/>
  <c r="C53" i="3"/>
  <c r="D51" i="3"/>
  <c r="C30" i="3"/>
  <c r="B31" i="3"/>
  <c r="B30" i="3"/>
  <c r="B51" i="3"/>
  <c r="B53" i="3" s="1"/>
  <c r="C31" i="3"/>
  <c r="E51" i="3"/>
  <c r="D52" i="3"/>
  <c r="E52" i="3"/>
  <c r="B21" i="1"/>
  <c r="D42" i="1"/>
  <c r="C21" i="1"/>
  <c r="D47" i="1"/>
  <c r="B30" i="1" l="1"/>
  <c r="C29" i="1"/>
  <c r="F54" i="3"/>
  <c r="G54" i="3" s="1"/>
  <c r="D56" i="3"/>
  <c r="F55" i="3"/>
  <c r="E56" i="3"/>
  <c r="D34" i="3"/>
  <c r="D35" i="3"/>
  <c r="B32" i="3"/>
  <c r="C32" i="3"/>
  <c r="D53" i="3"/>
  <c r="E53" i="3"/>
  <c r="F51" i="3"/>
  <c r="F57" i="3"/>
  <c r="G57" i="3" s="1"/>
  <c r="D30" i="3"/>
  <c r="D31" i="3"/>
  <c r="F52" i="3"/>
  <c r="B42" i="1"/>
  <c r="B50" i="1" s="1"/>
  <c r="B48" i="1"/>
  <c r="C54" i="1" l="1"/>
  <c r="C55" i="1"/>
  <c r="B55" i="1"/>
  <c r="B36" i="1"/>
  <c r="B51" i="1"/>
  <c r="B54" i="1"/>
  <c r="G55" i="3"/>
  <c r="C56" i="1"/>
  <c r="B56" i="1"/>
  <c r="F56" i="3"/>
  <c r="G56" i="3" s="1"/>
  <c r="D32" i="3"/>
  <c r="B32" i="1"/>
  <c r="G51" i="3"/>
  <c r="F53" i="3"/>
  <c r="G52" i="3"/>
  <c r="C52" i="1"/>
  <c r="B52" i="1"/>
  <c r="C51" i="1"/>
  <c r="C27" i="1"/>
  <c r="C33" i="1" s="1"/>
  <c r="D48" i="1"/>
  <c r="E56" i="1" l="1"/>
  <c r="E55" i="1"/>
  <c r="D55" i="1"/>
  <c r="E54" i="1"/>
  <c r="B57" i="1"/>
  <c r="C57" i="1"/>
  <c r="D54" i="1"/>
  <c r="C22" i="1"/>
  <c r="C34" i="1" s="1"/>
  <c r="D56" i="1"/>
  <c r="D33" i="1"/>
  <c r="C53" i="1"/>
  <c r="E51" i="1"/>
  <c r="B53" i="1"/>
  <c r="G53" i="3"/>
  <c r="E52" i="1"/>
  <c r="D52" i="1"/>
  <c r="F54" i="1" l="1"/>
  <c r="G54" i="1" s="1"/>
  <c r="F55" i="1"/>
  <c r="E57" i="1"/>
  <c r="C35" i="1"/>
  <c r="D35" i="1" s="1"/>
  <c r="D57" i="1"/>
  <c r="D34" i="1"/>
  <c r="E53" i="1"/>
  <c r="D53" i="1"/>
  <c r="F52" i="1"/>
  <c r="F51" i="1"/>
  <c r="C30" i="1"/>
  <c r="F56" i="1"/>
  <c r="C31" i="1"/>
  <c r="D31" i="1" s="1"/>
  <c r="C36" i="1" l="1"/>
  <c r="D36" i="1" s="1"/>
  <c r="F57" i="1"/>
  <c r="G57" i="1" s="1"/>
  <c r="G55" i="1"/>
  <c r="F53" i="1"/>
  <c r="G56" i="1"/>
  <c r="D30" i="1"/>
  <c r="G51" i="1" s="1"/>
  <c r="C32" i="1"/>
  <c r="D32" i="1" s="1"/>
  <c r="G52" i="1"/>
  <c r="G53" i="1" l="1"/>
</calcChain>
</file>

<file path=xl/sharedStrings.xml><?xml version="1.0" encoding="utf-8"?>
<sst xmlns="http://schemas.openxmlformats.org/spreadsheetml/2006/main" count="349" uniqueCount="168">
  <si>
    <t>Current regulation</t>
  </si>
  <si>
    <t>Maximum duration (days)</t>
  </si>
  <si>
    <t>Paid period (days)</t>
  </si>
  <si>
    <t>Transferable days</t>
  </si>
  <si>
    <t>Payment rate</t>
  </si>
  <si>
    <t>Floor on payment</t>
  </si>
  <si>
    <t>Ceiling on payment</t>
  </si>
  <si>
    <t>Maternity leave (X0, X1)</t>
  </si>
  <si>
    <t>Parental leave (Z0, Z1)</t>
  </si>
  <si>
    <t>Total (T0, T1)</t>
  </si>
  <si>
    <t>Proposed regulation</t>
  </si>
  <si>
    <t>-</t>
  </si>
  <si>
    <t>Mother</t>
  </si>
  <si>
    <t>Father</t>
  </si>
  <si>
    <t>Total</t>
  </si>
  <si>
    <t>Estimation of current costs</t>
  </si>
  <si>
    <t>Women</t>
  </si>
  <si>
    <t>Men</t>
  </si>
  <si>
    <t># employed in public sector in thousands (a)</t>
  </si>
  <si>
    <t>Average wage per month (b)</t>
  </si>
  <si>
    <t>Average wage per day (c=b*12/52/7)</t>
  </si>
  <si>
    <t>Paid leave take up rate (d)</t>
  </si>
  <si>
    <t>Paid leave actual duration (e)</t>
  </si>
  <si>
    <t>Assumption 4: The average duration of actually taken paid leave is set at the certain percent (100%) of maximum paid days avalaible.</t>
  </si>
  <si>
    <t>Non-paid leave take up rate (f)</t>
  </si>
  <si>
    <t>Non-paid leave actual duration (g)</t>
  </si>
  <si>
    <t>Assumption 6: The average duration of actually taken non-paid leave is set at the certain percent (50%) of maximum non-paid days avalaible.</t>
  </si>
  <si>
    <t>Average births per 1000 women (h)</t>
  </si>
  <si>
    <t>Annual number of child birth (i=a*h)</t>
  </si>
  <si>
    <t>Assumption 9: Annual number of child birth is constant</t>
  </si>
  <si>
    <t>Substitution rate (j)</t>
  </si>
  <si>
    <t>Assumption 10: Substitution rate is set at the certain level (30% according to CBA paper)</t>
  </si>
  <si>
    <t>Production losses per day of leave (k=c*(1-j))</t>
  </si>
  <si>
    <t>Total production losses (TPL=i*d*k*T1*e+i*f*k*(T0-T1)*g)</t>
  </si>
  <si>
    <t>Saved childcare costs (SCC=i*d*c*T1*e*0.25+i*f*c*(T0-T1)*g*0.25)</t>
  </si>
  <si>
    <t>Assumption 11: The average savings equals an amount paid by the parents corresponding to certain percent of the average labour costs (25%  according to CBA paper)</t>
  </si>
  <si>
    <t>Total economic costs (TEC=TPL-SCC)</t>
  </si>
  <si>
    <t>Estimation of costs according to proposed regulations</t>
  </si>
  <si>
    <t>Change</t>
  </si>
  <si>
    <t>Women (maternity)</t>
  </si>
  <si>
    <t>Women (parental)</t>
  </si>
  <si>
    <t>Men (paternity)</t>
  </si>
  <si>
    <t>Men (parental)</t>
  </si>
  <si>
    <t>Total hired persons</t>
  </si>
  <si>
    <t>Hired in public sector</t>
  </si>
  <si>
    <t>Hired in private sector</t>
  </si>
  <si>
    <t>Average  wage per month in public sector</t>
  </si>
  <si>
    <t>Average  wage per month in private sector</t>
  </si>
  <si>
    <t>Average  wage per month (women)</t>
  </si>
  <si>
    <t>Average  wage per month (men)</t>
  </si>
  <si>
    <t>Paternity leave duration</t>
  </si>
  <si>
    <t>Flexibility in use</t>
  </si>
  <si>
    <t>Participation threshold</t>
  </si>
  <si>
    <t>tbc</t>
  </si>
  <si>
    <t>Public</t>
  </si>
  <si>
    <t>Subsistance minimum</t>
  </si>
  <si>
    <t>12 times subsistance minimum</t>
  </si>
  <si>
    <t>Private</t>
  </si>
  <si>
    <t>Twice the subsistance minimum</t>
  </si>
  <si>
    <t>Twice the average wage</t>
  </si>
  <si>
    <t>Thrice the average wage</t>
  </si>
  <si>
    <t>Age specific fertility rates and total fertility rate (TFR)</t>
  </si>
  <si>
    <t>age of mother:</t>
  </si>
  <si>
    <t>TFR</t>
  </si>
  <si>
    <t>15-19</t>
  </si>
  <si>
    <t>20-24</t>
  </si>
  <si>
    <t>25-29</t>
  </si>
  <si>
    <t>30-34</t>
  </si>
  <si>
    <t>35-39</t>
  </si>
  <si>
    <t>40-44</t>
  </si>
  <si>
    <t>45-55</t>
  </si>
  <si>
    <t xml:space="preserve">Assumption 5: Non-paid leave take up ratio is set at the certain level. It was 31% for women and 0% for men according to IDFI in 2013. </t>
  </si>
  <si>
    <t>in private sector no chance for father, because of the needed documents. But in adoption leave both can take it</t>
  </si>
  <si>
    <t>We maintain the number of days for women(paid-nonpaid)</t>
  </si>
  <si>
    <t>income tax is non-paid during the unpaid days</t>
  </si>
  <si>
    <t>Scenariao 1</t>
  </si>
  <si>
    <t>1000 GEL to women</t>
  </si>
  <si>
    <t>"+ 3days for men (or 7 days)</t>
  </si>
  <si>
    <t>Scenario 2: 14 days maternity leave obligatory has to be paid by private sector, and 3 days for men (but ceiling)+up to 1000 GEL are paid by state</t>
  </si>
  <si>
    <t>თუ დედამ აიღო ერთ დღე მაინც, მამა ვეღარ აიღებს ერთ დღესაც კი (paid non-paid)</t>
  </si>
  <si>
    <t>Assumption 3: Paid leave take up ratio is set at the certain level above 90% for women (according to CBA paper its above 90% in all EU countries) and 0% for men</t>
  </si>
  <si>
    <t>Assumption 4: The average duration of actually taken paid leave is set at the certain percent (50%) of maximum paid days avalaible.</t>
  </si>
  <si>
    <t>Assumption 5: Non-paid leave take up ratio is set at the certain level.</t>
  </si>
  <si>
    <t>Assumption 6: The average duration of actually taken non-paid leave is set at the certain percent of maximum non-paid days avalaible.</t>
  </si>
  <si>
    <t># employed in private sector in thousands (a)</t>
  </si>
  <si>
    <t>Substitence minimum for average consumer</t>
  </si>
  <si>
    <t>Paid parental leave duration</t>
  </si>
  <si>
    <t>Maternity leave duration</t>
  </si>
  <si>
    <t>Maximum duration of maternity/paternity leave</t>
  </si>
  <si>
    <t>10 times subsistance minimum</t>
  </si>
  <si>
    <t>Subsistence minimum for average consumer, 2017 (GEL)</t>
  </si>
  <si>
    <t>Average monthly nominal earnings of employees, 2017 (GEL)</t>
  </si>
  <si>
    <t>Infinity (no ceiling)</t>
  </si>
  <si>
    <t>Current ceiling</t>
  </si>
  <si>
    <t>8 times subsistance minimum</t>
  </si>
  <si>
    <t>Ceiling floor (calculate new average using wage distribution assumption)</t>
  </si>
  <si>
    <t>Ceiling and floors on dayly wages? And not only on the sum?</t>
  </si>
  <si>
    <t>Leave take up ratio</t>
  </si>
  <si>
    <t>Financing Source</t>
  </si>
  <si>
    <t>100% Public</t>
  </si>
  <si>
    <t>14 days by private sector</t>
  </si>
  <si>
    <t>7 days by private sector</t>
  </si>
  <si>
    <t>3 days by private sector</t>
  </si>
  <si>
    <t>For women</t>
  </si>
  <si>
    <t>For men</t>
  </si>
  <si>
    <t>100% public</t>
  </si>
  <si>
    <t>100% private</t>
  </si>
  <si>
    <t>50%/50%</t>
  </si>
  <si>
    <t>დაქირავებით დასაქმებულთა საშუალო რიცხოვნობა* 2013-2017 წწ</t>
  </si>
  <si>
    <t>ათასი კაცი</t>
  </si>
  <si>
    <t>ქალი</t>
  </si>
  <si>
    <t>კაცი</t>
  </si>
  <si>
    <t>სახელმწიფო სექტორი</t>
  </si>
  <si>
    <r>
      <t xml:space="preserve">  </t>
    </r>
    <r>
      <rPr>
        <i/>
        <sz val="9"/>
        <color theme="1"/>
        <rFont val="Calibri"/>
        <family val="2"/>
        <scheme val="minor"/>
      </rPr>
      <t xml:space="preserve"> მათ შორის: </t>
    </r>
    <r>
      <rPr>
        <b/>
        <i/>
        <sz val="9"/>
        <color theme="1"/>
        <rFont val="Calibri"/>
        <family val="2"/>
        <scheme val="minor"/>
      </rPr>
      <t xml:space="preserve">
   სახელმწიფო მმართველობა</t>
    </r>
  </si>
  <si>
    <t>არასახელმწიფო სექტორი</t>
  </si>
  <si>
    <t>დაქირავებით დასაქმებულთა საშუალო თვიური ნომინალური ხელფასი* 2013-2017 წწ</t>
  </si>
  <si>
    <t>ლარი</t>
  </si>
  <si>
    <t>გაანგარიშებულია დაკავებული სამუშაო ადგილების მიხედვით</t>
  </si>
  <si>
    <t>წყარო: საწარმოებისა და ორგანიზაციების სტატისტიკური გამოკვლევები.</t>
  </si>
  <si>
    <t>*საქართველოს ეროვნული კლასიფიკატორი(სეკ 006-2004)</t>
  </si>
  <si>
    <t xml:space="preserve">საჯარო დაწესებულებებში შტატით გათვალისწინებულ თანამდებობებზე დასაქმებულ პირთა საერთო რაოდენობა: </t>
  </si>
  <si>
    <t>კაცი:</t>
  </si>
  <si>
    <t>ქალი:</t>
  </si>
  <si>
    <t>სულ:</t>
  </si>
  <si>
    <t>საჯარო დაწესებულებებში შტატით გათვალისწინებულ თანამდებობებზე დასაქმებულ პირთა საშუალო ხელფასი:</t>
  </si>
  <si>
    <t>Source: Geostat</t>
  </si>
  <si>
    <t>Source: Social Service Agency</t>
  </si>
  <si>
    <t>Substitution rate</t>
  </si>
  <si>
    <t>Source: Authors' calculations based on Geostat data</t>
  </si>
  <si>
    <t>15 წლის და უფროსი ასაკის მოსახლეობის განაწილება ეკონომიკური აქტივობის მიხედვით ასაკობრივ ჭრილში, 2002-2017*</t>
  </si>
  <si>
    <t>45-49</t>
  </si>
  <si>
    <t>50-54</t>
  </si>
  <si>
    <t>55-59</t>
  </si>
  <si>
    <t>60-64</t>
  </si>
  <si>
    <t>65+</t>
  </si>
  <si>
    <t>სულ</t>
  </si>
  <si>
    <t>სულ 15+ მოსახლეობა</t>
  </si>
  <si>
    <t>სულ აქტიური მოსახლეობა (სამუშაო ძალა)</t>
  </si>
  <si>
    <t>დასაქმებული</t>
  </si>
  <si>
    <t>დაქირავებული</t>
  </si>
  <si>
    <t>თვითდასაქმებული</t>
  </si>
  <si>
    <t>გაურკვეველი</t>
  </si>
  <si>
    <t>უმუშევარი</t>
  </si>
  <si>
    <t>მოსახლეობა სამუშაო ძალის გარეთ</t>
  </si>
  <si>
    <t>უმუშევრობის დონე (პროცენტებში)</t>
  </si>
  <si>
    <t>აქტიურობის დონე (პროცენტებში)</t>
  </si>
  <si>
    <t>დასაქმების დონე (პროცენტებში)</t>
  </si>
  <si>
    <t>*2002-2016 წლები გადაანგარიშებულია მოსახლეობის 2014 წლის აღწერის მიხედვით; 2017 წლის შერჩევის ჩარჩოს წარმოადგენს მოსახლეობის 2014 წლის აღწერის მონაცემთა ბაზა.</t>
  </si>
  <si>
    <t xml:space="preserve">წყარო:  2016 წლის ჩათვლით შინამეურნეობების ინტეგრირებული გამოკვლევა, 2017 წელი -  სამუშაო ძალის გამოკვლევა. </t>
  </si>
  <si>
    <t>Weighted average fertility rate</t>
  </si>
  <si>
    <t>Assumption 7: Age structure of emplyees in public and private sector is the same.</t>
  </si>
  <si>
    <t>Assumption 3: Paid leave take up ratio is set at the certain level above 100% for women (according to CBA paper its above 90% in all EU countries) and 0.011% in 2013 for men according to IDFI data.</t>
  </si>
  <si>
    <t>Assumption 7: Age structure of employees in public and private sector is the same.</t>
  </si>
  <si>
    <t>Assumption 9: Fertility rate for hired women equlas to the national level and annual number of child birth is constant</t>
  </si>
  <si>
    <t>During the unpaid leave</t>
  </si>
  <si>
    <t>Budget revenue loss (BRL=(T0-T1)*f*g*k*i*0.2)</t>
  </si>
  <si>
    <t>Budget expenditures decrease (BED=(T0-T1)*f*g*k*i)</t>
  </si>
  <si>
    <t>Budget expenditures on leave (BEL=c*d*T1*i*e)</t>
  </si>
  <si>
    <t>Net budget expenditures on leave (NBL=BRL+BE)</t>
  </si>
  <si>
    <t>Budget expenditures on leave (BEL=c*d*T1*i*e)*PF</t>
  </si>
  <si>
    <t>Private sector expenditures on leave (PEL=c*d*T1*i*e)*(1-PF)</t>
  </si>
  <si>
    <t>Paternity leave (X0, X1)</t>
  </si>
  <si>
    <t>Budget revenue loss (BRL=(X0-X1)*f*g*k*i*0.2)</t>
  </si>
  <si>
    <t>Budget expenditures decrease (BED=(X0-X1)*f*g*k*i)</t>
  </si>
  <si>
    <t>Budget expenditures on leave (BEL=c*d*X1*i*e)</t>
  </si>
  <si>
    <t>Total production losses (TPL=i*d*k*X1*e+i*f*k*(X0-X1)*g)</t>
  </si>
  <si>
    <t>Saved childcare costs (SCC=i*d*c*X1*e*0.25+i*f*c*(X0-X1)*g*0.25)</t>
  </si>
  <si>
    <t>Private sector expenditures on leave (PEL=c*d*X1*i*e)*(1-PF)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</si>
</sst>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\ [$₾-437]"/>
    <numFmt numFmtId="166" formatCode="#,##0.0\ [$₾-437]"/>
    <numFmt numFmtId="167" formatCode="#,##0.00\ [$₾-437]"/>
    <numFmt numFmtId="168" formatCode="0.0%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9C0006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 Unicode MS"/>
      <family val="2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i/>
      <sz val="9"/>
      <name val="Sylfaen"/>
      <family val="1"/>
      <charset val="204"/>
    </font>
    <font>
      <sz val="12"/>
      <name val="Calibri"/>
      <family val="2"/>
      <scheme val="minor"/>
    </font>
    <font>
      <sz val="11"/>
      <color theme="1"/>
      <name val="Sylfaen"/>
      <family val="1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b/>
      <sz val="10"/>
      <name val="LitNusx"/>
      <family val="2"/>
    </font>
    <font>
      <b/>
      <sz val="9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" fillId="0" borderId="0"/>
    <xf numFmtId="0" fontId="13" fillId="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5" fillId="0" borderId="0"/>
    <xf numFmtId="0" fontId="8" fillId="0" borderId="0"/>
    <xf numFmtId="0" fontId="32" fillId="0" borderId="0"/>
    <xf numFmtId="0" fontId="32" fillId="0" borderId="0"/>
    <xf numFmtId="0" fontId="8" fillId="0" borderId="0"/>
  </cellStyleXfs>
  <cellXfs count="175">
    <xf numFmtId="0" fontId="0" fillId="0" borderId="0" xfId="0"/>
    <xf numFmtId="0" fontId="0" fillId="0" borderId="0" xfId="0" applyFont="1" applyAlignment="1">
      <alignment vertical="center"/>
    </xf>
    <xf numFmtId="0" fontId="0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165" fontId="0" fillId="0" borderId="1" xfId="0" applyNumberFormat="1" applyFont="1" applyBorder="1" applyAlignment="1">
      <alignment horizontal="right" vertical="center"/>
    </xf>
    <xf numFmtId="166" fontId="0" fillId="0" borderId="1" xfId="0" applyNumberFormat="1" applyFont="1" applyBorder="1" applyAlignment="1">
      <alignment horizontal="right" vertical="center"/>
    </xf>
    <xf numFmtId="10" fontId="0" fillId="0" borderId="1" xfId="1" applyNumberFormat="1" applyFont="1" applyBorder="1" applyAlignment="1">
      <alignment horizontal="right" vertical="center"/>
    </xf>
    <xf numFmtId="10" fontId="0" fillId="0" borderId="1" xfId="1" applyNumberFormat="1" applyFont="1" applyFill="1" applyBorder="1" applyAlignment="1">
      <alignment horizontal="right" vertical="center"/>
    </xf>
    <xf numFmtId="1" fontId="0" fillId="0" borderId="1" xfId="0" applyNumberFormat="1" applyFont="1" applyBorder="1" applyAlignment="1">
      <alignment horizontal="right" vertical="center"/>
    </xf>
    <xf numFmtId="9" fontId="0" fillId="0" borderId="1" xfId="1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9" fontId="0" fillId="0" borderId="0" xfId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0" fillId="0" borderId="0" xfId="0" applyNumberFormat="1" applyFont="1" applyAlignment="1">
      <alignment vertical="center"/>
    </xf>
    <xf numFmtId="0" fontId="9" fillId="5" borderId="0" xfId="2" applyFont="1" applyFill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2" fillId="5" borderId="2" xfId="3" applyFont="1" applyFill="1" applyBorder="1" applyAlignment="1">
      <alignment horizontal="center"/>
    </xf>
    <xf numFmtId="164" fontId="10" fillId="5" borderId="7" xfId="0" applyNumberFormat="1" applyFont="1" applyFill="1" applyBorder="1" applyAlignment="1">
      <alignment horizontal="right"/>
    </xf>
    <xf numFmtId="164" fontId="10" fillId="5" borderId="8" xfId="0" applyNumberFormat="1" applyFont="1" applyFill="1" applyBorder="1" applyAlignment="1">
      <alignment horizontal="right"/>
    </xf>
    <xf numFmtId="164" fontId="10" fillId="5" borderId="2" xfId="0" applyNumberFormat="1" applyFont="1" applyFill="1" applyBorder="1"/>
    <xf numFmtId="0" fontId="12" fillId="5" borderId="9" xfId="3" applyFont="1" applyFill="1" applyBorder="1" applyAlignment="1">
      <alignment horizontal="center"/>
    </xf>
    <xf numFmtId="164" fontId="10" fillId="5" borderId="0" xfId="0" applyNumberFormat="1" applyFont="1" applyFill="1" applyBorder="1" applyAlignment="1">
      <alignment horizontal="right"/>
    </xf>
    <xf numFmtId="164" fontId="10" fillId="5" borderId="10" xfId="0" applyNumberFormat="1" applyFont="1" applyFill="1" applyBorder="1" applyAlignment="1">
      <alignment horizontal="right"/>
    </xf>
    <xf numFmtId="164" fontId="10" fillId="5" borderId="9" xfId="0" applyNumberFormat="1" applyFont="1" applyFill="1" applyBorder="1"/>
    <xf numFmtId="0" fontId="12" fillId="5" borderId="6" xfId="3" applyFont="1" applyFill="1" applyBorder="1" applyAlignment="1">
      <alignment horizontal="center"/>
    </xf>
    <xf numFmtId="164" fontId="10" fillId="5" borderId="11" xfId="0" applyNumberFormat="1" applyFont="1" applyFill="1" applyBorder="1" applyAlignment="1">
      <alignment horizontal="right"/>
    </xf>
    <xf numFmtId="164" fontId="10" fillId="5" borderId="12" xfId="0" applyNumberFormat="1" applyFont="1" applyFill="1" applyBorder="1" applyAlignment="1">
      <alignment horizontal="right"/>
    </xf>
    <xf numFmtId="164" fontId="10" fillId="5" borderId="6" xfId="0" applyNumberFormat="1" applyFont="1" applyFill="1" applyBorder="1"/>
    <xf numFmtId="0" fontId="13" fillId="7" borderId="0" xfId="4" applyAlignment="1">
      <alignment vertical="center"/>
    </xf>
    <xf numFmtId="167" fontId="0" fillId="0" borderId="1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0" xfId="1" applyNumberFormat="1" applyFont="1" applyAlignment="1">
      <alignment vertical="center"/>
    </xf>
    <xf numFmtId="0" fontId="0" fillId="0" borderId="0" xfId="0" quotePrefix="1" applyFont="1" applyAlignment="1">
      <alignment vertical="center"/>
    </xf>
    <xf numFmtId="0" fontId="0" fillId="8" borderId="1" xfId="0" applyFont="1" applyFill="1" applyBorder="1" applyAlignment="1">
      <alignment horizontal="center" vertical="center"/>
    </xf>
    <xf numFmtId="164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/>
    <xf numFmtId="1" fontId="0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9" fontId="0" fillId="8" borderId="1" xfId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0" borderId="0" xfId="2" applyFont="1" applyFill="1" applyAlignment="1">
      <alignment vertical="center"/>
    </xf>
    <xf numFmtId="1" fontId="0" fillId="0" borderId="0" xfId="0" applyNumberFormat="1"/>
    <xf numFmtId="9" fontId="0" fillId="0" borderId="0" xfId="0" applyNumberFormat="1"/>
    <xf numFmtId="10" fontId="0" fillId="8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 vertical="center"/>
    </xf>
    <xf numFmtId="9" fontId="0" fillId="0" borderId="0" xfId="1" applyFont="1"/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/>
    <xf numFmtId="9" fontId="0" fillId="0" borderId="0" xfId="1" applyFont="1" applyBorder="1" applyAlignment="1">
      <alignment horizontal="center" vertical="center"/>
    </xf>
    <xf numFmtId="165" fontId="16" fillId="3" borderId="1" xfId="0" applyNumberFormat="1" applyFont="1" applyFill="1" applyBorder="1" applyAlignment="1">
      <alignment horizontal="right" vertical="center"/>
    </xf>
    <xf numFmtId="0" fontId="12" fillId="5" borderId="2" xfId="3" applyFont="1" applyFill="1" applyBorder="1" applyAlignment="1">
      <alignment horizontal="center" vertical="center"/>
    </xf>
    <xf numFmtId="164" fontId="10" fillId="5" borderId="7" xfId="0" applyNumberFormat="1" applyFont="1" applyFill="1" applyBorder="1" applyAlignment="1">
      <alignment horizontal="right" vertical="center"/>
    </xf>
    <xf numFmtId="164" fontId="10" fillId="5" borderId="8" xfId="0" applyNumberFormat="1" applyFont="1" applyFill="1" applyBorder="1" applyAlignment="1">
      <alignment horizontal="right" vertical="center"/>
    </xf>
    <xf numFmtId="164" fontId="10" fillId="5" borderId="2" xfId="0" applyNumberFormat="1" applyFont="1" applyFill="1" applyBorder="1" applyAlignment="1">
      <alignment vertical="center"/>
    </xf>
    <xf numFmtId="0" fontId="12" fillId="5" borderId="9" xfId="3" applyFont="1" applyFill="1" applyBorder="1" applyAlignment="1">
      <alignment horizontal="center" vertical="center"/>
    </xf>
    <xf numFmtId="164" fontId="10" fillId="5" borderId="0" xfId="0" applyNumberFormat="1" applyFont="1" applyFill="1" applyBorder="1" applyAlignment="1">
      <alignment horizontal="right" vertical="center"/>
    </xf>
    <xf numFmtId="164" fontId="10" fillId="5" borderId="10" xfId="0" applyNumberFormat="1" applyFont="1" applyFill="1" applyBorder="1" applyAlignment="1">
      <alignment horizontal="right" vertical="center"/>
    </xf>
    <xf numFmtId="164" fontId="10" fillId="5" borderId="9" xfId="0" applyNumberFormat="1" applyFont="1" applyFill="1" applyBorder="1" applyAlignment="1">
      <alignment vertical="center"/>
    </xf>
    <xf numFmtId="0" fontId="12" fillId="5" borderId="6" xfId="3" applyFont="1" applyFill="1" applyBorder="1" applyAlignment="1">
      <alignment horizontal="center" vertical="center"/>
    </xf>
    <xf numFmtId="164" fontId="10" fillId="5" borderId="11" xfId="0" applyNumberFormat="1" applyFont="1" applyFill="1" applyBorder="1" applyAlignment="1">
      <alignment horizontal="right" vertical="center"/>
    </xf>
    <xf numFmtId="164" fontId="10" fillId="5" borderId="12" xfId="0" applyNumberFormat="1" applyFont="1" applyFill="1" applyBorder="1" applyAlignment="1">
      <alignment horizontal="right" vertical="center"/>
    </xf>
    <xf numFmtId="164" fontId="10" fillId="5" borderId="6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8" fillId="0" borderId="21" xfId="0" applyFont="1" applyFill="1" applyBorder="1" applyAlignment="1">
      <alignment horizontal="left" vertical="center"/>
    </xf>
    <xf numFmtId="164" fontId="20" fillId="0" borderId="22" xfId="5" applyNumberFormat="1" applyFont="1" applyFill="1" applyBorder="1" applyAlignment="1">
      <alignment horizontal="right"/>
    </xf>
    <xf numFmtId="164" fontId="20" fillId="0" borderId="23" xfId="5" applyNumberFormat="1" applyFont="1" applyFill="1" applyBorder="1" applyAlignment="1">
      <alignment horizontal="right"/>
    </xf>
    <xf numFmtId="164" fontId="20" fillId="0" borderId="24" xfId="5" applyNumberFormat="1" applyFont="1" applyFill="1" applyBorder="1" applyAlignment="1">
      <alignment horizontal="right"/>
    </xf>
    <xf numFmtId="0" fontId="21" fillId="0" borderId="25" xfId="0" applyFont="1" applyFill="1" applyBorder="1" applyAlignment="1">
      <alignment vertical="center" wrapText="1"/>
    </xf>
    <xf numFmtId="164" fontId="20" fillId="0" borderId="26" xfId="5" applyNumberFormat="1" applyFont="1" applyFill="1" applyBorder="1" applyAlignment="1">
      <alignment horizontal="right"/>
    </xf>
    <xf numFmtId="164" fontId="20" fillId="0" borderId="27" xfId="5" applyNumberFormat="1" applyFont="1" applyFill="1" applyBorder="1" applyAlignment="1">
      <alignment horizontal="right"/>
    </xf>
    <xf numFmtId="164" fontId="20" fillId="0" borderId="28" xfId="5" applyNumberFormat="1" applyFont="1" applyFill="1" applyBorder="1" applyAlignment="1">
      <alignment horizontal="right"/>
    </xf>
    <xf numFmtId="0" fontId="18" fillId="0" borderId="29" xfId="0" applyFont="1" applyFill="1" applyBorder="1" applyAlignment="1">
      <alignment horizontal="left" vertical="center"/>
    </xf>
    <xf numFmtId="164" fontId="20" fillId="0" borderId="30" xfId="6" applyNumberFormat="1" applyFont="1" applyFill="1" applyBorder="1" applyAlignment="1">
      <alignment horizontal="right"/>
    </xf>
    <xf numFmtId="164" fontId="20" fillId="0" borderId="31" xfId="6" applyNumberFormat="1" applyFont="1" applyFill="1" applyBorder="1" applyAlignment="1">
      <alignment horizontal="right"/>
    </xf>
    <xf numFmtId="164" fontId="20" fillId="0" borderId="31" xfId="6" applyNumberFormat="1" applyFont="1" applyFill="1" applyBorder="1" applyAlignment="1">
      <alignment horizontal="right" wrapText="1"/>
    </xf>
    <xf numFmtId="164" fontId="20" fillId="0" borderId="32" xfId="6" applyNumberFormat="1" applyFont="1" applyFill="1" applyBorder="1" applyAlignment="1">
      <alignment horizontal="right" wrapText="1"/>
    </xf>
    <xf numFmtId="0" fontId="21" fillId="0" borderId="0" xfId="0" applyFont="1" applyBorder="1" applyAlignment="1">
      <alignment horizontal="left" vertical="center"/>
    </xf>
    <xf numFmtId="164" fontId="23" fillId="0" borderId="0" xfId="7" applyNumberFormat="1" applyFont="1" applyFill="1" applyBorder="1" applyAlignment="1">
      <alignment horizontal="center" wrapText="1"/>
    </xf>
    <xf numFmtId="0" fontId="0" fillId="0" borderId="0" xfId="0" applyAlignment="1"/>
    <xf numFmtId="0" fontId="24" fillId="0" borderId="0" xfId="0" applyFont="1" applyFill="1" applyBorder="1" applyAlignment="1">
      <alignment horizontal="left"/>
    </xf>
    <xf numFmtId="0" fontId="26" fillId="0" borderId="0" xfId="8" applyFont="1"/>
    <xf numFmtId="0" fontId="28" fillId="0" borderId="34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1" fontId="28" fillId="0" borderId="34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65" fontId="6" fillId="0" borderId="1" xfId="0" applyNumberFormat="1" applyFont="1" applyBorder="1" applyAlignment="1">
      <alignment horizontal="right" vertical="center"/>
    </xf>
    <xf numFmtId="165" fontId="29" fillId="0" borderId="1" xfId="0" applyNumberFormat="1" applyFont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right" vertical="center"/>
    </xf>
    <xf numFmtId="165" fontId="29" fillId="3" borderId="1" xfId="0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33" fillId="0" borderId="0" xfId="10" applyNumberFormat="1" applyFont="1" applyFill="1" applyBorder="1" applyAlignment="1">
      <alignment horizontal="left" wrapText="1"/>
    </xf>
    <xf numFmtId="4" fontId="0" fillId="0" borderId="0" xfId="0" applyNumberFormat="1"/>
    <xf numFmtId="0" fontId="34" fillId="0" borderId="0" xfId="0" applyFont="1" applyFill="1" applyBorder="1" applyAlignment="1">
      <alignment horizontal="right" vertical="center"/>
    </xf>
    <xf numFmtId="0" fontId="35" fillId="0" borderId="4" xfId="0" applyFont="1" applyFill="1" applyBorder="1" applyAlignment="1">
      <alignment vertical="center"/>
    </xf>
    <xf numFmtId="0" fontId="36" fillId="0" borderId="4" xfId="0" applyFont="1" applyFill="1" applyBorder="1" applyAlignment="1">
      <alignment horizontal="right" wrapText="1"/>
    </xf>
    <xf numFmtId="0" fontId="37" fillId="0" borderId="4" xfId="0" applyFont="1" applyFill="1" applyBorder="1" applyAlignment="1">
      <alignment horizontal="right" wrapText="1"/>
    </xf>
    <xf numFmtId="0" fontId="38" fillId="0" borderId="0" xfId="0" applyFont="1" applyBorder="1"/>
    <xf numFmtId="164" fontId="8" fillId="0" borderId="0" xfId="0" applyNumberFormat="1" applyFont="1" applyFill="1" applyBorder="1" applyAlignment="1">
      <alignment horizontal="right" wrapText="1"/>
    </xf>
    <xf numFmtId="0" fontId="39" fillId="0" borderId="0" xfId="9" applyFont="1" applyFill="1" applyBorder="1" applyAlignment="1">
      <alignment vertical="center"/>
    </xf>
    <xf numFmtId="164" fontId="0" fillId="0" borderId="0" xfId="0" applyNumberFormat="1" applyFill="1" applyAlignment="1">
      <alignment horizontal="right"/>
    </xf>
    <xf numFmtId="0" fontId="39" fillId="0" borderId="0" xfId="9" applyFont="1" applyFill="1" applyBorder="1" applyAlignment="1">
      <alignment horizontal="left" vertical="center" indent="4"/>
    </xf>
    <xf numFmtId="0" fontId="39" fillId="0" borderId="0" xfId="9" applyFont="1" applyFill="1" applyBorder="1" applyAlignment="1">
      <alignment horizontal="left" vertical="center" indent="6"/>
    </xf>
    <xf numFmtId="0" fontId="37" fillId="0" borderId="0" xfId="9" applyFont="1" applyFill="1" applyBorder="1" applyAlignment="1">
      <alignment horizontal="left" vertical="center" wrapText="1"/>
    </xf>
    <xf numFmtId="164" fontId="33" fillId="0" borderId="0" xfId="9" applyNumberFormat="1" applyFont="1" applyFill="1" applyBorder="1"/>
    <xf numFmtId="0" fontId="37" fillId="0" borderId="0" xfId="9" applyFont="1" applyFill="1" applyBorder="1" applyAlignment="1">
      <alignment vertical="center"/>
    </xf>
    <xf numFmtId="0" fontId="37" fillId="0" borderId="39" xfId="9" applyFont="1" applyFill="1" applyBorder="1" applyAlignment="1">
      <alignment vertical="center"/>
    </xf>
    <xf numFmtId="164" fontId="33" fillId="0" borderId="39" xfId="9" applyNumberFormat="1" applyFont="1" applyFill="1" applyBorder="1"/>
    <xf numFmtId="0" fontId="38" fillId="0" borderId="0" xfId="0" applyFont="1"/>
    <xf numFmtId="0" fontId="0" fillId="0" borderId="0" xfId="0" applyFill="1"/>
    <xf numFmtId="0" fontId="38" fillId="0" borderId="0" xfId="0" applyFont="1" applyFill="1" applyBorder="1"/>
    <xf numFmtId="164" fontId="32" fillId="0" borderId="0" xfId="11" applyNumberFormat="1" applyFont="1" applyFill="1" applyBorder="1" applyAlignment="1">
      <alignment horizontal="right" wrapText="1"/>
    </xf>
    <xf numFmtId="164" fontId="40" fillId="0" borderId="0" xfId="11" applyNumberFormat="1" applyFont="1" applyFill="1" applyBorder="1" applyAlignment="1">
      <alignment horizontal="right" wrapText="1"/>
    </xf>
    <xf numFmtId="164" fontId="33" fillId="0" borderId="39" xfId="12" applyNumberFormat="1" applyFont="1" applyFill="1" applyBorder="1"/>
    <xf numFmtId="164" fontId="40" fillId="0" borderId="39" xfId="1" applyNumberFormat="1" applyFont="1" applyFill="1" applyBorder="1" applyAlignment="1">
      <alignment horizontal="right" wrapText="1"/>
    </xf>
    <xf numFmtId="0" fontId="38" fillId="0" borderId="0" xfId="0" applyFont="1" applyFill="1"/>
    <xf numFmtId="168" fontId="0" fillId="0" borderId="0" xfId="1" applyNumberFormat="1" applyFont="1"/>
    <xf numFmtId="164" fontId="0" fillId="0" borderId="0" xfId="1" applyNumberFormat="1" applyFont="1"/>
    <xf numFmtId="2" fontId="3" fillId="0" borderId="0" xfId="0" applyNumberFormat="1" applyFont="1"/>
    <xf numFmtId="0" fontId="41" fillId="0" borderId="0" xfId="0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31" fillId="0" borderId="0" xfId="9" applyFont="1" applyBorder="1" applyAlignment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27" fillId="0" borderId="33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7" fillId="0" borderId="35" xfId="0" applyFont="1" applyFill="1" applyBorder="1" applyAlignment="1">
      <alignment horizontal="left" vertical="center" wrapText="1"/>
    </xf>
    <xf numFmtId="0" fontId="28" fillId="5" borderId="37" xfId="0" applyFont="1" applyFill="1" applyBorder="1" applyAlignment="1">
      <alignment horizontal="left" vertical="center" wrapText="1"/>
    </xf>
    <xf numFmtId="0" fontId="28" fillId="5" borderId="3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3">
    <cellStyle name="Bad" xfId="4" builtinId="27"/>
    <cellStyle name="Normal" xfId="0" builtinId="0"/>
    <cellStyle name="Normal 2" xfId="3"/>
    <cellStyle name="Normal 3" xfId="8"/>
    <cellStyle name="Normal_Ec-stat_AGE" xfId="10"/>
    <cellStyle name="Normal_Mosaxleoba na 1.1 raionebis mixedvit" xfId="2"/>
    <cellStyle name="Normal_Sheet1" xfId="7"/>
    <cellStyle name="Normal_Sheet2" xfId="5"/>
    <cellStyle name="Normal_Sheet3" xfId="6"/>
    <cellStyle name="Normal_Sheet5" xfId="11"/>
    <cellStyle name="Percent" xfId="1" builtinId="5"/>
    <cellStyle name="Style 1" xfId="9"/>
    <cellStyle name="Style 1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Q159"/>
  <sheetViews>
    <sheetView tabSelected="1" zoomScale="120" zoomScaleNormal="120" workbookViewId="0">
      <selection activeCell="F17" sqref="F17"/>
    </sheetView>
  </sheetViews>
  <sheetFormatPr defaultColWidth="8.88671875" defaultRowHeight="14.4"/>
  <cols>
    <col min="1" max="1" width="61.109375" style="1" bestFit="1" customWidth="1"/>
    <col min="2" max="2" width="24.33203125" style="1" bestFit="1" customWidth="1"/>
    <col min="3" max="3" width="17.6640625" style="1" bestFit="1" customWidth="1"/>
    <col min="4" max="4" width="16.44140625" style="1" customWidth="1"/>
    <col min="5" max="5" width="14.88671875" style="1" customWidth="1"/>
    <col min="6" max="6" width="16.6640625" style="1" bestFit="1" customWidth="1"/>
    <col min="7" max="7" width="18" style="1" customWidth="1"/>
    <col min="8" max="8" width="12.33203125" style="1" customWidth="1"/>
    <col min="9" max="14" width="18.109375" style="1" customWidth="1"/>
    <col min="15" max="15" width="14.88671875" style="1" customWidth="1"/>
    <col min="16" max="16" width="16.6640625" style="1" bestFit="1" customWidth="1"/>
    <col min="17" max="17" width="18.44140625" style="1" bestFit="1" customWidth="1"/>
    <col min="18" max="16384" width="8.88671875" style="1"/>
  </cols>
  <sheetData>
    <row r="2" spans="1:17" ht="18">
      <c r="A2" s="150" t="s">
        <v>0</v>
      </c>
      <c r="B2" s="150"/>
      <c r="C2" s="150"/>
      <c r="D2" s="150"/>
      <c r="E2" s="150"/>
      <c r="F2" s="150"/>
      <c r="G2" s="150"/>
    </row>
    <row r="3" spans="1:17" ht="15" customHeight="1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17" ht="15" customHeight="1">
      <c r="A4" s="3" t="s">
        <v>7</v>
      </c>
      <c r="B4" s="4">
        <v>183</v>
      </c>
      <c r="C4" s="4">
        <v>93</v>
      </c>
      <c r="D4" s="4">
        <v>0</v>
      </c>
      <c r="E4" s="5">
        <v>1</v>
      </c>
      <c r="F4" s="4">
        <v>0</v>
      </c>
      <c r="G4" s="116">
        <v>9.9999999999999997E+98</v>
      </c>
    </row>
    <row r="5" spans="1:17" ht="15" customHeight="1">
      <c r="A5" s="3" t="s">
        <v>8</v>
      </c>
      <c r="B5" s="4">
        <v>547</v>
      </c>
      <c r="C5" s="4">
        <v>90</v>
      </c>
      <c r="D5" s="4">
        <v>0</v>
      </c>
      <c r="E5" s="5">
        <v>1</v>
      </c>
      <c r="F5" s="4">
        <v>0</v>
      </c>
      <c r="G5" s="116">
        <v>9.9999999999999997E+98</v>
      </c>
    </row>
    <row r="6" spans="1:17" ht="15" customHeight="1">
      <c r="A6" s="3" t="s">
        <v>9</v>
      </c>
      <c r="B6" s="6">
        <f>SUM(B4:B5)</f>
        <v>730</v>
      </c>
      <c r="C6" s="6">
        <f>SUM(C4:C5)</f>
        <v>183</v>
      </c>
      <c r="D6" s="4"/>
      <c r="E6" s="4"/>
      <c r="F6" s="4"/>
      <c r="G6" s="4"/>
    </row>
    <row r="7" spans="1:17" ht="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M7" s="8"/>
      <c r="N7" s="7"/>
      <c r="O7" s="7"/>
      <c r="P7" s="7"/>
      <c r="Q7" s="7"/>
    </row>
    <row r="8" spans="1:17" ht="15" customHeight="1">
      <c r="A8" s="150" t="s">
        <v>10</v>
      </c>
      <c r="B8" s="150"/>
      <c r="C8" s="150"/>
      <c r="D8" s="150"/>
      <c r="E8" s="150"/>
      <c r="F8" s="150"/>
      <c r="G8" s="150"/>
      <c r="H8" s="7"/>
      <c r="I8" s="7"/>
      <c r="J8" s="7"/>
      <c r="K8" s="7"/>
      <c r="L8" s="8"/>
      <c r="M8" s="8"/>
      <c r="N8" s="7"/>
      <c r="O8" s="7"/>
      <c r="P8" s="7"/>
      <c r="Q8" s="7"/>
    </row>
    <row r="9" spans="1:17" ht="15" customHeight="1">
      <c r="A9" s="2"/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7"/>
      <c r="I9" s="7"/>
      <c r="J9" s="7"/>
      <c r="K9" s="7"/>
      <c r="L9" s="8"/>
      <c r="M9" s="8"/>
      <c r="N9" s="7"/>
      <c r="O9" s="7"/>
      <c r="P9" s="7"/>
      <c r="Q9" s="7"/>
    </row>
    <row r="10" spans="1:17" ht="15" customHeight="1">
      <c r="A10" s="3" t="s">
        <v>7</v>
      </c>
      <c r="B10" s="50">
        <v>126</v>
      </c>
      <c r="C10" s="50">
        <v>126</v>
      </c>
      <c r="D10" s="4">
        <v>0</v>
      </c>
      <c r="E10" s="56">
        <v>1</v>
      </c>
      <c r="F10" s="9">
        <v>0</v>
      </c>
      <c r="G10" s="9">
        <v>9.9999999999999997E+98</v>
      </c>
      <c r="H10" s="7"/>
      <c r="I10" s="7"/>
      <c r="J10" s="7"/>
      <c r="K10" s="7"/>
      <c r="L10" s="8"/>
      <c r="M10" s="8"/>
      <c r="N10" s="7"/>
      <c r="O10" s="7"/>
      <c r="P10" s="7"/>
      <c r="Q10" s="7"/>
    </row>
    <row r="11" spans="1:17" ht="15" customHeight="1">
      <c r="A11" s="3" t="s">
        <v>161</v>
      </c>
      <c r="B11" s="50">
        <v>14</v>
      </c>
      <c r="C11" s="50">
        <v>14</v>
      </c>
      <c r="D11" s="4">
        <v>0</v>
      </c>
      <c r="E11" s="56">
        <v>1</v>
      </c>
      <c r="F11" s="9">
        <v>0</v>
      </c>
      <c r="G11" s="9">
        <v>9.9999999999999997E+98</v>
      </c>
      <c r="H11" s="7"/>
      <c r="I11" s="7"/>
      <c r="J11" s="7"/>
      <c r="K11" s="7"/>
      <c r="L11" s="8"/>
      <c r="M11" s="8"/>
      <c r="N11" s="7"/>
      <c r="O11" s="7"/>
      <c r="P11" s="7"/>
      <c r="Q11" s="7"/>
    </row>
    <row r="12" spans="1:17" ht="15" customHeight="1">
      <c r="A12" s="3" t="s">
        <v>8</v>
      </c>
      <c r="B12" s="47">
        <f>SUM(B13:B14)</f>
        <v>593</v>
      </c>
      <c r="C12" s="47">
        <f>SUM(C13:C14)</f>
        <v>90</v>
      </c>
      <c r="D12" s="5" t="s">
        <v>11</v>
      </c>
      <c r="E12" s="5" t="s">
        <v>11</v>
      </c>
      <c r="F12" s="5" t="s">
        <v>11</v>
      </c>
      <c r="G12" s="5" t="s">
        <v>11</v>
      </c>
      <c r="H12" s="7"/>
      <c r="I12" s="7"/>
      <c r="J12" s="7"/>
      <c r="K12" s="7"/>
      <c r="L12" s="8"/>
      <c r="M12" s="8"/>
      <c r="N12" s="7"/>
      <c r="O12" s="7"/>
      <c r="P12" s="7"/>
      <c r="Q12" s="7"/>
    </row>
    <row r="13" spans="1:17" ht="15" customHeight="1">
      <c r="A13" s="10" t="s">
        <v>12</v>
      </c>
      <c r="B13" s="50">
        <v>563</v>
      </c>
      <c r="C13" s="50">
        <v>60</v>
      </c>
      <c r="D13" s="4">
        <v>0</v>
      </c>
      <c r="E13" s="56">
        <v>1</v>
      </c>
      <c r="F13" s="9">
        <v>0</v>
      </c>
      <c r="G13" s="9">
        <v>9.9999999999999997E+98</v>
      </c>
      <c r="H13" s="7"/>
      <c r="I13" s="7"/>
      <c r="J13" s="7"/>
      <c r="K13" s="7"/>
      <c r="L13" s="8"/>
      <c r="M13" s="8"/>
      <c r="N13" s="7"/>
      <c r="O13" s="7"/>
      <c r="P13" s="7"/>
      <c r="Q13" s="7"/>
    </row>
    <row r="14" spans="1:17" ht="15" customHeight="1">
      <c r="A14" s="10" t="s">
        <v>13</v>
      </c>
      <c r="B14" s="50">
        <v>30</v>
      </c>
      <c r="C14" s="50">
        <v>30</v>
      </c>
      <c r="D14" s="4">
        <v>0</v>
      </c>
      <c r="E14" s="56">
        <v>1</v>
      </c>
      <c r="F14" s="9">
        <v>0</v>
      </c>
      <c r="G14" s="9">
        <v>9.9999999999999997E+98</v>
      </c>
      <c r="H14" s="7"/>
      <c r="I14" s="7"/>
      <c r="J14" s="7"/>
      <c r="K14" s="7"/>
      <c r="L14" s="8"/>
      <c r="M14" s="8"/>
      <c r="N14" s="7"/>
      <c r="O14" s="7"/>
      <c r="P14" s="7"/>
      <c r="Q14" s="7"/>
    </row>
    <row r="15" spans="1:17" ht="15" customHeight="1">
      <c r="A15" s="3" t="s">
        <v>14</v>
      </c>
      <c r="B15" s="6">
        <f>SUM(B10:B12)</f>
        <v>733</v>
      </c>
      <c r="C15" s="6">
        <f>SUM(C10:C12)</f>
        <v>230</v>
      </c>
      <c r="D15" s="4"/>
      <c r="E15" s="4"/>
      <c r="F15" s="4"/>
      <c r="G15" s="4"/>
      <c r="H15" s="7"/>
      <c r="I15" s="7"/>
      <c r="J15" s="7"/>
      <c r="K15" s="7"/>
      <c r="L15" s="8"/>
      <c r="M15" s="8"/>
      <c r="N15" s="7"/>
      <c r="O15" s="7"/>
      <c r="P15" s="7"/>
      <c r="Q15" s="7"/>
    </row>
    <row r="16" spans="1:17" ht="15" customHeight="1">
      <c r="A16" s="7"/>
      <c r="B16" s="8"/>
      <c r="C16" s="8"/>
      <c r="D16" s="7"/>
      <c r="E16" s="7"/>
      <c r="F16" s="7"/>
      <c r="G16" s="7"/>
      <c r="L16" s="8"/>
      <c r="M16" s="8"/>
      <c r="N16" s="7"/>
      <c r="O16" s="7"/>
      <c r="P16" s="7"/>
      <c r="Q16" s="7"/>
    </row>
    <row r="17" spans="1:8" ht="18">
      <c r="A17" s="150" t="s">
        <v>15</v>
      </c>
      <c r="B17" s="150"/>
      <c r="C17" s="150"/>
      <c r="D17" s="150"/>
    </row>
    <row r="18" spans="1:8">
      <c r="A18" s="2"/>
      <c r="B18" s="11" t="s">
        <v>16</v>
      </c>
      <c r="C18" s="11" t="s">
        <v>17</v>
      </c>
      <c r="D18" s="11" t="s">
        <v>14</v>
      </c>
    </row>
    <row r="19" spans="1:8">
      <c r="A19" s="2" t="s">
        <v>18</v>
      </c>
      <c r="B19" s="12">
        <f>Data!J26</f>
        <v>188.30424785609299</v>
      </c>
      <c r="C19" s="12">
        <f>Data!K26</f>
        <v>180.28197709715499</v>
      </c>
      <c r="D19" s="4"/>
      <c r="E19" s="149" t="s">
        <v>125</v>
      </c>
      <c r="H19" s="13"/>
    </row>
    <row r="20" spans="1:8">
      <c r="A20" s="2" t="s">
        <v>19</v>
      </c>
      <c r="B20" s="14">
        <f>Data!J34</f>
        <v>700.88975462216217</v>
      </c>
      <c r="C20" s="14">
        <f>Data!K34</f>
        <v>1028.711545447595</v>
      </c>
      <c r="D20" s="4"/>
      <c r="E20" s="149" t="s">
        <v>125</v>
      </c>
      <c r="H20" s="13"/>
    </row>
    <row r="21" spans="1:8">
      <c r="A21" s="2" t="s">
        <v>20</v>
      </c>
      <c r="B21" s="15">
        <f>B20*12/52/7</f>
        <v>23.106255646884467</v>
      </c>
      <c r="C21" s="14">
        <f>C20*12/52/7</f>
        <v>33.913567432338297</v>
      </c>
      <c r="D21" s="4"/>
      <c r="E21" s="149" t="s">
        <v>128</v>
      </c>
      <c r="H21" s="13"/>
    </row>
    <row r="22" spans="1:8">
      <c r="A22" s="2" t="s">
        <v>21</v>
      </c>
      <c r="B22" s="16">
        <v>1</v>
      </c>
      <c r="C22" s="16">
        <f>1/C27</f>
        <v>1.2873009716183866E-4</v>
      </c>
      <c r="D22" s="4"/>
      <c r="E22" s="149" t="s">
        <v>151</v>
      </c>
      <c r="H22" s="13"/>
    </row>
    <row r="23" spans="1:8">
      <c r="A23" s="2" t="s">
        <v>22</v>
      </c>
      <c r="B23" s="16">
        <v>1</v>
      </c>
      <c r="C23" s="16">
        <f>B23</f>
        <v>1</v>
      </c>
      <c r="D23" s="4"/>
      <c r="E23" s="149" t="s">
        <v>23</v>
      </c>
      <c r="H23" s="13"/>
    </row>
    <row r="24" spans="1:8">
      <c r="A24" s="2" t="s">
        <v>24</v>
      </c>
      <c r="B24" s="16">
        <v>0.31</v>
      </c>
      <c r="C24" s="16">
        <v>0</v>
      </c>
      <c r="D24" s="4"/>
      <c r="E24" s="149" t="s">
        <v>71</v>
      </c>
      <c r="H24" s="13"/>
    </row>
    <row r="25" spans="1:8">
      <c r="A25" s="2" t="s">
        <v>25</v>
      </c>
      <c r="B25" s="17">
        <v>0.5</v>
      </c>
      <c r="C25" s="17">
        <f>B25</f>
        <v>0.5</v>
      </c>
      <c r="D25" s="4"/>
      <c r="E25" s="149" t="s">
        <v>26</v>
      </c>
    </row>
    <row r="26" spans="1:8">
      <c r="A26" s="2" t="s">
        <v>27</v>
      </c>
      <c r="B26" s="12">
        <f>Data!B52</f>
        <v>43.089116634626841</v>
      </c>
      <c r="C26" s="12">
        <f>B26</f>
        <v>43.089116634626841</v>
      </c>
      <c r="D26" s="4"/>
      <c r="E26" s="149" t="s">
        <v>152</v>
      </c>
      <c r="H26" s="13"/>
    </row>
    <row r="27" spans="1:8">
      <c r="A27" s="2" t="s">
        <v>28</v>
      </c>
      <c r="B27" s="18">
        <f>B26*B19</f>
        <v>8113.8636986668716</v>
      </c>
      <c r="C27" s="18">
        <f>C19*C26</f>
        <v>7768.1911382604367</v>
      </c>
      <c r="D27" s="4"/>
      <c r="E27" s="149" t="s">
        <v>153</v>
      </c>
      <c r="H27" s="13"/>
    </row>
    <row r="28" spans="1:8">
      <c r="A28" s="2" t="s">
        <v>30</v>
      </c>
      <c r="B28" s="19">
        <v>0.3</v>
      </c>
      <c r="C28" s="19">
        <v>0.3</v>
      </c>
      <c r="D28" s="4"/>
      <c r="E28" s="149" t="s">
        <v>31</v>
      </c>
      <c r="H28" s="13"/>
    </row>
    <row r="29" spans="1:8">
      <c r="A29" s="2" t="s">
        <v>32</v>
      </c>
      <c r="B29" s="15">
        <f>B21*(1-B28)</f>
        <v>16.174378952819126</v>
      </c>
      <c r="C29" s="15">
        <f>C21*(1-C28)</f>
        <v>23.739497202636805</v>
      </c>
      <c r="D29" s="4"/>
      <c r="E29" s="149"/>
      <c r="H29" s="13"/>
    </row>
    <row r="30" spans="1:8">
      <c r="A30" s="20" t="s">
        <v>33</v>
      </c>
      <c r="B30" s="112">
        <f>B27*B22*B29*C6*B23+B27*B24*B29*(B6-C6)*B25</f>
        <v>35143221.378807582</v>
      </c>
      <c r="C30" s="112">
        <f>C27*C22*C29*C5*C23+C27*C24*C29*(B5-C5)*C25</f>
        <v>2136.5547482373127</v>
      </c>
      <c r="D30" s="112">
        <f t="shared" ref="D30:D35" si="0">B30+C30</f>
        <v>35145357.933555819</v>
      </c>
      <c r="E30" s="149"/>
      <c r="H30" s="13"/>
    </row>
    <row r="31" spans="1:8">
      <c r="A31" s="20" t="s">
        <v>34</v>
      </c>
      <c r="B31" s="112">
        <f>B27*B22*B21*C6*B23*0.25+B27*B24*B21*(B6-C6)*B25*0.25</f>
        <v>12551150.492431279</v>
      </c>
      <c r="C31" s="112">
        <f>C27*C22*B21*C5*C23*0.25+C27*C24*B21*(B5-C5)*C25*0.25</f>
        <v>519.89075205490053</v>
      </c>
      <c r="D31" s="112">
        <f t="shared" si="0"/>
        <v>12551670.383183334</v>
      </c>
      <c r="E31" s="149" t="s">
        <v>35</v>
      </c>
      <c r="H31" s="13"/>
    </row>
    <row r="32" spans="1:8">
      <c r="A32" s="111" t="s">
        <v>36</v>
      </c>
      <c r="B32" s="22">
        <f>B30-B31</f>
        <v>22592070.886376303</v>
      </c>
      <c r="C32" s="22">
        <f>C30-C31</f>
        <v>1616.6639961824121</v>
      </c>
      <c r="D32" s="22">
        <f t="shared" si="0"/>
        <v>22593687.550372485</v>
      </c>
      <c r="E32" s="149"/>
    </row>
    <row r="33" spans="1:7">
      <c r="A33" s="20" t="s">
        <v>155</v>
      </c>
      <c r="B33" s="112">
        <f>(B6-C6)*B24*B25*B21*B27*0.2*(1-B28)</f>
        <v>2225380.827605878</v>
      </c>
      <c r="C33" s="112">
        <f>(B5-C5)*C24*C25*C21*C27*0.2*(1-C28)</f>
        <v>0</v>
      </c>
      <c r="D33" s="112">
        <f t="shared" si="0"/>
        <v>2225380.827605878</v>
      </c>
      <c r="E33" s="149" t="s">
        <v>154</v>
      </c>
      <c r="F33" s="146"/>
    </row>
    <row r="34" spans="1:7">
      <c r="A34" s="20" t="s">
        <v>156</v>
      </c>
      <c r="B34" s="112">
        <f>(B6-C6)*B24*B25*B21*B27*(1-B28)</f>
        <v>11126904.138029391</v>
      </c>
      <c r="C34" s="112">
        <f>(B6-C6)*C25*C26*C22*C28*(1-C28)</f>
        <v>0.31858425853100081</v>
      </c>
      <c r="D34" s="112">
        <f t="shared" si="0"/>
        <v>11126904.456613649</v>
      </c>
      <c r="E34" s="149" t="s">
        <v>154</v>
      </c>
      <c r="F34" s="146"/>
    </row>
    <row r="35" spans="1:7">
      <c r="A35" s="20" t="s">
        <v>157</v>
      </c>
      <c r="B35" s="112">
        <f>B21*B22*C6*B27*B23</f>
        <v>34309024.629683129</v>
      </c>
      <c r="C35" s="112">
        <f>C21*C22*C5*C27*C23</f>
        <v>3052.2210689104468</v>
      </c>
      <c r="D35" s="112">
        <f t="shared" si="0"/>
        <v>34312076.850752041</v>
      </c>
    </row>
    <row r="36" spans="1:7">
      <c r="A36" s="111" t="s">
        <v>158</v>
      </c>
      <c r="B36" s="22">
        <f>B33+B35-B34</f>
        <v>25407501.319259621</v>
      </c>
      <c r="C36" s="22">
        <f>C33+C35-C34</f>
        <v>3051.902484651916</v>
      </c>
      <c r="D36" s="22">
        <f>B36+C36</f>
        <v>25410553.221744273</v>
      </c>
    </row>
    <row r="38" spans="1:7" ht="18">
      <c r="A38" s="150" t="s">
        <v>37</v>
      </c>
      <c r="B38" s="150"/>
      <c r="C38" s="150"/>
      <c r="D38" s="150"/>
      <c r="E38" s="150"/>
      <c r="F38" s="150"/>
      <c r="G38" s="23" t="s">
        <v>38</v>
      </c>
    </row>
    <row r="39" spans="1:7">
      <c r="A39" s="2"/>
      <c r="B39" s="11" t="s">
        <v>39</v>
      </c>
      <c r="C39" s="11" t="s">
        <v>40</v>
      </c>
      <c r="D39" s="11" t="s">
        <v>41</v>
      </c>
      <c r="E39" s="11" t="s">
        <v>42</v>
      </c>
      <c r="F39" s="11" t="s">
        <v>14</v>
      </c>
      <c r="G39" s="11" t="s">
        <v>14</v>
      </c>
    </row>
    <row r="40" spans="1:7">
      <c r="A40" s="2" t="str">
        <f>A19</f>
        <v># employed in public sector in thousands (a)</v>
      </c>
      <c r="B40" s="12">
        <f>B19</f>
        <v>188.30424785609299</v>
      </c>
      <c r="C40" s="24"/>
      <c r="D40" s="12">
        <f>C19</f>
        <v>180.28197709715499</v>
      </c>
      <c r="E40" s="4"/>
      <c r="F40" s="4"/>
      <c r="G40" s="2"/>
    </row>
    <row r="41" spans="1:7">
      <c r="A41" s="2" t="str">
        <f>A20</f>
        <v>Average wage per month (b)</v>
      </c>
      <c r="B41" s="14">
        <f>B20</f>
        <v>700.88975462216217</v>
      </c>
      <c r="C41" s="6"/>
      <c r="D41" s="14">
        <f>C20</f>
        <v>1028.711545447595</v>
      </c>
      <c r="E41" s="4"/>
      <c r="F41" s="4"/>
      <c r="G41" s="2"/>
    </row>
    <row r="42" spans="1:7">
      <c r="A42" s="2" t="str">
        <f t="shared" ref="A42:A50" si="1">A21</f>
        <v>Average wage per day (c=b*12/52/7)</v>
      </c>
      <c r="B42" s="15">
        <f>B41*12/52/7</f>
        <v>23.106255646884467</v>
      </c>
      <c r="C42" s="6"/>
      <c r="D42" s="15">
        <f>D41*12/52/7</f>
        <v>33.913567432338297</v>
      </c>
      <c r="E42" s="4"/>
      <c r="F42" s="4"/>
      <c r="G42" s="2"/>
    </row>
    <row r="43" spans="1:7">
      <c r="A43" s="2" t="str">
        <f t="shared" si="1"/>
        <v>Paid leave take up rate (d)</v>
      </c>
      <c r="B43" s="61">
        <v>1</v>
      </c>
      <c r="C43" s="61">
        <v>1</v>
      </c>
      <c r="D43" s="61">
        <v>0.5</v>
      </c>
      <c r="E43" s="61">
        <v>0.2</v>
      </c>
      <c r="F43" s="4"/>
      <c r="G43" s="2"/>
    </row>
    <row r="44" spans="1:7">
      <c r="A44" s="2" t="str">
        <f t="shared" si="1"/>
        <v>Paid leave actual duration (e)</v>
      </c>
      <c r="B44" s="61">
        <v>1</v>
      </c>
      <c r="C44" s="61">
        <v>1</v>
      </c>
      <c r="D44" s="61">
        <v>1</v>
      </c>
      <c r="E44" s="61">
        <v>1</v>
      </c>
      <c r="F44" s="4"/>
      <c r="G44" s="2"/>
    </row>
    <row r="45" spans="1:7">
      <c r="A45" s="2" t="str">
        <f t="shared" si="1"/>
        <v>Non-paid leave take up rate (f)</v>
      </c>
      <c r="B45" s="61">
        <v>0.31</v>
      </c>
      <c r="C45" s="61">
        <v>0.31</v>
      </c>
      <c r="D45" s="61">
        <v>0.1</v>
      </c>
      <c r="E45" s="61">
        <v>0.02</v>
      </c>
      <c r="F45" s="4"/>
      <c r="G45" s="2"/>
    </row>
    <row r="46" spans="1:7">
      <c r="A46" s="2" t="str">
        <f t="shared" si="1"/>
        <v>Non-paid leave actual duration (g)</v>
      </c>
      <c r="B46" s="61">
        <v>0.5</v>
      </c>
      <c r="C46" s="61">
        <v>0.5</v>
      </c>
      <c r="D46" s="61">
        <v>1</v>
      </c>
      <c r="E46" s="61">
        <v>0.5</v>
      </c>
      <c r="F46" s="4"/>
      <c r="G46" s="2"/>
    </row>
    <row r="47" spans="1:7">
      <c r="A47" s="2" t="str">
        <f t="shared" si="1"/>
        <v>Average births per 1000 women (h)</v>
      </c>
      <c r="B47" s="12">
        <f>B26</f>
        <v>43.089116634626841</v>
      </c>
      <c r="C47" s="6"/>
      <c r="D47" s="12">
        <f>B47</f>
        <v>43.089116634626841</v>
      </c>
      <c r="E47" s="4"/>
      <c r="F47" s="4"/>
      <c r="G47" s="2"/>
    </row>
    <row r="48" spans="1:7">
      <c r="A48" s="2" t="str">
        <f t="shared" si="1"/>
        <v>Annual number of child birth (i=a*h)</v>
      </c>
      <c r="B48" s="18">
        <f>B47*B40</f>
        <v>8113.8636986668716</v>
      </c>
      <c r="C48" s="6"/>
      <c r="D48" s="18">
        <f>D40*D47</f>
        <v>7768.1911382604367</v>
      </c>
      <c r="E48" s="4"/>
      <c r="F48" s="4"/>
      <c r="G48" s="2"/>
    </row>
    <row r="49" spans="1:9">
      <c r="A49" s="2" t="str">
        <f t="shared" si="1"/>
        <v>Substitution rate (j)</v>
      </c>
      <c r="B49" s="19">
        <v>0.3</v>
      </c>
      <c r="C49" s="6"/>
      <c r="D49" s="19">
        <v>0.3</v>
      </c>
      <c r="E49" s="25"/>
      <c r="F49" s="4"/>
      <c r="G49" s="2"/>
    </row>
    <row r="50" spans="1:9">
      <c r="A50" s="2" t="str">
        <f t="shared" si="1"/>
        <v>Production losses per day of leave (k=c*(1-j))</v>
      </c>
      <c r="B50" s="15">
        <f>B42*(1-B49)</f>
        <v>16.174378952819126</v>
      </c>
      <c r="C50" s="6"/>
      <c r="D50" s="15">
        <f>D42*(1-D49)</f>
        <v>23.739497202636805</v>
      </c>
      <c r="E50" s="4"/>
      <c r="F50" s="4"/>
      <c r="G50" s="2"/>
    </row>
    <row r="51" spans="1:9">
      <c r="A51" s="20" t="s">
        <v>165</v>
      </c>
      <c r="B51" s="112">
        <f>B48*B43*B50*C10*B44+B48*B45*B50*(B10-C10)*B46</f>
        <v>16535824.985453837</v>
      </c>
      <c r="C51" s="112">
        <f>B48*C43*B50*C13*C44+B48*C45*B50*(B13-C13)*C46</f>
        <v>18106072.175540783</v>
      </c>
      <c r="D51" s="112">
        <f>D48*D43*D50*C11*D44+D48*D45*D50*(B11-C11)*D46</f>
        <v>1290890.6625739716</v>
      </c>
      <c r="E51" s="112">
        <f>D48*E43*D50*C14*E44+D48*E45*D50*(B14-C14)*E46</f>
        <v>1106477.7107776899</v>
      </c>
      <c r="F51" s="112">
        <f t="shared" ref="F51:F56" si="2">SUM(B51:E51)</f>
        <v>37039265.534346282</v>
      </c>
      <c r="G51" s="114">
        <f t="shared" ref="G51:G57" si="3">F51-D30</f>
        <v>1893907.6007904634</v>
      </c>
    </row>
    <row r="52" spans="1:9">
      <c r="A52" s="20" t="s">
        <v>166</v>
      </c>
      <c r="B52" s="112">
        <f>B48*B43*B42*C10*B44*0.25+B48*B45*B42*(B10-C10)*B46*0.25</f>
        <v>5905651.7805192275</v>
      </c>
      <c r="C52" s="112">
        <f>B48*C43*B42*C13*C44*0.25+B48*C45*B42*(B13-C13)*C46*0.25</f>
        <v>6466454.3484074222</v>
      </c>
      <c r="D52" s="112">
        <f>D48*D43*B42*C11*D44*0.25+D48*D45*B42*(B11-C11)*D46*0.25</f>
        <v>314114.16812038916</v>
      </c>
      <c r="E52" s="112">
        <f>D48*E43*B42*C14*E44*0.25+D48*E45*B42*(B14-C14)*E46*0.25</f>
        <v>269240.71553176217</v>
      </c>
      <c r="F52" s="112">
        <f t="shared" si="2"/>
        <v>12955461.012578802</v>
      </c>
      <c r="G52" s="114">
        <f t="shared" si="3"/>
        <v>403790.62939546816</v>
      </c>
    </row>
    <row r="53" spans="1:9" s="26" customFormat="1" ht="15.6">
      <c r="A53" s="111" t="s">
        <v>36</v>
      </c>
      <c r="B53" s="22">
        <f>B51-B52</f>
        <v>10630173.204934608</v>
      </c>
      <c r="C53" s="22">
        <f t="shared" ref="C53:E53" si="4">C51-C52</f>
        <v>11639617.827133361</v>
      </c>
      <c r="D53" s="22">
        <f t="shared" si="4"/>
        <v>976776.49445358245</v>
      </c>
      <c r="E53" s="22">
        <f t="shared" si="4"/>
        <v>837236.99524592771</v>
      </c>
      <c r="F53" s="22">
        <f t="shared" si="2"/>
        <v>24083804.521767478</v>
      </c>
      <c r="G53" s="71">
        <f t="shared" si="3"/>
        <v>1490116.9713949934</v>
      </c>
    </row>
    <row r="54" spans="1:9">
      <c r="A54" s="20" t="s">
        <v>162</v>
      </c>
      <c r="B54" s="112">
        <f>(B10-C10)*B45*B46*B48*B50*0.2</f>
        <v>0</v>
      </c>
      <c r="C54" s="112">
        <f>(B13-C13)*C45*C46*B50*B48*0.2</f>
        <v>2046373.960303029</v>
      </c>
      <c r="D54" s="112">
        <f>(B11-C11)*D45*D46*D50*D48*0.2</f>
        <v>0</v>
      </c>
      <c r="E54" s="112">
        <f>(B14-C14)*E45*E46*D50*D48*0.2</f>
        <v>0</v>
      </c>
      <c r="F54" s="112">
        <f>SUM(B54:E54)</f>
        <v>2046373.960303029</v>
      </c>
      <c r="G54" s="114">
        <f t="shared" si="3"/>
        <v>-179006.86730284896</v>
      </c>
    </row>
    <row r="55" spans="1:9">
      <c r="A55" s="20" t="s">
        <v>163</v>
      </c>
      <c r="B55" s="112">
        <f>(B10-C10)*B45*B46*B50*B48</f>
        <v>0</v>
      </c>
      <c r="C55" s="112">
        <f>(B13-C13)*C45*C46*B50*B48</f>
        <v>10231869.801515145</v>
      </c>
      <c r="D55" s="112">
        <f>(B11-C11)*D45*D46*D50*D48</f>
        <v>0</v>
      </c>
      <c r="E55" s="112">
        <f>(B14-C14)*E45*E46*D50*D48</f>
        <v>0</v>
      </c>
      <c r="F55" s="112">
        <f>SUM(B55:E55)</f>
        <v>10231869.801515145</v>
      </c>
      <c r="G55" s="114">
        <f t="shared" si="3"/>
        <v>-895034.65509850346</v>
      </c>
      <c r="I55" s="147"/>
    </row>
    <row r="56" spans="1:9">
      <c r="A56" s="20" t="s">
        <v>164</v>
      </c>
      <c r="B56" s="112">
        <f>B42*B43*C10*B48*B44</f>
        <v>23622607.12207691</v>
      </c>
      <c r="C56" s="112">
        <f>B42*C43*C13*B48*C44</f>
        <v>11248860.534322338</v>
      </c>
      <c r="D56" s="112">
        <f>D42*D43*C11*D48*D44</f>
        <v>1844129.5179628166</v>
      </c>
      <c r="E56" s="112">
        <f>D42*E43*C14*D48*E44</f>
        <v>1580682.4439681289</v>
      </c>
      <c r="F56" s="112">
        <f t="shared" si="2"/>
        <v>38296279.618330196</v>
      </c>
      <c r="G56" s="114">
        <f t="shared" si="3"/>
        <v>3984202.7675781548</v>
      </c>
    </row>
    <row r="57" spans="1:9" ht="15.6">
      <c r="A57" s="111" t="s">
        <v>158</v>
      </c>
      <c r="B57" s="22">
        <f>B54+B56-B55</f>
        <v>23622607.12207691</v>
      </c>
      <c r="C57" s="22">
        <f>C54+C56-C55</f>
        <v>3063364.693110222</v>
      </c>
      <c r="D57" s="22">
        <f>D54+D56-D55</f>
        <v>1844129.5179628166</v>
      </c>
      <c r="E57" s="22">
        <f>E54+E56-E55</f>
        <v>1580682.4439681289</v>
      </c>
      <c r="F57" s="22">
        <f>F54+F56-F55</f>
        <v>30110783.777118079</v>
      </c>
      <c r="G57" s="71">
        <f t="shared" si="3"/>
        <v>4700230.5553738065</v>
      </c>
    </row>
    <row r="106" spans="1:4">
      <c r="A106" s="1" t="s">
        <v>43</v>
      </c>
      <c r="B106" s="1">
        <v>824.3</v>
      </c>
    </row>
    <row r="107" spans="1:4">
      <c r="A107" s="1" t="s">
        <v>16</v>
      </c>
      <c r="B107" s="1">
        <v>398.2</v>
      </c>
      <c r="C107" s="27">
        <v>0.48307654979983017</v>
      </c>
      <c r="D107" s="1">
        <v>800</v>
      </c>
    </row>
    <row r="108" spans="1:4">
      <c r="A108" s="1" t="s">
        <v>17</v>
      </c>
      <c r="B108" s="1">
        <v>426.09999999999997</v>
      </c>
      <c r="C108" s="27">
        <v>0.51692345020016983</v>
      </c>
    </row>
    <row r="110" spans="1:4">
      <c r="A110" s="1" t="s">
        <v>44</v>
      </c>
      <c r="B110" s="28">
        <v>283.8084619960029</v>
      </c>
    </row>
    <row r="111" spans="1:4">
      <c r="A111" s="1" t="s">
        <v>45</v>
      </c>
      <c r="B111" s="28">
        <v>540.49153800399699</v>
      </c>
    </row>
    <row r="113" spans="1:4">
      <c r="A113" s="1" t="s">
        <v>46</v>
      </c>
      <c r="B113" s="28">
        <v>861.23313314379675</v>
      </c>
      <c r="D113" s="27">
        <v>0.79955363331735996</v>
      </c>
    </row>
    <row r="114" spans="1:4">
      <c r="A114" s="1" t="s">
        <v>47</v>
      </c>
      <c r="B114" s="28">
        <v>1077.1424170390267</v>
      </c>
    </row>
    <row r="116" spans="1:4">
      <c r="A116" s="1" t="s">
        <v>48</v>
      </c>
      <c r="B116" s="28">
        <v>770.20490748948373</v>
      </c>
    </row>
    <row r="117" spans="1:4">
      <c r="A117" s="1" t="s">
        <v>49</v>
      </c>
      <c r="B117" s="28">
        <v>1197.4489558919317</v>
      </c>
    </row>
    <row r="118" spans="1:4">
      <c r="B118" s="28"/>
    </row>
    <row r="119" spans="1:4">
      <c r="A119" s="1" t="s">
        <v>85</v>
      </c>
      <c r="B119" s="28">
        <v>151.25267077871237</v>
      </c>
    </row>
    <row r="120" spans="1:4">
      <c r="A120" s="57"/>
      <c r="B120" s="57"/>
    </row>
    <row r="150" spans="1:8">
      <c r="A150" s="29"/>
    </row>
    <row r="151" spans="1:8">
      <c r="C151" s="30"/>
      <c r="D151" s="30"/>
      <c r="H151" s="30"/>
    </row>
    <row r="152" spans="1:8">
      <c r="C152" s="30"/>
      <c r="D152" s="30"/>
      <c r="F152" s="28"/>
      <c r="H152" s="30"/>
    </row>
    <row r="153" spans="1:8">
      <c r="C153" s="30"/>
      <c r="D153" s="30"/>
      <c r="F153" s="28"/>
      <c r="H153" s="30"/>
    </row>
    <row r="154" spans="1:8">
      <c r="C154" s="30"/>
      <c r="D154" s="30"/>
    </row>
    <row r="155" spans="1:8">
      <c r="C155" s="30"/>
      <c r="D155" s="30"/>
    </row>
    <row r="156" spans="1:8">
      <c r="C156" s="30"/>
      <c r="D156" s="30"/>
    </row>
    <row r="157" spans="1:8">
      <c r="C157" s="30"/>
      <c r="D157" s="30"/>
    </row>
    <row r="158" spans="1:8">
      <c r="C158" s="30"/>
      <c r="D158" s="30"/>
    </row>
    <row r="159" spans="1:8">
      <c r="D159" s="30"/>
    </row>
  </sheetData>
  <mergeCells count="4">
    <mergeCell ref="A2:G2"/>
    <mergeCell ref="A8:G8"/>
    <mergeCell ref="A17:D17"/>
    <mergeCell ref="A38:F38"/>
  </mergeCells>
  <dataValidations count="2">
    <dataValidation type="list" allowBlank="1" showInputMessage="1" showErrorMessage="1" sqref="E4:E5">
      <formula1>$C$151:$C$158</formula1>
    </dataValidation>
    <dataValidation type="list" allowBlank="1" showInputMessage="1" showErrorMessage="1" promptTitle="Floor on payment" sqref="F13:F14">
      <formula1>$F$2:$F$4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Title="Floor on payment">
          <x14:formula1>
            <xm:f>Data!$H$3:$H$7</xm:f>
          </x14:formula1>
          <xm:sqref>F11</xm:sqref>
        </x14:dataValidation>
        <x14:dataValidation type="list" allowBlank="1" showInputMessage="1" showErrorMessage="1">
          <x14:formula1>
            <xm:f>Data!$J$2:$J$8</xm:f>
          </x14:formula1>
          <xm:sqref>G10:G11 G13:G14 G4:G5</xm:sqref>
        </x14:dataValidation>
        <x14:dataValidation type="list" allowBlank="1" showInputMessage="1" showErrorMessage="1">
          <x14:formula1>
            <xm:f>Data!$A$2:$A$15</xm:f>
          </x14:formula1>
          <xm:sqref>B14</xm:sqref>
        </x14:dataValidation>
        <x14:dataValidation type="list" allowBlank="1" showInputMessage="1" showErrorMessage="1" promptTitle="Floor on payment">
          <x14:formula1>
            <xm:f>Data!$H$2:$H$4</xm:f>
          </x14:formula1>
          <xm:sqref>F10</xm:sqref>
        </x14:dataValidation>
        <x14:dataValidation type="list" allowBlank="1" showInputMessage="1" showErrorMessage="1" promptTitle="Payment rate">
          <x14:formula1>
            <xm:f>Data!$F$2:$F$9</xm:f>
          </x14:formula1>
          <xm:sqref>E10:E11 E13:E14</xm:sqref>
        </x14:dataValidation>
        <x14:dataValidation type="list" allowBlank="1" showInputMessage="1" showErrorMessage="1">
          <x14:formula1>
            <xm:f>Data!$L$2:$L$25</xm:f>
          </x14:formula1>
          <xm:sqref>B43:E46</xm:sqref>
        </x14:dataValidation>
        <x14:dataValidation type="list" allowBlank="1" showInputMessage="1" showErrorMessage="1">
          <x14:formula1>
            <xm:f>Data!$Q$2:$Q$6</xm:f>
          </x14:formula1>
          <xm:sqref>B28:C28 B49 D49</xm:sqref>
        </x14:dataValidation>
        <x14:dataValidation type="list" allowBlank="1" showInputMessage="1" showErrorMessage="1">
          <x14:formula1>
            <xm:f>Data!$C$4:$C$10</xm:f>
          </x14:formula1>
          <xm:sqref>B11:C11</xm:sqref>
        </x14:dataValidation>
        <x14:dataValidation type="list" allowBlank="1" showInputMessage="1" showErrorMessage="1">
          <x14:formula1>
            <xm:f>Data!$D$2:$D$13</xm:f>
          </x14:formula1>
          <xm:sqref>C13:C14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Q148"/>
  <sheetViews>
    <sheetView zoomScale="120" zoomScaleNormal="120" workbookViewId="0">
      <selection activeCell="G17" sqref="G17"/>
    </sheetView>
  </sheetViews>
  <sheetFormatPr defaultColWidth="8.88671875" defaultRowHeight="14.4"/>
  <cols>
    <col min="1" max="1" width="61.109375" style="1" bestFit="1" customWidth="1"/>
    <col min="2" max="2" width="23.6640625" style="1" customWidth="1"/>
    <col min="3" max="3" width="17.44140625" style="1" customWidth="1"/>
    <col min="4" max="4" width="16.88671875" style="1" customWidth="1"/>
    <col min="5" max="5" width="14.33203125" style="1" customWidth="1"/>
    <col min="6" max="6" width="17.44140625" style="1" customWidth="1"/>
    <col min="7" max="7" width="18.33203125" style="1" customWidth="1"/>
    <col min="8" max="8" width="23.109375" style="1" customWidth="1"/>
    <col min="9" max="14" width="18.109375" style="1" customWidth="1"/>
    <col min="15" max="15" width="14.88671875" style="1" customWidth="1"/>
    <col min="16" max="16" width="16.6640625" style="1" bestFit="1" customWidth="1"/>
    <col min="17" max="17" width="18.44140625" style="1" bestFit="1" customWidth="1"/>
    <col min="18" max="16384" width="8.88671875" style="1"/>
  </cols>
  <sheetData>
    <row r="2" spans="1:17" ht="18">
      <c r="A2" s="151" t="s">
        <v>0</v>
      </c>
      <c r="B2" s="152"/>
      <c r="C2" s="152"/>
      <c r="D2" s="152"/>
      <c r="E2" s="152"/>
      <c r="F2" s="152"/>
      <c r="G2" s="152"/>
      <c r="H2" s="152"/>
    </row>
    <row r="3" spans="1:17" ht="15" customHeight="1">
      <c r="A3" s="2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98</v>
      </c>
    </row>
    <row r="4" spans="1:17" ht="15" customHeight="1">
      <c r="A4" s="3" t="s">
        <v>7</v>
      </c>
      <c r="B4" s="4">
        <v>183</v>
      </c>
      <c r="C4" s="4">
        <v>93</v>
      </c>
      <c r="D4" s="4">
        <v>0</v>
      </c>
      <c r="E4" s="5">
        <v>1</v>
      </c>
      <c r="F4" s="4">
        <v>0</v>
      </c>
      <c r="G4" s="47">
        <v>1000</v>
      </c>
      <c r="H4" s="47" t="s">
        <v>99</v>
      </c>
    </row>
    <row r="5" spans="1:17" ht="15" customHeight="1">
      <c r="A5" s="3" t="s">
        <v>8</v>
      </c>
      <c r="B5" s="4">
        <v>547</v>
      </c>
      <c r="C5" s="4">
        <v>90</v>
      </c>
      <c r="D5" s="4">
        <v>0</v>
      </c>
      <c r="E5" s="5">
        <v>1</v>
      </c>
      <c r="F5" s="4">
        <v>0</v>
      </c>
      <c r="G5" s="47">
        <v>1000</v>
      </c>
      <c r="H5" s="47" t="s">
        <v>99</v>
      </c>
    </row>
    <row r="6" spans="1:17" ht="15" customHeight="1">
      <c r="A6" s="3" t="s">
        <v>9</v>
      </c>
      <c r="B6" s="6">
        <f>SUM(B4:B5)</f>
        <v>730</v>
      </c>
      <c r="C6" s="6">
        <f>SUM(C4:C5)</f>
        <v>183</v>
      </c>
      <c r="D6" s="5" t="s">
        <v>11</v>
      </c>
      <c r="E6" s="5" t="s">
        <v>11</v>
      </c>
      <c r="F6" s="5" t="s">
        <v>11</v>
      </c>
      <c r="G6" s="5" t="s">
        <v>11</v>
      </c>
      <c r="H6" s="5" t="s">
        <v>11</v>
      </c>
    </row>
    <row r="7" spans="1:17" ht="15" customHeight="1">
      <c r="A7" s="7"/>
      <c r="B7" s="7"/>
      <c r="C7" s="7"/>
      <c r="D7" s="7"/>
      <c r="E7" s="7"/>
      <c r="F7" s="7"/>
      <c r="G7" s="7"/>
      <c r="H7" s="7"/>
      <c r="K7" s="7"/>
      <c r="L7" s="8"/>
      <c r="M7" s="8"/>
      <c r="N7" s="7"/>
      <c r="O7" s="7"/>
      <c r="P7" s="7"/>
      <c r="Q7" s="7"/>
    </row>
    <row r="8" spans="1:17" ht="15" customHeight="1">
      <c r="A8" s="151" t="s">
        <v>10</v>
      </c>
      <c r="B8" s="152"/>
      <c r="C8" s="152"/>
      <c r="D8" s="152"/>
      <c r="E8" s="152"/>
      <c r="F8" s="152"/>
      <c r="G8" s="152"/>
      <c r="H8" s="152"/>
      <c r="K8" s="7"/>
      <c r="L8" s="8"/>
      <c r="M8" s="8"/>
      <c r="N8" s="7"/>
      <c r="O8" s="7"/>
      <c r="P8" s="7"/>
      <c r="Q8" s="7"/>
    </row>
    <row r="9" spans="1:17" ht="15" customHeight="1">
      <c r="A9" s="2"/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98</v>
      </c>
      <c r="K9" s="7"/>
      <c r="L9" s="8"/>
      <c r="M9" s="8"/>
      <c r="N9" s="7"/>
      <c r="O9" s="7"/>
      <c r="P9" s="7"/>
      <c r="Q9" s="7"/>
    </row>
    <row r="10" spans="1:17" ht="15" customHeight="1">
      <c r="A10" s="3" t="str">
        <f>'Public Sector Model'!A10</f>
        <v>Maternity leave (X0, X1)</v>
      </c>
      <c r="B10" s="50">
        <v>126</v>
      </c>
      <c r="C10" s="50">
        <v>126</v>
      </c>
      <c r="D10" s="4">
        <v>0</v>
      </c>
      <c r="E10" s="56">
        <v>0.8</v>
      </c>
      <c r="F10" s="9">
        <v>0</v>
      </c>
      <c r="G10" s="9">
        <v>2997</v>
      </c>
      <c r="H10" s="50" t="s">
        <v>105</v>
      </c>
      <c r="K10" s="7"/>
      <c r="L10" s="8"/>
      <c r="M10" s="8"/>
      <c r="N10" s="7"/>
      <c r="O10" s="7"/>
      <c r="P10" s="7"/>
      <c r="Q10" s="7"/>
    </row>
    <row r="11" spans="1:17" ht="15" customHeight="1">
      <c r="A11" s="3" t="str">
        <f>'Public Sector Model'!A11</f>
        <v>Paternity leave (X0, X1)</v>
      </c>
      <c r="B11" s="50">
        <v>14</v>
      </c>
      <c r="C11" s="50">
        <v>14</v>
      </c>
      <c r="D11" s="4">
        <v>0</v>
      </c>
      <c r="E11" s="56">
        <v>0.8</v>
      </c>
      <c r="F11" s="9">
        <v>0</v>
      </c>
      <c r="G11" s="9">
        <v>2997</v>
      </c>
      <c r="H11" s="50" t="s">
        <v>105</v>
      </c>
      <c r="K11" s="7"/>
      <c r="L11" s="8"/>
      <c r="M11" s="8"/>
      <c r="N11" s="7"/>
      <c r="O11" s="7"/>
      <c r="P11" s="7"/>
      <c r="Q11" s="7"/>
    </row>
    <row r="12" spans="1:17" ht="15" customHeight="1">
      <c r="A12" s="3" t="str">
        <f>'Public Sector Model'!A12</f>
        <v>Parental leave (Z0, Z1)</v>
      </c>
      <c r="B12" s="47">
        <f>SUM(B13:B14)</f>
        <v>593</v>
      </c>
      <c r="C12" s="47">
        <f>SUM(C13:C14)</f>
        <v>90</v>
      </c>
      <c r="D12" s="5" t="s">
        <v>11</v>
      </c>
      <c r="E12" s="5" t="s">
        <v>11</v>
      </c>
      <c r="F12" s="5" t="s">
        <v>11</v>
      </c>
      <c r="G12" s="5" t="s">
        <v>11</v>
      </c>
      <c r="H12" s="5" t="s">
        <v>11</v>
      </c>
      <c r="K12" s="7"/>
      <c r="L12" s="8"/>
      <c r="M12" s="8"/>
      <c r="N12" s="7"/>
      <c r="O12" s="7"/>
      <c r="P12" s="7"/>
      <c r="Q12" s="7"/>
    </row>
    <row r="13" spans="1:17" ht="15" customHeight="1">
      <c r="A13" s="10" t="s">
        <v>12</v>
      </c>
      <c r="B13" s="50">
        <v>563</v>
      </c>
      <c r="C13" s="50">
        <v>60</v>
      </c>
      <c r="D13" s="4">
        <v>0</v>
      </c>
      <c r="E13" s="56">
        <v>0.8</v>
      </c>
      <c r="F13" s="9">
        <v>0</v>
      </c>
      <c r="G13" s="9">
        <v>2997</v>
      </c>
      <c r="H13" s="50" t="s">
        <v>105</v>
      </c>
      <c r="K13" s="7"/>
      <c r="L13" s="8"/>
      <c r="M13" s="8"/>
      <c r="N13" s="7"/>
      <c r="O13" s="7"/>
      <c r="P13" s="7"/>
      <c r="Q13" s="7"/>
    </row>
    <row r="14" spans="1:17" ht="15" customHeight="1">
      <c r="A14" s="10" t="s">
        <v>13</v>
      </c>
      <c r="B14" s="50">
        <v>30</v>
      </c>
      <c r="C14" s="50">
        <v>30</v>
      </c>
      <c r="D14" s="4">
        <v>0</v>
      </c>
      <c r="E14" s="56">
        <v>0.8</v>
      </c>
      <c r="F14" s="9">
        <v>0</v>
      </c>
      <c r="G14" s="9">
        <v>2997</v>
      </c>
      <c r="H14" s="50" t="s">
        <v>105</v>
      </c>
      <c r="I14" s="7"/>
      <c r="K14" s="7"/>
      <c r="L14" s="8"/>
      <c r="M14" s="8"/>
      <c r="N14" s="7"/>
      <c r="O14" s="7"/>
      <c r="P14" s="7"/>
      <c r="Q14" s="7"/>
    </row>
    <row r="15" spans="1:17" ht="15" customHeight="1">
      <c r="A15" s="3" t="s">
        <v>14</v>
      </c>
      <c r="B15" s="6">
        <f>SUM(B10:B12)</f>
        <v>733</v>
      </c>
      <c r="C15" s="6">
        <f>SUM(C10:C12)</f>
        <v>230</v>
      </c>
      <c r="D15" s="5" t="s">
        <v>11</v>
      </c>
      <c r="E15" s="5" t="s">
        <v>11</v>
      </c>
      <c r="F15" s="5" t="s">
        <v>11</v>
      </c>
      <c r="G15" s="5" t="s">
        <v>11</v>
      </c>
      <c r="H15" s="5" t="s">
        <v>11</v>
      </c>
      <c r="I15" s="7"/>
      <c r="J15" s="70"/>
      <c r="K15" s="7"/>
      <c r="L15" s="8"/>
      <c r="M15" s="8"/>
      <c r="N15" s="7"/>
      <c r="O15" s="7"/>
      <c r="P15" s="7"/>
      <c r="Q15" s="7"/>
    </row>
    <row r="16" spans="1:17" ht="15" customHeight="1">
      <c r="A16" s="7"/>
      <c r="B16" s="8"/>
      <c r="C16" s="8"/>
      <c r="D16" s="7"/>
      <c r="E16" s="7"/>
      <c r="F16" s="7"/>
      <c r="G16" s="7"/>
      <c r="L16" s="8"/>
      <c r="M16" s="8"/>
      <c r="N16" s="7"/>
      <c r="O16" s="7"/>
      <c r="P16" s="7"/>
      <c r="Q16" s="7"/>
    </row>
    <row r="17" spans="1:8" ht="18">
      <c r="A17" s="150" t="s">
        <v>15</v>
      </c>
      <c r="B17" s="150"/>
      <c r="C17" s="150"/>
      <c r="D17" s="150"/>
    </row>
    <row r="18" spans="1:8">
      <c r="A18" s="2"/>
      <c r="B18" s="11" t="s">
        <v>16</v>
      </c>
      <c r="C18" s="11" t="s">
        <v>17</v>
      </c>
      <c r="D18" s="11" t="s">
        <v>14</v>
      </c>
      <c r="F18" s="147"/>
    </row>
    <row r="19" spans="1:8">
      <c r="A19" s="2" t="s">
        <v>84</v>
      </c>
      <c r="B19" s="12">
        <f>Data!J28</f>
        <v>285.22522247189301</v>
      </c>
      <c r="C19" s="12">
        <f>Data!K28</f>
        <v>366.34474049041103</v>
      </c>
      <c r="D19" s="4"/>
      <c r="E19" s="148" t="s">
        <v>125</v>
      </c>
      <c r="H19" s="13"/>
    </row>
    <row r="20" spans="1:8">
      <c r="A20" s="2" t="s">
        <v>19</v>
      </c>
      <c r="B20" s="14">
        <f>Data!J36</f>
        <v>815.96642048820638</v>
      </c>
      <c r="C20" s="14">
        <f>Data!K36</f>
        <v>1280.4863537386611</v>
      </c>
      <c r="D20" s="4"/>
      <c r="E20" s="148" t="s">
        <v>125</v>
      </c>
      <c r="H20" s="13"/>
    </row>
    <row r="21" spans="1:8">
      <c r="A21" s="2" t="s">
        <v>20</v>
      </c>
      <c r="B21" s="15">
        <f>B20*12/52/7</f>
        <v>26.899991884226583</v>
      </c>
      <c r="C21" s="46">
        <f>C20*12/52/7</f>
        <v>42.213835837538284</v>
      </c>
      <c r="D21" s="4"/>
      <c r="E21" s="148" t="s">
        <v>128</v>
      </c>
      <c r="H21" s="13"/>
    </row>
    <row r="22" spans="1:8">
      <c r="A22" s="2" t="s">
        <v>21</v>
      </c>
      <c r="B22" s="17">
        <v>1</v>
      </c>
      <c r="C22" s="17">
        <v>0</v>
      </c>
      <c r="D22" s="4"/>
      <c r="E22" s="148" t="s">
        <v>80</v>
      </c>
      <c r="H22" s="13"/>
    </row>
    <row r="23" spans="1:8">
      <c r="A23" s="2" t="s">
        <v>22</v>
      </c>
      <c r="B23" s="17">
        <v>1</v>
      </c>
      <c r="C23" s="17">
        <v>1</v>
      </c>
      <c r="D23" s="4"/>
      <c r="E23" s="148" t="s">
        <v>81</v>
      </c>
      <c r="H23" s="13"/>
    </row>
    <row r="24" spans="1:8">
      <c r="A24" s="2" t="s">
        <v>24</v>
      </c>
      <c r="B24" s="17">
        <v>0.31</v>
      </c>
      <c r="C24" s="17">
        <v>0</v>
      </c>
      <c r="D24" s="4"/>
      <c r="E24" s="148" t="s">
        <v>82</v>
      </c>
      <c r="H24" s="13"/>
    </row>
    <row r="25" spans="1:8">
      <c r="A25" s="2" t="s">
        <v>25</v>
      </c>
      <c r="B25" s="17">
        <v>0.5</v>
      </c>
      <c r="C25" s="17">
        <v>0.5</v>
      </c>
      <c r="D25" s="4"/>
      <c r="E25" s="148" t="s">
        <v>83</v>
      </c>
    </row>
    <row r="26" spans="1:8">
      <c r="A26" s="2" t="s">
        <v>27</v>
      </c>
      <c r="B26" s="12">
        <f>Data!B52</f>
        <v>43.089116634626841</v>
      </c>
      <c r="C26" s="12">
        <f>B26</f>
        <v>43.089116634626841</v>
      </c>
      <c r="D26" s="4"/>
      <c r="E26" s="148" t="s">
        <v>150</v>
      </c>
      <c r="H26" s="13"/>
    </row>
    <row r="27" spans="1:8">
      <c r="A27" s="2" t="s">
        <v>28</v>
      </c>
      <c r="B27" s="18">
        <f>B26*B19</f>
        <v>12290.102878228787</v>
      </c>
      <c r="C27" s="18">
        <f>C19*C26</f>
        <v>15785.471251473424</v>
      </c>
      <c r="D27" s="4"/>
      <c r="E27" s="148" t="s">
        <v>29</v>
      </c>
      <c r="H27" s="13"/>
    </row>
    <row r="28" spans="1:8">
      <c r="A28" s="2" t="s">
        <v>30</v>
      </c>
      <c r="B28" s="19">
        <v>0.3</v>
      </c>
      <c r="C28" s="19">
        <v>0.3</v>
      </c>
      <c r="D28" s="4"/>
      <c r="E28" s="148" t="s">
        <v>31</v>
      </c>
      <c r="H28" s="13"/>
    </row>
    <row r="29" spans="1:8">
      <c r="A29" s="2" t="s">
        <v>32</v>
      </c>
      <c r="B29" s="15">
        <f>B21*(1-B28)</f>
        <v>18.829994318958608</v>
      </c>
      <c r="C29" s="15">
        <f>C21*(1-C28)</f>
        <v>29.549685086276796</v>
      </c>
      <c r="D29" s="4"/>
      <c r="E29" s="148"/>
      <c r="H29" s="13"/>
    </row>
    <row r="30" spans="1:8">
      <c r="A30" s="20" t="s">
        <v>33</v>
      </c>
      <c r="B30" s="112">
        <f>B27*B22*B29*C6*B23+B27*B24*B29*(B6-C6)*B25</f>
        <v>61971492.20490665</v>
      </c>
      <c r="C30" s="112">
        <f>C27*C22*C29*C5*C23+C27*C24*C29*(B5-C5)*C25</f>
        <v>0</v>
      </c>
      <c r="D30" s="112">
        <f>B30+C30</f>
        <v>61971492.20490665</v>
      </c>
      <c r="E30" s="148"/>
      <c r="H30" s="13"/>
    </row>
    <row r="31" spans="1:8">
      <c r="A31" s="20" t="s">
        <v>34</v>
      </c>
      <c r="B31" s="112">
        <f>B27*B22*B21*C6*B23*0.25+B27*B24*B21*(B6-C6)*B25*0.25</f>
        <v>22132675.787466664</v>
      </c>
      <c r="C31" s="112">
        <f>C27*C22*B21*C5*C23*0.25+C27*C24*B21*(B5-C5)*C25*0.25</f>
        <v>0</v>
      </c>
      <c r="D31" s="112">
        <f>B31+C31</f>
        <v>22132675.787466664</v>
      </c>
      <c r="E31" s="148" t="s">
        <v>35</v>
      </c>
      <c r="H31" s="13"/>
    </row>
    <row r="32" spans="1:8">
      <c r="A32" s="111" t="s">
        <v>36</v>
      </c>
      <c r="B32" s="22">
        <f>B30-B31</f>
        <v>39838816.417439982</v>
      </c>
      <c r="C32" s="22">
        <f>C30-C31</f>
        <v>0</v>
      </c>
      <c r="D32" s="22">
        <f t="shared" ref="D32:D35" si="0">B32+C32</f>
        <v>39838816.417439982</v>
      </c>
    </row>
    <row r="33" spans="1:13">
      <c r="A33" s="20" t="s">
        <v>155</v>
      </c>
      <c r="B33" s="112">
        <f>(C6*B22*B23*B21*B27*0.2+(B6-C6)*B24*B25*B21*B27*0.2)*(1-B28)</f>
        <v>12394298.44098133</v>
      </c>
      <c r="C33" s="112">
        <f>(C5*C22*C23*C21*C27*0.2+(B5-C5)*C24*C25*C21*C27*0.2)*(1-C28)</f>
        <v>0</v>
      </c>
      <c r="D33" s="112">
        <f t="shared" si="0"/>
        <v>12394298.44098133</v>
      </c>
      <c r="F33" s="146"/>
    </row>
    <row r="34" spans="1:13">
      <c r="A34" s="20" t="s">
        <v>159</v>
      </c>
      <c r="B34" s="112">
        <f>MIN(B21*C6*B23,IF(G4&gt;0,G4,9999))*B27*B22</f>
        <v>12290102.878228787</v>
      </c>
      <c r="C34" s="112">
        <f>MIN(C21*C5*C23,IF(G5&gt;0,G5,9999))*C27*C22</f>
        <v>0</v>
      </c>
      <c r="D34" s="112">
        <f t="shared" si="0"/>
        <v>12290102.878228787</v>
      </c>
    </row>
    <row r="35" spans="1:13">
      <c r="A35" s="111" t="s">
        <v>158</v>
      </c>
      <c r="B35" s="22">
        <f>B33+B34</f>
        <v>24684401.31921012</v>
      </c>
      <c r="C35" s="22">
        <f>C33+C34</f>
        <v>0</v>
      </c>
      <c r="D35" s="22">
        <f t="shared" si="0"/>
        <v>24684401.31921012</v>
      </c>
    </row>
    <row r="36" spans="1:13">
      <c r="A36" s="3" t="s">
        <v>160</v>
      </c>
      <c r="B36" s="21">
        <v>0</v>
      </c>
      <c r="C36" s="21">
        <v>0</v>
      </c>
      <c r="D36" s="21">
        <v>0</v>
      </c>
    </row>
    <row r="38" spans="1:13" ht="18">
      <c r="A38" s="150" t="s">
        <v>37</v>
      </c>
      <c r="B38" s="150"/>
      <c r="C38" s="150"/>
      <c r="D38" s="150"/>
      <c r="E38" s="150"/>
      <c r="F38" s="150"/>
      <c r="G38" s="62" t="s">
        <v>38</v>
      </c>
    </row>
    <row r="39" spans="1:13">
      <c r="A39" s="2"/>
      <c r="B39" s="11" t="s">
        <v>39</v>
      </c>
      <c r="C39" s="11" t="s">
        <v>40</v>
      </c>
      <c r="D39" s="11" t="s">
        <v>41</v>
      </c>
      <c r="E39" s="11" t="s">
        <v>42</v>
      </c>
      <c r="F39" s="11" t="s">
        <v>14</v>
      </c>
      <c r="G39" s="11" t="s">
        <v>14</v>
      </c>
    </row>
    <row r="40" spans="1:13">
      <c r="A40" s="2" t="str">
        <f>A19</f>
        <v># employed in private sector in thousands (a)</v>
      </c>
      <c r="B40" s="12">
        <f>B19</f>
        <v>285.22522247189301</v>
      </c>
      <c r="C40" s="24"/>
      <c r="D40" s="12">
        <f>C19</f>
        <v>366.34474049041103</v>
      </c>
      <c r="E40" s="4"/>
      <c r="F40" s="4"/>
      <c r="G40" s="2"/>
    </row>
    <row r="41" spans="1:13">
      <c r="A41" s="2" t="str">
        <f>A20</f>
        <v>Average wage per month (b)</v>
      </c>
      <c r="B41" s="14">
        <f>B20</f>
        <v>815.96642048820638</v>
      </c>
      <c r="C41" s="6"/>
      <c r="D41" s="14">
        <f>C20</f>
        <v>1280.4863537386611</v>
      </c>
      <c r="E41" s="4"/>
      <c r="F41" s="4"/>
      <c r="G41" s="2"/>
    </row>
    <row r="42" spans="1:13">
      <c r="A42" s="2" t="str">
        <f t="shared" ref="A42:A50" si="1">A21</f>
        <v>Average wage per day (c=b*12/52/7)</v>
      </c>
      <c r="B42" s="15">
        <f>B41*12/52/7</f>
        <v>26.899991884226583</v>
      </c>
      <c r="C42" s="6"/>
      <c r="D42" s="15">
        <f>D41*12/52/7</f>
        <v>42.213835837538284</v>
      </c>
      <c r="E42" s="4"/>
      <c r="F42" s="4"/>
      <c r="G42" s="2"/>
    </row>
    <row r="43" spans="1:13">
      <c r="A43" s="2" t="str">
        <f t="shared" si="1"/>
        <v>Paid leave take up rate (d)</v>
      </c>
      <c r="B43" s="61">
        <v>1</v>
      </c>
      <c r="C43" s="61">
        <v>1</v>
      </c>
      <c r="D43" s="61">
        <v>0.5</v>
      </c>
      <c r="E43" s="61">
        <v>0.2</v>
      </c>
      <c r="F43" s="4"/>
      <c r="G43" s="2"/>
      <c r="M43" s="27">
        <f>G4/B21/C6</f>
        <v>0.20314061423643631</v>
      </c>
    </row>
    <row r="44" spans="1:13">
      <c r="A44" s="2" t="str">
        <f t="shared" si="1"/>
        <v>Paid leave actual duration (e)</v>
      </c>
      <c r="B44" s="61">
        <v>1</v>
      </c>
      <c r="C44" s="61">
        <v>1</v>
      </c>
      <c r="D44" s="61">
        <v>1</v>
      </c>
      <c r="E44" s="61">
        <v>1</v>
      </c>
      <c r="F44" s="4"/>
      <c r="G44" s="2"/>
      <c r="H44" s="48"/>
      <c r="M44" s="27">
        <f>G10/B42/C10</f>
        <v>0.8842275636395851</v>
      </c>
    </row>
    <row r="45" spans="1:13">
      <c r="A45" s="2" t="str">
        <f t="shared" si="1"/>
        <v>Non-paid leave take up rate (f)</v>
      </c>
      <c r="B45" s="61">
        <v>0.31</v>
      </c>
      <c r="C45" s="61">
        <v>0.31</v>
      </c>
      <c r="D45" s="61">
        <v>0.1</v>
      </c>
      <c r="E45" s="61">
        <v>0.02</v>
      </c>
      <c r="F45" s="4"/>
      <c r="G45" s="2"/>
    </row>
    <row r="46" spans="1:13">
      <c r="A46" s="2" t="str">
        <f t="shared" si="1"/>
        <v>Non-paid leave actual duration (g)</v>
      </c>
      <c r="B46" s="61">
        <v>0.5</v>
      </c>
      <c r="C46" s="61">
        <v>0.5</v>
      </c>
      <c r="D46" s="61">
        <v>1</v>
      </c>
      <c r="E46" s="61">
        <v>0.5</v>
      </c>
      <c r="F46" s="4"/>
      <c r="G46" s="2"/>
    </row>
    <row r="47" spans="1:13">
      <c r="A47" s="2" t="str">
        <f t="shared" si="1"/>
        <v>Average births per 1000 women (h)</v>
      </c>
      <c r="B47" s="12">
        <f>B26</f>
        <v>43.089116634626841</v>
      </c>
      <c r="C47" s="6"/>
      <c r="D47" s="12">
        <f>B47</f>
        <v>43.089116634626841</v>
      </c>
      <c r="E47" s="4"/>
      <c r="F47" s="4"/>
      <c r="G47" s="2"/>
    </row>
    <row r="48" spans="1:13">
      <c r="A48" s="2" t="str">
        <f t="shared" si="1"/>
        <v>Annual number of child birth (i=a*h)</v>
      </c>
      <c r="B48" s="18">
        <f>B47*B40</f>
        <v>12290.102878228787</v>
      </c>
      <c r="C48" s="6"/>
      <c r="D48" s="18">
        <f>D40*D47</f>
        <v>15785.471251473424</v>
      </c>
      <c r="E48" s="4"/>
      <c r="F48" s="4"/>
      <c r="G48" s="2"/>
    </row>
    <row r="49" spans="1:7">
      <c r="A49" s="2" t="str">
        <f t="shared" si="1"/>
        <v>Substitution rate (j)</v>
      </c>
      <c r="B49" s="19">
        <v>0.3</v>
      </c>
      <c r="C49" s="6"/>
      <c r="D49" s="19">
        <v>0.3</v>
      </c>
      <c r="E49" s="25"/>
      <c r="F49" s="4"/>
      <c r="G49" s="2"/>
    </row>
    <row r="50" spans="1:7">
      <c r="A50" s="2" t="str">
        <f t="shared" si="1"/>
        <v>Production losses per day of leave (k=c*(1-j))</v>
      </c>
      <c r="B50" s="15">
        <f>B42*(1-B49)</f>
        <v>18.829994318958608</v>
      </c>
      <c r="C50" s="6"/>
      <c r="D50" s="15">
        <f>D42*(1-D49)</f>
        <v>29.549685086276796</v>
      </c>
      <c r="E50" s="4"/>
      <c r="F50" s="4"/>
      <c r="G50" s="2"/>
    </row>
    <row r="51" spans="1:7">
      <c r="A51" s="20" t="s">
        <v>165</v>
      </c>
      <c r="B51" s="112">
        <f>B48*B43*B50*C10*B44+B48*B45*B50*(B10-C10)*B46</f>
        <v>29159243.489434578</v>
      </c>
      <c r="C51" s="112">
        <f>B48*C43*B50*C13*C44+B48*C45*B50*(B13-C13)*C46</f>
        <v>31928214.508093975</v>
      </c>
      <c r="D51" s="112">
        <f>D48*D43*D50*C11*D44+D48*D45*D50*(B11-C11)*D46</f>
        <v>3265189.9309366075</v>
      </c>
      <c r="E51" s="112">
        <f>D48*E43*D50*C14*E44+D48*E45*D50*(B14-C14)*E46</f>
        <v>2798734.2265170924</v>
      </c>
      <c r="F51" s="112">
        <f t="shared" ref="F51:F57" si="2">SUM(B51:E51)</f>
        <v>67151382.154982254</v>
      </c>
      <c r="G51" s="114">
        <f t="shared" ref="G51:G57" si="3">F51-D30</f>
        <v>5179889.950075604</v>
      </c>
    </row>
    <row r="52" spans="1:7">
      <c r="A52" s="20" t="s">
        <v>166</v>
      </c>
      <c r="B52" s="112">
        <f>B48*B43*B42*C10*B44*0.25+B48*B45*B42*(B10-C10)*B46*0.25</f>
        <v>10414015.53194092</v>
      </c>
      <c r="C52" s="112">
        <f>B48*C43*B42*C13*C44*0.25+B48*C45*B42*(B13-C13)*C46*0.25</f>
        <v>11402933.752890708</v>
      </c>
      <c r="D52" s="112">
        <f>D48*D43*B42*C11*D44*0.25+D48*D45*B42*(B11-C11)*D46*0.25</f>
        <v>743100.83496832254</v>
      </c>
      <c r="E52" s="112">
        <f>D48*E43*B42*C14*E44*0.25+D48*E45*B42*(B14-C14)*E46*0.25</f>
        <v>636943.57282999076</v>
      </c>
      <c r="F52" s="112">
        <f t="shared" si="2"/>
        <v>23196993.692629941</v>
      </c>
      <c r="G52" s="114">
        <f t="shared" si="3"/>
        <v>1064317.9051632769</v>
      </c>
    </row>
    <row r="53" spans="1:7" ht="15.6">
      <c r="A53" s="111" t="s">
        <v>36</v>
      </c>
      <c r="B53" s="22">
        <f>B51-B52</f>
        <v>18745227.957493655</v>
      </c>
      <c r="C53" s="22">
        <f t="shared" ref="C53:E53" si="4">C51-C52</f>
        <v>20525280.755203269</v>
      </c>
      <c r="D53" s="22">
        <f t="shared" si="4"/>
        <v>2522089.0959682851</v>
      </c>
      <c r="E53" s="22">
        <f t="shared" si="4"/>
        <v>2161790.6536871018</v>
      </c>
      <c r="F53" s="22">
        <f t="shared" si="2"/>
        <v>43954388.462352313</v>
      </c>
      <c r="G53" s="71">
        <f t="shared" si="3"/>
        <v>4115572.0449123308</v>
      </c>
    </row>
    <row r="54" spans="1:7">
      <c r="A54" s="20" t="s">
        <v>162</v>
      </c>
      <c r="B54" s="112">
        <f>(C10*B43*B44*B42*B48*0.2+(B10-C10)*B45*B46*B42*B48*0.2)*(1-B49)</f>
        <v>5831848.6978869159</v>
      </c>
      <c r="C54" s="112">
        <f>(C13*C43*C44*B42*B48*0.2+(B13-C13)*C45*C46*B42*B48*0.2)*(1-B49)</f>
        <v>6385642.9016187964</v>
      </c>
      <c r="D54" s="112">
        <f>(C11*D43*D44*D42*D48*0.2+(B11-C11)*D45*D46*D42*D48*0.2)*(1-D49)</f>
        <v>653037.98618732148</v>
      </c>
      <c r="E54" s="112">
        <f>(C14*E43*E44*D42*D48*0.2+(B14-D11)*E45*E46*D42*D48*0.2)*(1-D49)</f>
        <v>587734.18756858935</v>
      </c>
      <c r="F54" s="112">
        <f t="shared" si="2"/>
        <v>13458263.773261623</v>
      </c>
      <c r="G54" s="114">
        <f t="shared" si="3"/>
        <v>1063965.3322802931</v>
      </c>
    </row>
    <row r="55" spans="1:7">
      <c r="A55" s="20" t="s">
        <v>159</v>
      </c>
      <c r="B55" s="112">
        <f>(MIN($B$42*$B$44*$E$10*$C$10,IF($G$10&gt;0,$G$10,9999))*$B$48*$B$43)*VLOOKUP($H$10,Data!$N$3:$P$7,3,FALSE)</f>
        <v>33324849.702210948</v>
      </c>
      <c r="C55" s="112">
        <f>IF($B$42*$E$13*$C$10*$B$44&gt;$G$10,0,MIN(MIN($B$42*$C$13*$C$44,($G$10-$B$42*$B$43*$C$10*$B$44)),$G$13)*$B$48*$C$43)*VLOOKUP($H$13,Data!$N$3:$P$7,3,FALSE)</f>
        <v>-4822623.8017120054</v>
      </c>
      <c r="D55" s="112">
        <f>(MIN($D$42*$D$44*$E$11*$C$11,IF($G$11&gt;0,$G$11,9999))*$D$48*$D$43)*VLOOKUP($H$11,Data!$N$9:$P$12,3,FALSE)</f>
        <v>3731645.6353561236</v>
      </c>
      <c r="E55" s="112">
        <f>IF($D$42*$E$14*$C$11*$D$44&gt;$G$11,0,MIN(MIN($D$42*$C$14*$E$44,($G$11-$D$42*$D$43*$C$11*$D$44)),$G$14)*$D$48*$E$43)*VLOOKUP($H$14,Data!$N$9:$P$12,3,FALSE)</f>
        <v>3998191.7521672752</v>
      </c>
      <c r="F55" s="112">
        <f t="shared" si="2"/>
        <v>36232063.288022339</v>
      </c>
      <c r="G55" s="114">
        <f t="shared" si="3"/>
        <v>23941960.409793552</v>
      </c>
    </row>
    <row r="56" spans="1:7" ht="15.6">
      <c r="A56" s="111" t="s">
        <v>158</v>
      </c>
      <c r="B56" s="22">
        <f>B54+B55</f>
        <v>39156698.400097862</v>
      </c>
      <c r="C56" s="22">
        <f>C54+C55</f>
        <v>1563019.099906791</v>
      </c>
      <c r="D56" s="22">
        <f>D54+D55</f>
        <v>4384683.6215434447</v>
      </c>
      <c r="E56" s="22">
        <f>E54+E55</f>
        <v>4585925.9397358643</v>
      </c>
      <c r="F56" s="22">
        <f t="shared" si="2"/>
        <v>49690327.061283961</v>
      </c>
      <c r="G56" s="71">
        <f t="shared" si="3"/>
        <v>25005925.742073841</v>
      </c>
    </row>
    <row r="57" spans="1:7">
      <c r="A57" s="110" t="s">
        <v>167</v>
      </c>
      <c r="B57" s="113">
        <f>(MIN($B$42*$E$10*$B$43*$C$10*$B$44,IF($G$10&gt;0,$G$10,9999))*$B$48)*VLOOKUP($H$10,Data!$N$3:$P$7,2,FALSE)</f>
        <v>0</v>
      </c>
      <c r="C57" s="113">
        <f>IF($B$42*$E$13*$B$43*$C$10*$B$44&gt;$G$10,0,MIN(MIN($B$42*$C$43*$C$13*$C$44,($G$10-$B$42*$B$43*$C$10*$B$44)),$G$13)*$B$48)*VLOOKUP($H$13,Data!$N$3:$P$7,2,FALSE)</f>
        <v>0</v>
      </c>
      <c r="D57" s="113">
        <f>(MIN($D$42*$E$11*$D$43*$C$11*$D$44,IF($G$11&gt;0,$G$11,9999))*$D$48)*VLOOKUP($H$11,Data!$N$9:$P$12,2,FALSE)</f>
        <v>0</v>
      </c>
      <c r="E57" s="113">
        <f>IF($D$42*$E$14*$D$43*$C$11*$D$44&gt;$G$11,0,MIN(MIN($D$42*$E$43*$C$14*$E$44,($G$11-$D$42*$D$43*$C$11*$D$44)),$G$14)*$D$48)*VLOOKUP($H$14,Data!$N$9:$P$12,2,FALSE)</f>
        <v>0</v>
      </c>
      <c r="F57" s="113">
        <f t="shared" si="2"/>
        <v>0</v>
      </c>
      <c r="G57" s="115">
        <f t="shared" si="3"/>
        <v>0</v>
      </c>
    </row>
    <row r="58" spans="1:7">
      <c r="C58" s="49"/>
    </row>
    <row r="59" spans="1:7">
      <c r="C59" s="49"/>
    </row>
    <row r="60" spans="1:7">
      <c r="C60" s="49"/>
    </row>
    <row r="61" spans="1:7">
      <c r="C61" s="49"/>
    </row>
    <row r="62" spans="1:7">
      <c r="C62" s="49"/>
    </row>
    <row r="63" spans="1:7">
      <c r="C63" s="49"/>
    </row>
    <row r="64" spans="1:7">
      <c r="C64" s="49"/>
    </row>
    <row r="65" spans="3:3">
      <c r="C65" s="49"/>
    </row>
    <row r="66" spans="3:3">
      <c r="C66" s="49"/>
    </row>
    <row r="67" spans="3:3">
      <c r="C67" s="49"/>
    </row>
    <row r="68" spans="3:3">
      <c r="C68" s="49"/>
    </row>
    <row r="69" spans="3:3">
      <c r="C69" s="49"/>
    </row>
    <row r="70" spans="3:3">
      <c r="C70" s="49"/>
    </row>
    <row r="71" spans="3:3">
      <c r="C71" s="49"/>
    </row>
    <row r="72" spans="3:3">
      <c r="C72" s="49"/>
    </row>
    <row r="73" spans="3:3">
      <c r="C73" s="49"/>
    </row>
    <row r="74" spans="3:3">
      <c r="C74" s="49"/>
    </row>
    <row r="75" spans="3:3">
      <c r="C75" s="49"/>
    </row>
    <row r="76" spans="3:3">
      <c r="C76" s="49"/>
    </row>
    <row r="77" spans="3:3">
      <c r="C77" s="49"/>
    </row>
    <row r="78" spans="3:3">
      <c r="C78" s="49"/>
    </row>
    <row r="79" spans="3:3">
      <c r="C79" s="49"/>
    </row>
    <row r="80" spans="3:3">
      <c r="C80" s="49"/>
    </row>
    <row r="81" spans="3:3">
      <c r="C81" s="49"/>
    </row>
    <row r="82" spans="3:3">
      <c r="C82" s="49"/>
    </row>
    <row r="83" spans="3:3">
      <c r="C83" s="49"/>
    </row>
    <row r="84" spans="3:3">
      <c r="C84" s="49"/>
    </row>
    <row r="85" spans="3:3">
      <c r="C85" s="49"/>
    </row>
    <row r="86" spans="3:3">
      <c r="C86" s="49"/>
    </row>
    <row r="87" spans="3:3">
      <c r="C87" s="49"/>
    </row>
    <row r="88" spans="3:3">
      <c r="C88" s="49"/>
    </row>
    <row r="89" spans="3:3">
      <c r="C89" s="49"/>
    </row>
    <row r="90" spans="3:3">
      <c r="C90" s="49"/>
    </row>
    <row r="91" spans="3:3">
      <c r="C91" s="49"/>
    </row>
    <row r="92" spans="3:3">
      <c r="C92" s="49"/>
    </row>
    <row r="93" spans="3:3">
      <c r="C93" s="49"/>
    </row>
    <row r="94" spans="3:3">
      <c r="C94" s="49"/>
    </row>
    <row r="95" spans="3:3">
      <c r="C95" s="49"/>
    </row>
    <row r="96" spans="3:3">
      <c r="C96" s="49"/>
    </row>
    <row r="97" spans="1:6">
      <c r="C97" s="49"/>
    </row>
    <row r="99" spans="1:6">
      <c r="A99" s="1" t="s">
        <v>43</v>
      </c>
      <c r="B99" s="1">
        <v>824.3</v>
      </c>
    </row>
    <row r="100" spans="1:6">
      <c r="A100" s="1" t="s">
        <v>16</v>
      </c>
      <c r="B100" s="1">
        <v>398.2</v>
      </c>
      <c r="C100" s="27">
        <v>0.48307654979983017</v>
      </c>
      <c r="D100" s="1">
        <v>800</v>
      </c>
    </row>
    <row r="101" spans="1:6">
      <c r="A101" s="1" t="s">
        <v>17</v>
      </c>
      <c r="B101" s="1">
        <v>426.09999999999997</v>
      </c>
      <c r="C101" s="27">
        <v>0.51692345020016983</v>
      </c>
    </row>
    <row r="103" spans="1:6">
      <c r="A103" s="1" t="s">
        <v>44</v>
      </c>
      <c r="B103" s="28">
        <v>283.8084619960029</v>
      </c>
      <c r="E103" s="1">
        <v>306695.59416231239</v>
      </c>
      <c r="F103" s="1">
        <v>322728.81302818964</v>
      </c>
    </row>
    <row r="104" spans="1:6">
      <c r="A104" s="1" t="s">
        <v>45</v>
      </c>
      <c r="B104" s="28">
        <v>540.49153800399699</v>
      </c>
    </row>
    <row r="106" spans="1:6">
      <c r="A106" s="1" t="s">
        <v>46</v>
      </c>
      <c r="B106" s="28">
        <v>861.23313314379675</v>
      </c>
      <c r="D106" s="27">
        <v>0.79955363331735996</v>
      </c>
    </row>
    <row r="107" spans="1:6">
      <c r="A107" s="1" t="s">
        <v>47</v>
      </c>
      <c r="B107" s="28">
        <v>1077.1424170390267</v>
      </c>
    </row>
    <row r="109" spans="1:6">
      <c r="A109" s="1" t="s">
        <v>48</v>
      </c>
      <c r="B109" s="28">
        <v>770.20490748948373</v>
      </c>
    </row>
    <row r="110" spans="1:6">
      <c r="A110" s="1" t="s">
        <v>49</v>
      </c>
      <c r="B110" s="28">
        <v>1197.4489558919317</v>
      </c>
    </row>
    <row r="122" spans="1:9" ht="15.6">
      <c r="A122" s="31" t="s">
        <v>61</v>
      </c>
    </row>
    <row r="123" spans="1:9">
      <c r="A123" s="155"/>
      <c r="B123" s="157" t="s">
        <v>62</v>
      </c>
      <c r="C123" s="158"/>
      <c r="D123" s="158"/>
      <c r="E123" s="158"/>
      <c r="F123" s="158"/>
      <c r="G123" s="158"/>
      <c r="H123" s="159"/>
      <c r="I123" s="153" t="s">
        <v>63</v>
      </c>
    </row>
    <row r="124" spans="1:9">
      <c r="A124" s="156"/>
      <c r="B124" s="32" t="s">
        <v>64</v>
      </c>
      <c r="C124" s="32" t="s">
        <v>65</v>
      </c>
      <c r="D124" s="32" t="s">
        <v>66</v>
      </c>
      <c r="E124" s="32" t="s">
        <v>67</v>
      </c>
      <c r="F124" s="32" t="s">
        <v>68</v>
      </c>
      <c r="G124" s="32" t="s">
        <v>69</v>
      </c>
      <c r="H124" s="32" t="s">
        <v>70</v>
      </c>
      <c r="I124" s="154"/>
    </row>
    <row r="125" spans="1:9">
      <c r="A125" s="72">
        <v>1994</v>
      </c>
      <c r="B125" s="73">
        <v>67.105799375128186</v>
      </c>
      <c r="C125" s="73">
        <v>113.88687757227953</v>
      </c>
      <c r="D125" s="73">
        <v>64.604630755031948</v>
      </c>
      <c r="E125" s="73">
        <v>40.437841214656281</v>
      </c>
      <c r="F125" s="73">
        <v>14.648851001780631</v>
      </c>
      <c r="G125" s="73">
        <v>4.207871552023521</v>
      </c>
      <c r="H125" s="74">
        <v>0.22911637451561812</v>
      </c>
      <c r="I125" s="75">
        <v>1.5256049392270785</v>
      </c>
    </row>
    <row r="126" spans="1:9">
      <c r="A126" s="76">
        <v>1995</v>
      </c>
      <c r="B126" s="77">
        <v>65.731736896650574</v>
      </c>
      <c r="C126" s="77">
        <v>116.04498704892721</v>
      </c>
      <c r="D126" s="77">
        <v>67.927187692701963</v>
      </c>
      <c r="E126" s="77">
        <v>42.665861901087858</v>
      </c>
      <c r="F126" s="77">
        <v>16.936686443440063</v>
      </c>
      <c r="G126" s="77">
        <v>4.3320607638611568</v>
      </c>
      <c r="H126" s="78">
        <v>0.33502615525974472</v>
      </c>
      <c r="I126" s="79">
        <v>1.5698677345096428</v>
      </c>
    </row>
    <row r="127" spans="1:9">
      <c r="A127" s="76">
        <v>1996</v>
      </c>
      <c r="B127" s="77">
        <v>62.086026653898323</v>
      </c>
      <c r="C127" s="77">
        <v>117.19077998984167</v>
      </c>
      <c r="D127" s="77">
        <v>72.008425736899014</v>
      </c>
      <c r="E127" s="77">
        <v>45.38178349455233</v>
      </c>
      <c r="F127" s="77">
        <v>18.742942499711031</v>
      </c>
      <c r="G127" s="77">
        <v>4.156318434006474</v>
      </c>
      <c r="H127" s="78">
        <v>0.43407599064173175</v>
      </c>
      <c r="I127" s="79">
        <v>1.6000017639977533</v>
      </c>
    </row>
    <row r="128" spans="1:9">
      <c r="A128" s="76">
        <v>1997</v>
      </c>
      <c r="B128" s="77">
        <v>58.381005773526319</v>
      </c>
      <c r="C128" s="77">
        <v>117.63736364357788</v>
      </c>
      <c r="D128" s="77">
        <v>76.024992561737577</v>
      </c>
      <c r="E128" s="77">
        <v>46.527531690819451</v>
      </c>
      <c r="F128" s="77">
        <v>20.32374864296068</v>
      </c>
      <c r="G128" s="77">
        <v>5.4627780674866138</v>
      </c>
      <c r="H128" s="78">
        <v>1.5775331238135637</v>
      </c>
      <c r="I128" s="79">
        <v>1.6296747675196108</v>
      </c>
    </row>
    <row r="129" spans="1:9">
      <c r="A129" s="76">
        <v>1998</v>
      </c>
      <c r="B129" s="77">
        <v>55.249480873333091</v>
      </c>
      <c r="C129" s="77">
        <v>117.13536138677784</v>
      </c>
      <c r="D129" s="77">
        <v>76.470368432852553</v>
      </c>
      <c r="E129" s="77">
        <v>44.628232151764308</v>
      </c>
      <c r="F129" s="77">
        <v>20.046203603881104</v>
      </c>
      <c r="G129" s="77">
        <v>4.8274060717061769</v>
      </c>
      <c r="H129" s="78">
        <v>1.6239328441309995</v>
      </c>
      <c r="I129" s="79">
        <v>1.5999049268222301</v>
      </c>
    </row>
    <row r="130" spans="1:9">
      <c r="A130" s="76">
        <v>1999</v>
      </c>
      <c r="B130" s="77">
        <v>50.487370520727367</v>
      </c>
      <c r="C130" s="77">
        <v>112.89941670683615</v>
      </c>
      <c r="D130" s="77">
        <v>75.833168328080205</v>
      </c>
      <c r="E130" s="77">
        <v>45.243196274948097</v>
      </c>
      <c r="F130" s="77">
        <v>20.327090428133889</v>
      </c>
      <c r="G130" s="77">
        <v>4.9746300080115766</v>
      </c>
      <c r="H130" s="78">
        <v>0.47030307415413275</v>
      </c>
      <c r="I130" s="79">
        <v>1.551175876704457</v>
      </c>
    </row>
    <row r="131" spans="1:9">
      <c r="A131" s="76">
        <v>2000</v>
      </c>
      <c r="B131" s="77">
        <v>43.69303036516488</v>
      </c>
      <c r="C131" s="77">
        <v>120.59877574473313</v>
      </c>
      <c r="D131" s="77">
        <v>80.778361706876623</v>
      </c>
      <c r="E131" s="77">
        <v>46.306068151001909</v>
      </c>
      <c r="F131" s="77">
        <v>20.546672503550944</v>
      </c>
      <c r="G131" s="77">
        <v>5.2531728980412469</v>
      </c>
      <c r="H131" s="78">
        <v>0.5091686996783813</v>
      </c>
      <c r="I131" s="79">
        <v>1.5884262503452358</v>
      </c>
    </row>
    <row r="132" spans="1:9">
      <c r="A132" s="76">
        <v>2001</v>
      </c>
      <c r="B132" s="77">
        <v>35.800487786384949</v>
      </c>
      <c r="C132" s="77">
        <v>123.4704473114485</v>
      </c>
      <c r="D132" s="77">
        <v>77.527359222153066</v>
      </c>
      <c r="E132" s="77">
        <v>48.320734190632926</v>
      </c>
      <c r="F132" s="77">
        <v>22.529755078115045</v>
      </c>
      <c r="G132" s="77">
        <v>5.7371221222448332</v>
      </c>
      <c r="H132" s="78">
        <v>0.78822473656456149</v>
      </c>
      <c r="I132" s="79">
        <v>1.5708706522377196</v>
      </c>
    </row>
    <row r="133" spans="1:9">
      <c r="A133" s="76">
        <v>2002</v>
      </c>
      <c r="B133" s="77">
        <v>36.032702484584981</v>
      </c>
      <c r="C133" s="77">
        <v>118.80010255533716</v>
      </c>
      <c r="D133" s="77">
        <v>68.570464656971964</v>
      </c>
      <c r="E133" s="77">
        <v>53.511469766654436</v>
      </c>
      <c r="F133" s="77">
        <v>22.410153518374496</v>
      </c>
      <c r="G133" s="77">
        <v>6.8478414546438078</v>
      </c>
      <c r="H133" s="78">
        <v>0.80273223540675143</v>
      </c>
      <c r="I133" s="79">
        <v>1.534877333359868</v>
      </c>
    </row>
    <row r="134" spans="1:9">
      <c r="A134" s="76">
        <v>2003</v>
      </c>
      <c r="B134" s="77">
        <v>37.317309357223941</v>
      </c>
      <c r="C134" s="77">
        <v>110.9548976345631</v>
      </c>
      <c r="D134" s="77">
        <v>86.787271388936063</v>
      </c>
      <c r="E134" s="77">
        <v>51.072115024587504</v>
      </c>
      <c r="F134" s="77">
        <v>20.343703301181904</v>
      </c>
      <c r="G134" s="77">
        <v>5.6180982583895398</v>
      </c>
      <c r="H134" s="78">
        <v>0.28942094105218985</v>
      </c>
      <c r="I134" s="79">
        <v>1.5619140795296711</v>
      </c>
    </row>
    <row r="135" spans="1:9">
      <c r="A135" s="76">
        <v>2004</v>
      </c>
      <c r="B135" s="77">
        <v>37.374236856478923</v>
      </c>
      <c r="C135" s="77">
        <v>115.29632472072996</v>
      </c>
      <c r="D135" s="77">
        <v>87.06001411090601</v>
      </c>
      <c r="E135" s="77">
        <v>48.715218830029059</v>
      </c>
      <c r="F135" s="77">
        <v>21.329471438262988</v>
      </c>
      <c r="G135" s="77">
        <v>5.5812682951056809</v>
      </c>
      <c r="H135" s="78">
        <v>0.52275216568754357</v>
      </c>
      <c r="I135" s="79">
        <v>1.579396432086001</v>
      </c>
    </row>
    <row r="136" spans="1:9">
      <c r="A136" s="76">
        <v>2005</v>
      </c>
      <c r="B136" s="77">
        <v>45.089929286651021</v>
      </c>
      <c r="C136" s="77">
        <v>111.7473373761698</v>
      </c>
      <c r="D136" s="77">
        <v>86.321028737816732</v>
      </c>
      <c r="E136" s="77">
        <v>49.899554260679395</v>
      </c>
      <c r="F136" s="77">
        <v>20.758701716196832</v>
      </c>
      <c r="G136" s="77">
        <v>4.7534998120264813</v>
      </c>
      <c r="H136" s="78">
        <v>0.29798004585387056</v>
      </c>
      <c r="I136" s="79">
        <v>1.5943401561769703</v>
      </c>
    </row>
    <row r="137" spans="1:9">
      <c r="A137" s="76">
        <v>2006</v>
      </c>
      <c r="B137" s="77">
        <v>42.66657948080821</v>
      </c>
      <c r="C137" s="77">
        <v>116.54416323958719</v>
      </c>
      <c r="D137" s="77">
        <v>88.633719569077613</v>
      </c>
      <c r="E137" s="77">
        <v>49.839876298027953</v>
      </c>
      <c r="F137" s="77">
        <v>21.343179907139987</v>
      </c>
      <c r="G137" s="77">
        <v>5.2096917433979213</v>
      </c>
      <c r="H137" s="78">
        <v>0.41869671132764924</v>
      </c>
      <c r="I137" s="79">
        <v>1.6232795347468327</v>
      </c>
    </row>
    <row r="138" spans="1:9">
      <c r="A138" s="76">
        <v>2007</v>
      </c>
      <c r="B138" s="77">
        <v>42.514382391524876</v>
      </c>
      <c r="C138" s="77">
        <v>119.99612290394495</v>
      </c>
      <c r="D138" s="77">
        <v>93.305249186689849</v>
      </c>
      <c r="E138" s="77">
        <v>53.89647483737815</v>
      </c>
      <c r="F138" s="77">
        <v>22.646782648557128</v>
      </c>
      <c r="G138" s="77">
        <v>4.9788997661633978</v>
      </c>
      <c r="H138" s="78">
        <v>0.27412797321769705</v>
      </c>
      <c r="I138" s="79">
        <v>1.6880601985373802</v>
      </c>
    </row>
    <row r="139" spans="1:9">
      <c r="A139" s="76">
        <v>2008</v>
      </c>
      <c r="B139" s="77">
        <v>47.983987244075792</v>
      </c>
      <c r="C139" s="77">
        <v>129.14258124220436</v>
      </c>
      <c r="D139" s="77">
        <v>100.75931319779228</v>
      </c>
      <c r="E139" s="77">
        <v>58.676991527149035</v>
      </c>
      <c r="F139" s="77">
        <v>24.82089552238806</v>
      </c>
      <c r="G139" s="77">
        <v>5.5799151596019856</v>
      </c>
      <c r="H139" s="78">
        <v>0.28880375784654327</v>
      </c>
      <c r="I139" s="79">
        <v>1.8362624382552903</v>
      </c>
    </row>
    <row r="140" spans="1:9">
      <c r="A140" s="76">
        <v>2009</v>
      </c>
      <c r="B140" s="77">
        <v>56.134155843227518</v>
      </c>
      <c r="C140" s="77">
        <v>138.52045931076199</v>
      </c>
      <c r="D140" s="77">
        <v>111.51070053998679</v>
      </c>
      <c r="E140" s="77">
        <v>63.442027629066672</v>
      </c>
      <c r="F140" s="77">
        <v>26.800062009172823</v>
      </c>
      <c r="G140" s="77">
        <v>5.8037572082515894</v>
      </c>
      <c r="H140" s="78">
        <v>0.26887438631123062</v>
      </c>
      <c r="I140" s="79">
        <v>2.012400184633893</v>
      </c>
    </row>
    <row r="141" spans="1:9">
      <c r="A141" s="76">
        <v>2010</v>
      </c>
      <c r="B141" s="77">
        <v>52.160652675320712</v>
      </c>
      <c r="C141" s="77">
        <v>132.55595027863478</v>
      </c>
      <c r="D141" s="77">
        <v>111.01858565265147</v>
      </c>
      <c r="E141" s="77">
        <v>67.016039383833572</v>
      </c>
      <c r="F141" s="77">
        <v>29.073711401447937</v>
      </c>
      <c r="G141" s="77">
        <v>6.8333556520574676</v>
      </c>
      <c r="H141" s="78">
        <v>0.29179039151404884</v>
      </c>
      <c r="I141" s="79">
        <v>1.9947504271772998</v>
      </c>
    </row>
    <row r="142" spans="1:9">
      <c r="A142" s="76">
        <v>2011</v>
      </c>
      <c r="B142" s="77">
        <v>47.113073016237678</v>
      </c>
      <c r="C142" s="77">
        <v>125.02166663200006</v>
      </c>
      <c r="D142" s="77">
        <v>106.86788464010741</v>
      </c>
      <c r="E142" s="77">
        <v>63.50417308777979</v>
      </c>
      <c r="F142" s="77">
        <v>28.040212708147344</v>
      </c>
      <c r="G142" s="77">
        <v>6.2595003312936042</v>
      </c>
      <c r="H142" s="78">
        <v>0.31011047250034407</v>
      </c>
      <c r="I142" s="79">
        <v>1.8855831044403315</v>
      </c>
    </row>
    <row r="143" spans="1:9">
      <c r="A143" s="76">
        <v>2012</v>
      </c>
      <c r="B143" s="77">
        <v>42.959406410798231</v>
      </c>
      <c r="C143" s="77">
        <v>120.34240916840974</v>
      </c>
      <c r="D143" s="77">
        <v>105.5442550164265</v>
      </c>
      <c r="E143" s="77">
        <v>65.605188314027913</v>
      </c>
      <c r="F143" s="77">
        <v>28.47348729701671</v>
      </c>
      <c r="G143" s="77">
        <v>6.8792178748837305</v>
      </c>
      <c r="H143" s="78">
        <v>0.35540707437781555</v>
      </c>
      <c r="I143" s="79">
        <v>1.8507968557797037</v>
      </c>
    </row>
    <row r="144" spans="1:9">
      <c r="A144" s="76">
        <v>2013</v>
      </c>
      <c r="B144" s="77">
        <v>42.162376523181194</v>
      </c>
      <c r="C144" s="77">
        <v>119.1318391871922</v>
      </c>
      <c r="D144" s="77">
        <v>106.17082991226529</v>
      </c>
      <c r="E144" s="77">
        <v>67.275410864095562</v>
      </c>
      <c r="F144" s="77">
        <v>30.520540402351969</v>
      </c>
      <c r="G144" s="77">
        <v>7.1638215034441446</v>
      </c>
      <c r="H144" s="78">
        <v>0.4088226089756461</v>
      </c>
      <c r="I144" s="79">
        <v>1.8641682050075301</v>
      </c>
    </row>
    <row r="145" spans="1:9">
      <c r="A145" s="76">
        <v>2014</v>
      </c>
      <c r="B145" s="77">
        <v>51.498144626802294</v>
      </c>
      <c r="C145" s="77">
        <v>144.73500051066921</v>
      </c>
      <c r="D145" s="77">
        <v>131.32076014558427</v>
      </c>
      <c r="E145" s="77">
        <v>86.465409663825696</v>
      </c>
      <c r="F145" s="77">
        <v>38.927427646273294</v>
      </c>
      <c r="G145" s="77">
        <v>9.193745370092298</v>
      </c>
      <c r="H145" s="78">
        <v>0.66677841037816654</v>
      </c>
      <c r="I145" s="79">
        <v>2.3140363318681265</v>
      </c>
    </row>
    <row r="146" spans="1:9">
      <c r="A146" s="76">
        <v>2015</v>
      </c>
      <c r="B146" s="77">
        <v>48.360450089232032</v>
      </c>
      <c r="C146" s="77">
        <v>144.06902318999067</v>
      </c>
      <c r="D146" s="77">
        <v>127.99532437171244</v>
      </c>
      <c r="E146" s="77">
        <v>87.672809768166758</v>
      </c>
      <c r="F146" s="77">
        <v>41.533571524343593</v>
      </c>
      <c r="G146" s="77">
        <v>10.555130630811965</v>
      </c>
      <c r="H146" s="78">
        <v>0.67469261908890099</v>
      </c>
      <c r="I146" s="79">
        <v>2.3043050109667318</v>
      </c>
    </row>
    <row r="147" spans="1:9">
      <c r="A147" s="76">
        <v>2016</v>
      </c>
      <c r="B147" s="77">
        <v>43.42226132094271</v>
      </c>
      <c r="C147" s="77">
        <v>134.85217960759309</v>
      </c>
      <c r="D147" s="77">
        <v>127.48631981238599</v>
      </c>
      <c r="E147" s="77">
        <v>86.403897254207251</v>
      </c>
      <c r="F147" s="77">
        <v>43.743682082385646</v>
      </c>
      <c r="G147" s="77">
        <v>11.236046143993256</v>
      </c>
      <c r="H147" s="78">
        <v>0.80336796570236757</v>
      </c>
      <c r="I147" s="79">
        <v>2.2397387709360519</v>
      </c>
    </row>
    <row r="148" spans="1:9">
      <c r="A148" s="80">
        <v>2017</v>
      </c>
      <c r="B148" s="81">
        <v>36.189942120125778</v>
      </c>
      <c r="C148" s="81">
        <v>126.11388902816458</v>
      </c>
      <c r="D148" s="81">
        <v>126.892415709793</v>
      </c>
      <c r="E148" s="81">
        <v>84.483442832576387</v>
      </c>
      <c r="F148" s="81">
        <v>44.040244624186229</v>
      </c>
      <c r="G148" s="81">
        <v>10.471460177892588</v>
      </c>
      <c r="H148" s="82">
        <v>0.52701235507160238</v>
      </c>
      <c r="I148" s="83">
        <v>2.1435920342390506</v>
      </c>
    </row>
  </sheetData>
  <mergeCells count="7">
    <mergeCell ref="A2:H2"/>
    <mergeCell ref="A8:H8"/>
    <mergeCell ref="I123:I124"/>
    <mergeCell ref="A17:D17"/>
    <mergeCell ref="A38:F38"/>
    <mergeCell ref="A123:A124"/>
    <mergeCell ref="B123:H123"/>
  </mergeCells>
  <dataValidations count="1">
    <dataValidation type="list" allowBlank="1" showInputMessage="1" showErrorMessage="1" promptTitle="Floor on payment" sqref="F13:F14">
      <formula1>$F$2:$F$4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Title="Payment rate">
          <x14:formula1>
            <xm:f>Data!$F$2:$F$9</xm:f>
          </x14:formula1>
          <xm:sqref>E10:E11 E13:E14</xm:sqref>
        </x14:dataValidation>
        <x14:dataValidation type="list" allowBlank="1" showInputMessage="1" showErrorMessage="1" promptTitle="Floor on payment">
          <x14:formula1>
            <xm:f>Data!$H$2:$H$4</xm:f>
          </x14:formula1>
          <xm:sqref>F10</xm:sqref>
        </x14:dataValidation>
        <x14:dataValidation type="list" allowBlank="1" showInputMessage="1" showErrorMessage="1">
          <x14:formula1>
            <xm:f>Data!$A$2:$A$15</xm:f>
          </x14:formula1>
          <xm:sqref>B14</xm:sqref>
        </x14:dataValidation>
        <x14:dataValidation type="list" allowBlank="1" showInputMessage="1" showErrorMessage="1">
          <x14:formula1>
            <xm:f>Data!$J$2:$J$8</xm:f>
          </x14:formula1>
          <xm:sqref>G10:G11 G13:G14 G4:G5</xm:sqref>
        </x14:dataValidation>
        <x14:dataValidation type="list" allowBlank="1" showInputMessage="1" showErrorMessage="1" promptTitle="Floor on payment">
          <x14:formula1>
            <xm:f>Data!$H$3:$H$7</xm:f>
          </x14:formula1>
          <xm:sqref>F11</xm:sqref>
        </x14:dataValidation>
        <x14:dataValidation type="list" allowBlank="1" showInputMessage="1" showErrorMessage="1">
          <x14:formula1>
            <xm:f>Data!$L$2:$L$25</xm:f>
          </x14:formula1>
          <xm:sqref>B43:E43 B45:E46 B22:C22 B24:C25</xm:sqref>
        </x14:dataValidation>
        <x14:dataValidation type="list" allowBlank="1" showInputMessage="1" showErrorMessage="1">
          <x14:formula1>
            <xm:f>Data!$N$9:$N$12</xm:f>
          </x14:formula1>
          <xm:sqref>H11 H14</xm:sqref>
        </x14:dataValidation>
        <x14:dataValidation type="list" allowBlank="1" showInputMessage="1" showErrorMessage="1">
          <x14:formula1>
            <xm:f>Data!$N$3:$N$7</xm:f>
          </x14:formula1>
          <xm:sqref>H4:H5 H10 H13</xm:sqref>
        </x14:dataValidation>
        <x14:dataValidation type="list" allowBlank="1" showInputMessage="1" showErrorMessage="1">
          <x14:formula1>
            <xm:f>Data!$Q$2:$Q$6</xm:f>
          </x14:formula1>
          <xm:sqref>B28:C28 B49 D49</xm:sqref>
        </x14:dataValidation>
        <x14:dataValidation type="list" allowBlank="1" showInputMessage="1" showErrorMessage="1">
          <x14:formula1>
            <xm:f>Data!$C$4:$C$10</xm:f>
          </x14:formula1>
          <xm:sqref>B11:C11</xm:sqref>
        </x14:dataValidation>
        <x14:dataValidation type="list" allowBlank="1" showInputMessage="1" showErrorMessage="1">
          <x14:formula1>
            <xm:f>Data!$D$2:$D$13</xm:f>
          </x14:formula1>
          <xm:sqref>C13:C14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topLeftCell="A63" workbookViewId="0">
      <selection activeCell="B85" sqref="B85"/>
    </sheetView>
  </sheetViews>
  <sheetFormatPr defaultColWidth="8.88671875" defaultRowHeight="14.4"/>
  <cols>
    <col min="1" max="1" width="31.88671875" bestFit="1" customWidth="1"/>
    <col min="2" max="2" width="33.33203125" bestFit="1" customWidth="1"/>
    <col min="3" max="3" width="23" bestFit="1" customWidth="1"/>
    <col min="4" max="4" width="18.44140625" bestFit="1" customWidth="1"/>
    <col min="5" max="5" width="10" customWidth="1"/>
    <col min="6" max="6" width="10.5546875" bestFit="1" customWidth="1"/>
    <col min="7" max="7" width="12.109375" customWidth="1"/>
    <col min="8" max="8" width="7.33203125" customWidth="1"/>
    <col min="9" max="9" width="30" bestFit="1" customWidth="1"/>
    <col min="10" max="10" width="12.44140625" customWidth="1"/>
    <col min="11" max="11" width="28.88671875" bestFit="1" customWidth="1"/>
    <col min="12" max="12" width="12.33203125" customWidth="1"/>
    <col min="14" max="14" width="23" bestFit="1" customWidth="1"/>
    <col min="17" max="17" width="18.109375" customWidth="1"/>
  </cols>
  <sheetData>
    <row r="1" spans="1:17" s="68" customFormat="1" ht="42" customHeight="1">
      <c r="A1" s="66" t="s">
        <v>88</v>
      </c>
      <c r="B1" s="66" t="s">
        <v>87</v>
      </c>
      <c r="C1" s="66" t="s">
        <v>50</v>
      </c>
      <c r="D1" s="66" t="s">
        <v>86</v>
      </c>
      <c r="E1" s="67" t="s">
        <v>51</v>
      </c>
      <c r="F1" s="66" t="s">
        <v>4</v>
      </c>
      <c r="G1" s="66" t="s">
        <v>52</v>
      </c>
      <c r="H1" s="169" t="s">
        <v>5</v>
      </c>
      <c r="I1" s="169"/>
      <c r="J1" s="169" t="s">
        <v>6</v>
      </c>
      <c r="K1" s="169"/>
      <c r="L1" s="66" t="s">
        <v>97</v>
      </c>
      <c r="M1" s="66"/>
      <c r="N1" s="169" t="s">
        <v>98</v>
      </c>
      <c r="O1" s="169"/>
      <c r="P1" s="169"/>
      <c r="Q1" s="117" t="s">
        <v>127</v>
      </c>
    </row>
    <row r="2" spans="1:17">
      <c r="A2">
        <v>607</v>
      </c>
      <c r="B2">
        <v>183</v>
      </c>
      <c r="C2">
        <v>90</v>
      </c>
      <c r="D2">
        <v>183</v>
      </c>
      <c r="E2" s="1" t="s">
        <v>53</v>
      </c>
      <c r="F2" s="30">
        <v>1</v>
      </c>
      <c r="G2" s="30">
        <v>1</v>
      </c>
      <c r="H2" s="54">
        <f>A18*2</f>
        <v>302.50534155742474</v>
      </c>
      <c r="I2" s="1" t="s">
        <v>58</v>
      </c>
      <c r="J2">
        <f>1E+99</f>
        <v>9.9999999999999997E+98</v>
      </c>
      <c r="K2" s="1" t="s">
        <v>92</v>
      </c>
      <c r="L2" s="30">
        <v>1</v>
      </c>
      <c r="M2" s="30"/>
      <c r="N2" s="69" t="s">
        <v>103</v>
      </c>
      <c r="O2" s="69" t="s">
        <v>57</v>
      </c>
      <c r="P2" s="69" t="s">
        <v>54</v>
      </c>
      <c r="Q2" s="60">
        <v>1</v>
      </c>
    </row>
    <row r="3" spans="1:17">
      <c r="A3">
        <v>547</v>
      </c>
      <c r="B3">
        <v>123</v>
      </c>
      <c r="C3">
        <v>60</v>
      </c>
      <c r="D3">
        <v>123</v>
      </c>
      <c r="E3" s="1"/>
      <c r="F3" s="30">
        <v>0.9</v>
      </c>
      <c r="G3" s="30">
        <v>0.8</v>
      </c>
      <c r="H3" s="54">
        <f>A18</f>
        <v>151.25267077871237</v>
      </c>
      <c r="I3" s="1" t="s">
        <v>55</v>
      </c>
      <c r="J3" s="59">
        <f>ROUND(B18*3,0)</f>
        <v>2997</v>
      </c>
      <c r="K3" s="1" t="s">
        <v>60</v>
      </c>
      <c r="L3" s="30">
        <v>0.95</v>
      </c>
      <c r="M3" s="30"/>
      <c r="N3" s="1" t="s">
        <v>105</v>
      </c>
      <c r="O3" s="60">
        <v>0</v>
      </c>
      <c r="P3" s="60">
        <f>1-O3</f>
        <v>1</v>
      </c>
      <c r="Q3" s="60">
        <v>0.8</v>
      </c>
    </row>
    <row r="4" spans="1:17">
      <c r="A4">
        <v>450</v>
      </c>
      <c r="B4">
        <v>120</v>
      </c>
      <c r="C4">
        <v>30</v>
      </c>
      <c r="D4">
        <v>120</v>
      </c>
      <c r="E4" s="1"/>
      <c r="F4" s="30">
        <v>0.8</v>
      </c>
      <c r="G4" s="30">
        <v>0.6</v>
      </c>
      <c r="H4" s="54">
        <v>0</v>
      </c>
      <c r="J4" s="59">
        <f>ROUND(B18*2,0)</f>
        <v>1998</v>
      </c>
      <c r="K4" s="1" t="s">
        <v>59</v>
      </c>
      <c r="L4" s="30">
        <v>0.9</v>
      </c>
      <c r="M4" s="30"/>
      <c r="N4" t="s">
        <v>101</v>
      </c>
      <c r="O4" s="65">
        <f>7/'Private Sector Model'!C10</f>
        <v>5.5555555555555552E-2</v>
      </c>
      <c r="P4" s="60">
        <f>1-O4</f>
        <v>0.94444444444444442</v>
      </c>
      <c r="Q4" s="60">
        <v>0.6</v>
      </c>
    </row>
    <row r="5" spans="1:17">
      <c r="A5">
        <v>300</v>
      </c>
      <c r="B5">
        <v>93</v>
      </c>
      <c r="C5" s="1">
        <v>14</v>
      </c>
      <c r="D5">
        <v>93</v>
      </c>
      <c r="E5" s="1"/>
      <c r="F5" s="30">
        <v>0.7</v>
      </c>
      <c r="G5" s="30">
        <v>0.4</v>
      </c>
      <c r="H5" s="1"/>
      <c r="I5" s="1"/>
      <c r="J5" s="54">
        <f>ROUND(A18*12,0)</f>
        <v>1815</v>
      </c>
      <c r="K5" s="1" t="s">
        <v>56</v>
      </c>
      <c r="L5" s="30">
        <v>0.85</v>
      </c>
      <c r="M5" s="30"/>
      <c r="N5" t="s">
        <v>100</v>
      </c>
      <c r="O5" s="65">
        <f>14/'Private Sector Model'!C10</f>
        <v>0.1111111111111111</v>
      </c>
      <c r="P5" s="60">
        <f>1-O5</f>
        <v>0.88888888888888884</v>
      </c>
      <c r="Q5" s="60">
        <v>0.3</v>
      </c>
    </row>
    <row r="6" spans="1:17">
      <c r="A6">
        <v>150</v>
      </c>
      <c r="B6">
        <v>90</v>
      </c>
      <c r="C6" s="1">
        <v>7</v>
      </c>
      <c r="D6">
        <v>90</v>
      </c>
      <c r="E6" s="1"/>
      <c r="F6" s="30">
        <v>0.67</v>
      </c>
      <c r="G6" s="30">
        <v>0.2</v>
      </c>
      <c r="I6" s="1"/>
      <c r="J6" s="54">
        <f>ROUND(A18*10,0)</f>
        <v>1513</v>
      </c>
      <c r="K6" s="1" t="s">
        <v>89</v>
      </c>
      <c r="L6" s="30">
        <v>0.8</v>
      </c>
      <c r="M6" s="30"/>
      <c r="N6" s="1" t="s">
        <v>107</v>
      </c>
      <c r="O6" s="60">
        <v>0.5</v>
      </c>
      <c r="P6" s="60">
        <f>1-O6</f>
        <v>0.5</v>
      </c>
      <c r="Q6" s="60">
        <v>0</v>
      </c>
    </row>
    <row r="7" spans="1:17">
      <c r="A7">
        <v>123</v>
      </c>
      <c r="B7">
        <v>60</v>
      </c>
      <c r="C7" s="1">
        <v>3</v>
      </c>
      <c r="D7">
        <v>60</v>
      </c>
      <c r="E7" s="1"/>
      <c r="F7" s="30">
        <v>0.65</v>
      </c>
      <c r="G7" s="30">
        <v>0.1</v>
      </c>
      <c r="I7" s="1"/>
      <c r="J7" s="54">
        <f>ROUND(A18*8,0)</f>
        <v>1210</v>
      </c>
      <c r="K7" s="1" t="s">
        <v>94</v>
      </c>
      <c r="L7" s="30">
        <v>0.75</v>
      </c>
      <c r="M7" s="30"/>
      <c r="N7" s="1" t="s">
        <v>106</v>
      </c>
      <c r="O7" s="60">
        <v>1</v>
      </c>
      <c r="P7" s="60">
        <f>1-O7</f>
        <v>0</v>
      </c>
    </row>
    <row r="8" spans="1:17">
      <c r="A8">
        <v>93</v>
      </c>
      <c r="B8">
        <v>33</v>
      </c>
      <c r="C8" s="1">
        <v>0</v>
      </c>
      <c r="D8">
        <v>33</v>
      </c>
      <c r="E8" s="1"/>
      <c r="F8" s="30">
        <v>0.5</v>
      </c>
      <c r="G8" s="30">
        <v>0.05</v>
      </c>
      <c r="H8" s="1"/>
      <c r="I8" s="1"/>
      <c r="J8" s="54">
        <v>1000</v>
      </c>
      <c r="K8" s="1" t="s">
        <v>93</v>
      </c>
      <c r="L8" s="30">
        <v>0.7</v>
      </c>
      <c r="M8" s="30"/>
      <c r="N8" s="69" t="s">
        <v>104</v>
      </c>
      <c r="O8" s="69" t="s">
        <v>57</v>
      </c>
      <c r="P8" s="69" t="s">
        <v>54</v>
      </c>
    </row>
    <row r="9" spans="1:17">
      <c r="A9">
        <v>90</v>
      </c>
      <c r="B9">
        <v>30</v>
      </c>
      <c r="C9" s="1"/>
      <c r="D9">
        <v>30</v>
      </c>
      <c r="E9" s="1"/>
      <c r="F9" s="30">
        <v>0</v>
      </c>
      <c r="G9" s="30">
        <v>0.02</v>
      </c>
      <c r="H9" s="1"/>
      <c r="I9" s="1"/>
      <c r="K9" s="1"/>
      <c r="L9" s="30">
        <v>0.65</v>
      </c>
      <c r="M9" s="30"/>
      <c r="N9" s="1" t="s">
        <v>105</v>
      </c>
      <c r="O9" s="60">
        <v>0</v>
      </c>
      <c r="P9" s="60">
        <f>1-O9</f>
        <v>1</v>
      </c>
    </row>
    <row r="10" spans="1:17">
      <c r="A10">
        <v>60</v>
      </c>
      <c r="B10">
        <v>0</v>
      </c>
      <c r="C10" s="1"/>
      <c r="D10" s="1">
        <v>14</v>
      </c>
      <c r="E10" s="1"/>
      <c r="F10" s="1"/>
      <c r="G10" s="30">
        <v>0.01</v>
      </c>
      <c r="H10" s="1"/>
      <c r="I10" s="1"/>
      <c r="J10" s="1"/>
      <c r="K10" s="1"/>
      <c r="L10" s="30">
        <v>0.6</v>
      </c>
      <c r="M10" s="30"/>
      <c r="N10" t="s">
        <v>102</v>
      </c>
      <c r="O10" s="65">
        <f>3/'Private Sector Model'!C11</f>
        <v>0.21428571428571427</v>
      </c>
      <c r="P10" s="60">
        <f>1-O10</f>
        <v>0.7857142857142857</v>
      </c>
    </row>
    <row r="11" spans="1:17">
      <c r="A11">
        <v>30</v>
      </c>
      <c r="D11" s="1">
        <v>7</v>
      </c>
      <c r="L11" s="30">
        <v>0.55000000000000004</v>
      </c>
      <c r="M11" s="30"/>
      <c r="N11" t="s">
        <v>101</v>
      </c>
      <c r="O11" s="65">
        <f>7/'Private Sector Model'!C11</f>
        <v>0.5</v>
      </c>
      <c r="P11" s="60">
        <f>1-O11</f>
        <v>0.5</v>
      </c>
    </row>
    <row r="12" spans="1:17">
      <c r="A12">
        <v>14</v>
      </c>
      <c r="D12" s="1">
        <v>3</v>
      </c>
      <c r="L12" s="30">
        <v>0.5</v>
      </c>
      <c r="M12" s="30"/>
      <c r="N12" s="1" t="s">
        <v>106</v>
      </c>
      <c r="O12" s="60">
        <v>1</v>
      </c>
      <c r="P12" s="60">
        <f>1-O12</f>
        <v>0</v>
      </c>
    </row>
    <row r="13" spans="1:17">
      <c r="A13">
        <v>7</v>
      </c>
      <c r="D13" s="1">
        <v>0</v>
      </c>
      <c r="K13" s="1"/>
      <c r="L13" s="30">
        <v>0.45</v>
      </c>
      <c r="M13" s="30"/>
    </row>
    <row r="14" spans="1:17">
      <c r="A14">
        <v>3</v>
      </c>
      <c r="L14" s="30">
        <v>0.4</v>
      </c>
      <c r="M14" s="30"/>
    </row>
    <row r="15" spans="1:17">
      <c r="A15">
        <v>0</v>
      </c>
      <c r="L15" s="30">
        <v>0.35</v>
      </c>
      <c r="M15" s="30"/>
    </row>
    <row r="16" spans="1:17">
      <c r="L16" s="30">
        <v>0.34</v>
      </c>
      <c r="M16" s="30"/>
    </row>
    <row r="17" spans="1:13" ht="42" customHeight="1">
      <c r="A17" s="52" t="s">
        <v>90</v>
      </c>
      <c r="B17" s="52" t="s">
        <v>91</v>
      </c>
      <c r="L17" s="30">
        <v>0.31</v>
      </c>
      <c r="M17" s="30"/>
    </row>
    <row r="18" spans="1:13">
      <c r="A18" s="53">
        <v>151.25267077871237</v>
      </c>
      <c r="B18" s="53">
        <v>999.13358973787899</v>
      </c>
      <c r="L18" s="30">
        <v>0.3</v>
      </c>
      <c r="M18" s="30"/>
    </row>
    <row r="19" spans="1:13">
      <c r="B19" s="51"/>
      <c r="L19" s="30">
        <v>0.25</v>
      </c>
      <c r="M19" s="30"/>
    </row>
    <row r="20" spans="1:13">
      <c r="L20" s="30">
        <v>0.2</v>
      </c>
      <c r="M20" s="30"/>
    </row>
    <row r="21" spans="1:13" ht="15" customHeight="1">
      <c r="L21" s="30">
        <v>0.15</v>
      </c>
      <c r="M21" s="30"/>
    </row>
    <row r="22" spans="1:13">
      <c r="A22" s="169" t="s">
        <v>108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30">
        <v>0.1</v>
      </c>
      <c r="M22" s="30"/>
    </row>
    <row r="23" spans="1:13">
      <c r="E23" s="63"/>
      <c r="F23" s="63"/>
      <c r="G23" s="84"/>
      <c r="H23" s="84"/>
      <c r="I23" s="84"/>
      <c r="J23" s="84"/>
      <c r="K23" s="84" t="s">
        <v>109</v>
      </c>
      <c r="L23" s="30">
        <v>0.05</v>
      </c>
      <c r="M23" s="30"/>
    </row>
    <row r="24" spans="1:13">
      <c r="A24" s="170"/>
      <c r="B24" s="172">
        <v>2013</v>
      </c>
      <c r="C24" s="173"/>
      <c r="D24" s="173">
        <v>2014</v>
      </c>
      <c r="E24" s="173"/>
      <c r="F24" s="173">
        <v>2015</v>
      </c>
      <c r="G24" s="173"/>
      <c r="H24" s="173">
        <v>2016</v>
      </c>
      <c r="I24" s="173"/>
      <c r="J24" s="173">
        <v>2017</v>
      </c>
      <c r="K24" s="174"/>
      <c r="L24" s="60">
        <v>0.02</v>
      </c>
      <c r="M24" s="60"/>
    </row>
    <row r="25" spans="1:13" ht="15" thickBot="1">
      <c r="A25" s="171"/>
      <c r="B25" s="85" t="s">
        <v>110</v>
      </c>
      <c r="C25" s="86" t="s">
        <v>111</v>
      </c>
      <c r="D25" s="86" t="s">
        <v>110</v>
      </c>
      <c r="E25" s="86" t="s">
        <v>111</v>
      </c>
      <c r="F25" s="86" t="s">
        <v>110</v>
      </c>
      <c r="G25" s="86" t="s">
        <v>111</v>
      </c>
      <c r="H25" s="86" t="s">
        <v>110</v>
      </c>
      <c r="I25" s="86" t="s">
        <v>111</v>
      </c>
      <c r="J25" s="86" t="s">
        <v>110</v>
      </c>
      <c r="K25" s="87" t="s">
        <v>111</v>
      </c>
      <c r="L25" s="60">
        <v>0</v>
      </c>
      <c r="M25" s="60"/>
    </row>
    <row r="26" spans="1:13" ht="15.6" thickTop="1">
      <c r="A26" s="88" t="s">
        <v>112</v>
      </c>
      <c r="B26" s="89">
        <v>164.41967542391001</v>
      </c>
      <c r="C26" s="90">
        <v>170.36972641969197</v>
      </c>
      <c r="D26" s="90">
        <v>170.75751143659599</v>
      </c>
      <c r="E26" s="90">
        <v>177.102016820572</v>
      </c>
      <c r="F26" s="90">
        <v>174.25486639560199</v>
      </c>
      <c r="G26" s="90">
        <v>175.02267224521998</v>
      </c>
      <c r="H26" s="90">
        <v>187.39564277938501</v>
      </c>
      <c r="I26" s="90">
        <v>182.62927256349701</v>
      </c>
      <c r="J26" s="90">
        <v>188.30424785609299</v>
      </c>
      <c r="K26" s="91">
        <v>180.28197709715499</v>
      </c>
    </row>
    <row r="27" spans="1:13" ht="24">
      <c r="A27" s="92" t="s">
        <v>113</v>
      </c>
      <c r="B27" s="93">
        <v>30.196000000000002</v>
      </c>
      <c r="C27" s="94">
        <v>88.997</v>
      </c>
      <c r="D27" s="94">
        <v>32.380000000000003</v>
      </c>
      <c r="E27" s="94">
        <v>93.263999999999996</v>
      </c>
      <c r="F27" s="94">
        <v>30.646000000000001</v>
      </c>
      <c r="G27" s="94">
        <v>87.786000000000001</v>
      </c>
      <c r="H27" s="94">
        <v>35.731999999999999</v>
      </c>
      <c r="I27" s="94">
        <v>88.930999999999997</v>
      </c>
      <c r="J27" s="94">
        <v>34.545999999999999</v>
      </c>
      <c r="K27" s="95">
        <v>86.4</v>
      </c>
    </row>
    <row r="28" spans="1:13" ht="15.6" thickBot="1">
      <c r="A28" s="96" t="s">
        <v>114</v>
      </c>
      <c r="B28" s="97">
        <v>212.795823110101</v>
      </c>
      <c r="C28" s="98">
        <v>311.88442614806405</v>
      </c>
      <c r="D28" s="98">
        <v>235.33294643083499</v>
      </c>
      <c r="E28" s="98">
        <v>324.76875669368201</v>
      </c>
      <c r="F28" s="99">
        <v>250.829574104811</v>
      </c>
      <c r="G28" s="99">
        <v>333.116004341912</v>
      </c>
      <c r="H28" s="99">
        <v>264.68529346167497</v>
      </c>
      <c r="I28" s="99">
        <v>351.903877717846</v>
      </c>
      <c r="J28" s="99">
        <v>285.22522247189301</v>
      </c>
      <c r="K28" s="100">
        <v>366.34474049041103</v>
      </c>
    </row>
    <row r="29" spans="1:13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</row>
    <row r="30" spans="1:13">
      <c r="A30" s="169" t="s">
        <v>115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</row>
    <row r="31" spans="1:13">
      <c r="A31" s="101"/>
      <c r="B31" s="102"/>
      <c r="C31" s="102"/>
      <c r="D31" s="102"/>
      <c r="E31" s="102"/>
      <c r="F31" s="102"/>
      <c r="G31" s="102"/>
      <c r="H31" s="102"/>
      <c r="I31" s="102"/>
      <c r="J31" s="102"/>
      <c r="K31" s="84" t="s">
        <v>116</v>
      </c>
    </row>
    <row r="32" spans="1:13">
      <c r="A32" s="170"/>
      <c r="B32" s="172">
        <v>2013</v>
      </c>
      <c r="C32" s="173"/>
      <c r="D32" s="173">
        <v>2014</v>
      </c>
      <c r="E32" s="173"/>
      <c r="F32" s="173">
        <v>2015</v>
      </c>
      <c r="G32" s="173"/>
      <c r="H32" s="173">
        <v>2016</v>
      </c>
      <c r="I32" s="173"/>
      <c r="J32" s="173">
        <v>2017</v>
      </c>
      <c r="K32" s="174"/>
    </row>
    <row r="33" spans="1:11" ht="15" thickBot="1">
      <c r="A33" s="171"/>
      <c r="B33" s="85" t="s">
        <v>110</v>
      </c>
      <c r="C33" s="86" t="s">
        <v>111</v>
      </c>
      <c r="D33" s="86" t="s">
        <v>110</v>
      </c>
      <c r="E33" s="86" t="s">
        <v>111</v>
      </c>
      <c r="F33" s="86" t="s">
        <v>110</v>
      </c>
      <c r="G33" s="86" t="s">
        <v>111</v>
      </c>
      <c r="H33" s="86" t="s">
        <v>110</v>
      </c>
      <c r="I33" s="86" t="s">
        <v>111</v>
      </c>
      <c r="J33" s="86" t="s">
        <v>110</v>
      </c>
      <c r="K33" s="87" t="s">
        <v>111</v>
      </c>
    </row>
    <row r="34" spans="1:11" ht="15.6" thickTop="1">
      <c r="A34" s="88" t="s">
        <v>112</v>
      </c>
      <c r="B34" s="89">
        <v>538.41831435094809</v>
      </c>
      <c r="C34" s="90">
        <v>931.93653598819765</v>
      </c>
      <c r="D34" s="90">
        <v>592.526691220781</v>
      </c>
      <c r="E34" s="90">
        <v>977.41239782852358</v>
      </c>
      <c r="F34" s="90">
        <v>637.24772754907463</v>
      </c>
      <c r="G34" s="90">
        <v>1013.2114655049559</v>
      </c>
      <c r="H34" s="90">
        <v>679.71846619943449</v>
      </c>
      <c r="I34" s="90">
        <v>1035.2266439883103</v>
      </c>
      <c r="J34" s="90">
        <v>700.88975462216217</v>
      </c>
      <c r="K34" s="91">
        <v>1028.711545447595</v>
      </c>
    </row>
    <row r="35" spans="1:11" ht="24">
      <c r="A35" s="92" t="s">
        <v>113</v>
      </c>
      <c r="B35" s="93">
        <v>1020.0795938755684</v>
      </c>
      <c r="C35" s="94">
        <v>1124.4496556063687</v>
      </c>
      <c r="D35" s="94">
        <v>1125.2478536133415</v>
      </c>
      <c r="E35" s="94">
        <v>1174.3381243924057</v>
      </c>
      <c r="F35" s="94">
        <v>1252.9479785290084</v>
      </c>
      <c r="G35" s="94">
        <v>1261.5980965074157</v>
      </c>
      <c r="H35" s="94">
        <v>1201.1046354341579</v>
      </c>
      <c r="I35" s="94">
        <v>1276.2273016908239</v>
      </c>
      <c r="J35" s="94">
        <v>1185.7710275188635</v>
      </c>
      <c r="K35" s="95">
        <v>1256.265384837963</v>
      </c>
    </row>
    <row r="36" spans="1:11" ht="15.6" thickBot="1">
      <c r="A36" s="96" t="s">
        <v>114</v>
      </c>
      <c r="B36" s="97">
        <v>620.9489054065433</v>
      </c>
      <c r="C36" s="98">
        <v>913.90844285346441</v>
      </c>
      <c r="D36" s="98">
        <v>636.27811474977193</v>
      </c>
      <c r="E36" s="98">
        <v>981.35715339947194</v>
      </c>
      <c r="F36" s="99">
        <v>730.93667140139462</v>
      </c>
      <c r="G36" s="99">
        <v>1106.4302743239625</v>
      </c>
      <c r="H36" s="99">
        <v>767.68997402993057</v>
      </c>
      <c r="I36" s="99">
        <v>1158.8175221404879</v>
      </c>
      <c r="J36" s="99">
        <v>815.96642048820638</v>
      </c>
      <c r="K36" s="100">
        <v>1280.4863537386611</v>
      </c>
    </row>
    <row r="37" spans="1:11">
      <c r="A37" t="s">
        <v>125</v>
      </c>
      <c r="E37" s="63"/>
      <c r="F37" s="63"/>
      <c r="G37" s="63"/>
      <c r="H37" s="63"/>
      <c r="I37" s="63"/>
      <c r="J37" s="63"/>
      <c r="K37" s="63"/>
    </row>
    <row r="38" spans="1:11">
      <c r="A38" s="163" t="s">
        <v>117</v>
      </c>
      <c r="B38" s="163"/>
      <c r="C38" s="163"/>
      <c r="D38" s="163"/>
      <c r="E38" s="103"/>
      <c r="F38" s="63"/>
      <c r="G38" s="63"/>
      <c r="H38" s="63"/>
      <c r="I38" s="63"/>
      <c r="J38" s="63"/>
      <c r="K38" s="63"/>
    </row>
    <row r="39" spans="1:11">
      <c r="A39" s="104" t="s">
        <v>118</v>
      </c>
      <c r="E39" s="63"/>
      <c r="F39" s="63"/>
      <c r="G39" s="63"/>
      <c r="H39" s="63"/>
      <c r="I39" s="63"/>
      <c r="J39" s="63"/>
      <c r="K39" s="63"/>
    </row>
    <row r="40" spans="1:11">
      <c r="A40" s="105" t="s">
        <v>119</v>
      </c>
      <c r="E40" s="63"/>
      <c r="F40" s="63"/>
      <c r="G40" s="63"/>
      <c r="H40" s="63"/>
      <c r="I40" s="63"/>
      <c r="J40" s="63"/>
      <c r="K40" s="63"/>
    </row>
    <row r="44" spans="1:11" ht="15" thickBot="1"/>
    <row r="45" spans="1:11">
      <c r="A45" s="164" t="s">
        <v>120</v>
      </c>
      <c r="B45" s="106" t="s">
        <v>121</v>
      </c>
      <c r="C45" s="106">
        <v>32377</v>
      </c>
    </row>
    <row r="46" spans="1:11">
      <c r="A46" s="165"/>
      <c r="B46" s="107" t="s">
        <v>122</v>
      </c>
      <c r="C46" s="107">
        <v>14331</v>
      </c>
    </row>
    <row r="47" spans="1:11" ht="15" thickBot="1">
      <c r="A47" s="166"/>
      <c r="B47" s="108" t="s">
        <v>123</v>
      </c>
      <c r="C47" s="108">
        <v>46708</v>
      </c>
    </row>
    <row r="48" spans="1:11" ht="15" thickBot="1"/>
    <row r="49" spans="1:13" ht="15" thickBot="1">
      <c r="A49" s="167" t="s">
        <v>124</v>
      </c>
      <c r="B49" s="168"/>
      <c r="C49" s="109">
        <v>1339</v>
      </c>
    </row>
    <row r="50" spans="1:13">
      <c r="A50" t="s">
        <v>126</v>
      </c>
    </row>
    <row r="52" spans="1:13">
      <c r="A52" s="69" t="s">
        <v>149</v>
      </c>
      <c r="B52" s="145">
        <f>SUM(B116:K116)</f>
        <v>43.089116634626841</v>
      </c>
    </row>
    <row r="55" spans="1:13">
      <c r="A55" s="162" t="s">
        <v>129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</row>
    <row r="56" spans="1:13">
      <c r="A56" s="118">
        <v>2016</v>
      </c>
      <c r="B56" s="119"/>
      <c r="M56" s="120" t="s">
        <v>109</v>
      </c>
    </row>
    <row r="57" spans="1:13">
      <c r="A57" s="121"/>
      <c r="B57" s="122" t="s">
        <v>64</v>
      </c>
      <c r="C57" s="122" t="s">
        <v>65</v>
      </c>
      <c r="D57" s="122" t="s">
        <v>66</v>
      </c>
      <c r="E57" s="122" t="s">
        <v>67</v>
      </c>
      <c r="F57" s="122" t="s">
        <v>68</v>
      </c>
      <c r="G57" s="122" t="s">
        <v>69</v>
      </c>
      <c r="H57" s="122" t="s">
        <v>130</v>
      </c>
      <c r="I57" s="122" t="s">
        <v>131</v>
      </c>
      <c r="J57" s="122" t="s">
        <v>132</v>
      </c>
      <c r="K57" s="122" t="s">
        <v>133</v>
      </c>
      <c r="L57" s="122" t="s">
        <v>134</v>
      </c>
      <c r="M57" s="123" t="s">
        <v>135</v>
      </c>
    </row>
    <row r="58" spans="1:13">
      <c r="A58" s="124" t="s">
        <v>136</v>
      </c>
      <c r="B58" s="125">
        <v>202.95829434777465</v>
      </c>
      <c r="C58" s="125">
        <v>223.56820817855996</v>
      </c>
      <c r="D58" s="125">
        <v>249.39488623590233</v>
      </c>
      <c r="E58" s="125">
        <v>251.61306042855341</v>
      </c>
      <c r="F58" s="125">
        <v>225.55690905073496</v>
      </c>
      <c r="G58" s="125">
        <v>247.61678862904452</v>
      </c>
      <c r="H58" s="125">
        <v>252.19055606563577</v>
      </c>
      <c r="I58" s="125">
        <v>264.51180339337321</v>
      </c>
      <c r="J58" s="125">
        <v>254.30800763498451</v>
      </c>
      <c r="K58" s="125">
        <v>247.67624966829601</v>
      </c>
      <c r="L58" s="125">
        <v>590.03623636713962</v>
      </c>
      <c r="M58" s="125">
        <v>3009.4309999999991</v>
      </c>
    </row>
    <row r="59" spans="1:13">
      <c r="A59" s="126" t="s">
        <v>137</v>
      </c>
      <c r="B59" s="127">
        <v>35.116259601965567</v>
      </c>
      <c r="C59" s="127">
        <v>127.89805701056638</v>
      </c>
      <c r="D59" s="127">
        <v>181.93887383962632</v>
      </c>
      <c r="E59" s="127">
        <v>195.16614396664994</v>
      </c>
      <c r="F59" s="127">
        <v>180.77192461211391</v>
      </c>
      <c r="G59" s="127">
        <v>212.55473385904915</v>
      </c>
      <c r="H59" s="127">
        <v>213.71428476019764</v>
      </c>
      <c r="I59" s="127">
        <v>217.59218197765557</v>
      </c>
      <c r="J59" s="127">
        <v>204.40803177913904</v>
      </c>
      <c r="K59" s="127">
        <v>179.40021197084607</v>
      </c>
      <c r="L59" s="127">
        <v>247.65810384338911</v>
      </c>
      <c r="M59" s="125">
        <v>1996.2188072211991</v>
      </c>
    </row>
    <row r="60" spans="1:13">
      <c r="A60" s="128" t="s">
        <v>138</v>
      </c>
      <c r="B60" s="127">
        <v>22.92787549548812</v>
      </c>
      <c r="C60" s="127">
        <v>85.891776468940606</v>
      </c>
      <c r="D60" s="127">
        <v>137.94575906209008</v>
      </c>
      <c r="E60" s="127">
        <v>159.64388412021179</v>
      </c>
      <c r="F60" s="127">
        <v>154.53607899697869</v>
      </c>
      <c r="G60" s="127">
        <v>183.63507017679845</v>
      </c>
      <c r="H60" s="127">
        <v>188.42197705533755</v>
      </c>
      <c r="I60" s="127">
        <v>184.953340547218</v>
      </c>
      <c r="J60" s="127">
        <v>189.21467834586593</v>
      </c>
      <c r="K60" s="127">
        <v>167.37668372633343</v>
      </c>
      <c r="L60" s="127">
        <v>242.73886472486521</v>
      </c>
      <c r="M60" s="125">
        <v>1717.2859887201275</v>
      </c>
    </row>
    <row r="61" spans="1:13">
      <c r="A61" s="129" t="s">
        <v>139</v>
      </c>
      <c r="B61" s="127">
        <v>6.6555725861143813</v>
      </c>
      <c r="C61" s="127">
        <v>50.744835278528534</v>
      </c>
      <c r="D61" s="127">
        <v>94.375727368039279</v>
      </c>
      <c r="E61" s="127">
        <v>92.976490656284881</v>
      </c>
      <c r="F61" s="127">
        <v>91.214019002139523</v>
      </c>
      <c r="G61" s="127">
        <v>102.0897610489062</v>
      </c>
      <c r="H61" s="127">
        <v>93.783282477963112</v>
      </c>
      <c r="I61" s="127">
        <v>82.21725209426836</v>
      </c>
      <c r="J61" s="127">
        <v>78.888262043481319</v>
      </c>
      <c r="K61" s="127">
        <v>62.48012051757317</v>
      </c>
      <c r="L61" s="127">
        <v>46.043264336573117</v>
      </c>
      <c r="M61" s="125">
        <v>801.46858740987182</v>
      </c>
    </row>
    <row r="62" spans="1:13">
      <c r="A62" s="129" t="s">
        <v>140</v>
      </c>
      <c r="B62" s="127">
        <v>16.272302909373735</v>
      </c>
      <c r="C62" s="127">
        <v>35.075850402203173</v>
      </c>
      <c r="D62" s="127">
        <v>43.139216867731825</v>
      </c>
      <c r="E62" s="127">
        <v>65.684466465851912</v>
      </c>
      <c r="F62" s="127">
        <v>62.856397746940083</v>
      </c>
      <c r="G62" s="127">
        <v>81.111355186984014</v>
      </c>
      <c r="H62" s="127">
        <v>93.685060533442112</v>
      </c>
      <c r="I62" s="127">
        <v>100.8228274600512</v>
      </c>
      <c r="J62" s="127">
        <v>109.50312613371689</v>
      </c>
      <c r="K62" s="127">
        <v>104.89656320876084</v>
      </c>
      <c r="L62" s="127">
        <v>196.4875845127336</v>
      </c>
      <c r="M62" s="125">
        <v>909.53475142778939</v>
      </c>
    </row>
    <row r="63" spans="1:13">
      <c r="A63" s="129" t="s">
        <v>141</v>
      </c>
      <c r="B63" s="127">
        <v>0</v>
      </c>
      <c r="C63" s="127">
        <v>7.109078820910987E-2</v>
      </c>
      <c r="D63" s="127">
        <v>0.43081482631898305</v>
      </c>
      <c r="E63" s="127">
        <v>0.98292699807514017</v>
      </c>
      <c r="F63" s="127">
        <v>0.4656622478991998</v>
      </c>
      <c r="G63" s="127">
        <v>0.43395394090851391</v>
      </c>
      <c r="H63" s="127">
        <v>0.95363404393300333</v>
      </c>
      <c r="I63" s="127">
        <v>1.9132609928996762</v>
      </c>
      <c r="J63" s="127">
        <v>0.82329016866808702</v>
      </c>
      <c r="K63" s="127">
        <v>0</v>
      </c>
      <c r="L63" s="127">
        <v>0.20801587555765114</v>
      </c>
      <c r="M63" s="125">
        <v>6.2826498824693644</v>
      </c>
    </row>
    <row r="64" spans="1:13">
      <c r="A64" s="128" t="s">
        <v>142</v>
      </c>
      <c r="B64" s="127">
        <v>12.188384106477409</v>
      </c>
      <c r="C64" s="127">
        <v>42.00628054162592</v>
      </c>
      <c r="D64" s="127">
        <v>43.99311477753605</v>
      </c>
      <c r="E64" s="127">
        <v>35.522259846438104</v>
      </c>
      <c r="F64" s="127">
        <v>26.235845615135187</v>
      </c>
      <c r="G64" s="127">
        <v>28.919663682250778</v>
      </c>
      <c r="H64" s="127">
        <v>25.292307704860306</v>
      </c>
      <c r="I64" s="127">
        <v>32.638841430437367</v>
      </c>
      <c r="J64" s="127">
        <v>15.193353433273025</v>
      </c>
      <c r="K64" s="127">
        <v>12.023528244512494</v>
      </c>
      <c r="L64" s="127">
        <v>4.9192391185239153</v>
      </c>
      <c r="M64" s="125">
        <v>278.93281850107059</v>
      </c>
    </row>
    <row r="65" spans="1:13">
      <c r="A65" s="126" t="s">
        <v>143</v>
      </c>
      <c r="B65" s="127">
        <v>167.84203474580903</v>
      </c>
      <c r="C65" s="127">
        <v>95.670151167993083</v>
      </c>
      <c r="D65" s="127">
        <v>67.456012396276208</v>
      </c>
      <c r="E65" s="127">
        <v>56.446916461903669</v>
      </c>
      <c r="F65" s="127">
        <v>44.784984438621308</v>
      </c>
      <c r="G65" s="127">
        <v>35.062054769995505</v>
      </c>
      <c r="H65" s="127">
        <v>38.476271305437869</v>
      </c>
      <c r="I65" s="127">
        <v>46.91962141571782</v>
      </c>
      <c r="J65" s="127">
        <v>49.899975855845554</v>
      </c>
      <c r="K65" s="127">
        <v>68.276037697449652</v>
      </c>
      <c r="L65" s="127">
        <v>342.37813252374599</v>
      </c>
      <c r="M65" s="125">
        <v>1013.2121927787957</v>
      </c>
    </row>
    <row r="66" spans="1:13" ht="27.6">
      <c r="A66" s="130" t="s">
        <v>144</v>
      </c>
      <c r="B66" s="131">
        <v>34.708662723848832</v>
      </c>
      <c r="C66" s="131">
        <v>32.843564260054045</v>
      </c>
      <c r="D66" s="131">
        <v>24.180162188051501</v>
      </c>
      <c r="E66" s="131">
        <v>18.201035858200978</v>
      </c>
      <c r="F66" s="131">
        <v>14.513230232753227</v>
      </c>
      <c r="G66" s="131">
        <v>13.605749049761554</v>
      </c>
      <c r="H66" s="131">
        <v>11.834636010990113</v>
      </c>
      <c r="I66" s="131">
        <v>15.000006495540832</v>
      </c>
      <c r="J66" s="131">
        <v>7.4328554025163269</v>
      </c>
      <c r="K66" s="131">
        <v>6.7020702553386116</v>
      </c>
      <c r="L66" s="131">
        <v>1.9863025042114839</v>
      </c>
      <c r="M66" s="131">
        <v>13.973058338697552</v>
      </c>
    </row>
    <row r="67" spans="1:13">
      <c r="A67" s="132" t="s">
        <v>145</v>
      </c>
      <c r="B67" s="131">
        <v>17.302204728717754</v>
      </c>
      <c r="C67" s="131">
        <v>57.207622699385084</v>
      </c>
      <c r="D67" s="131">
        <v>72.952126880232242</v>
      </c>
      <c r="E67" s="131">
        <v>77.565983114802648</v>
      </c>
      <c r="F67" s="131">
        <v>80.144707325924784</v>
      </c>
      <c r="G67" s="131">
        <v>85.840194857497337</v>
      </c>
      <c r="H67" s="131">
        <v>84.743175198271814</v>
      </c>
      <c r="I67" s="131">
        <v>82.261804269679288</v>
      </c>
      <c r="J67" s="131">
        <v>80.378134247558449</v>
      </c>
      <c r="K67" s="131">
        <v>72.43335289964638</v>
      </c>
      <c r="L67" s="131">
        <v>41.973371901397634</v>
      </c>
      <c r="M67" s="131">
        <v>66.33210089286645</v>
      </c>
    </row>
    <row r="68" spans="1:13" ht="15" thickBot="1">
      <c r="A68" s="133" t="s">
        <v>146</v>
      </c>
      <c r="B68" s="134">
        <v>11.296840845637266</v>
      </c>
      <c r="C68" s="134">
        <v>38.418600376463353</v>
      </c>
      <c r="D68" s="134">
        <v>55.312184280958888</v>
      </c>
      <c r="E68" s="134">
        <v>63.448170714311289</v>
      </c>
      <c r="F68" s="134">
        <v>68.513121432347063</v>
      </c>
      <c r="G68" s="134">
        <v>74.160993361359971</v>
      </c>
      <c r="H68" s="134">
        <v>74.714128869400781</v>
      </c>
      <c r="I68" s="134">
        <v>69.922528285878244</v>
      </c>
      <c r="J68" s="134">
        <v>74.403743753696943</v>
      </c>
      <c r="K68" s="134">
        <v>67.578818700014665</v>
      </c>
      <c r="L68" s="134">
        <v>41.139653764218174</v>
      </c>
      <c r="M68" s="134">
        <v>57.063477737822467</v>
      </c>
    </row>
    <row r="69" spans="1:13">
      <c r="A69" s="118">
        <v>2017</v>
      </c>
      <c r="B69" s="122" t="s">
        <v>64</v>
      </c>
      <c r="C69" s="122" t="s">
        <v>65</v>
      </c>
      <c r="D69" s="122" t="s">
        <v>66</v>
      </c>
      <c r="E69" s="122" t="s">
        <v>67</v>
      </c>
      <c r="F69" s="122" t="s">
        <v>68</v>
      </c>
      <c r="G69" s="122" t="s">
        <v>69</v>
      </c>
      <c r="H69" s="122" t="s">
        <v>130</v>
      </c>
      <c r="I69" s="122" t="s">
        <v>131</v>
      </c>
      <c r="J69" s="122" t="s">
        <v>132</v>
      </c>
      <c r="K69" s="122" t="s">
        <v>133</v>
      </c>
      <c r="L69" s="122" t="s">
        <v>134</v>
      </c>
      <c r="M69" s="123" t="s">
        <v>135</v>
      </c>
    </row>
    <row r="70" spans="1:13">
      <c r="A70" s="137" t="s">
        <v>136</v>
      </c>
      <c r="B70" s="125">
        <v>210.98491264201735</v>
      </c>
      <c r="C70" s="125">
        <v>210.983944071015</v>
      </c>
      <c r="D70" s="125">
        <v>278.49608067824863</v>
      </c>
      <c r="E70" s="125">
        <v>252.53604376847917</v>
      </c>
      <c r="F70" s="125">
        <v>240.76182892404498</v>
      </c>
      <c r="G70" s="125">
        <v>239.50944950347537</v>
      </c>
      <c r="H70" s="125">
        <v>230.03770135860174</v>
      </c>
      <c r="I70" s="125">
        <v>262.56725524268779</v>
      </c>
      <c r="J70" s="125">
        <v>274.62735612939582</v>
      </c>
      <c r="K70" s="125">
        <v>226.3620286594155</v>
      </c>
      <c r="L70" s="125">
        <v>585.42877762775458</v>
      </c>
      <c r="M70" s="125">
        <v>3012.2953786051357</v>
      </c>
    </row>
    <row r="71" spans="1:13">
      <c r="A71" s="126" t="s">
        <v>137</v>
      </c>
      <c r="B71" s="138">
        <v>51.799672193544495</v>
      </c>
      <c r="C71" s="138">
        <v>135.71575746545486</v>
      </c>
      <c r="D71" s="138">
        <v>211.21802552933161</v>
      </c>
      <c r="E71" s="138">
        <v>192.79875707282901</v>
      </c>
      <c r="F71" s="138">
        <v>192.69738648610138</v>
      </c>
      <c r="G71" s="138">
        <v>198.81243276012185</v>
      </c>
      <c r="H71" s="138">
        <v>188.16374454965842</v>
      </c>
      <c r="I71" s="138">
        <v>214.73211931176292</v>
      </c>
      <c r="J71" s="138">
        <v>210.87154412418224</v>
      </c>
      <c r="K71" s="138">
        <v>155.30168544067962</v>
      </c>
      <c r="L71" s="138">
        <v>230.94495848292428</v>
      </c>
      <c r="M71" s="125">
        <v>1983.0560834165906</v>
      </c>
    </row>
    <row r="72" spans="1:13">
      <c r="A72" s="128" t="s">
        <v>138</v>
      </c>
      <c r="B72" s="138">
        <v>37.773759808802907</v>
      </c>
      <c r="C72" s="138">
        <v>95.574466732107396</v>
      </c>
      <c r="D72" s="138">
        <v>167.30187960401128</v>
      </c>
      <c r="E72" s="138">
        <v>161.22074736815938</v>
      </c>
      <c r="F72" s="138">
        <v>160.68318442865265</v>
      </c>
      <c r="G72" s="138">
        <v>171.9552575908256</v>
      </c>
      <c r="H72" s="138">
        <v>165.71655579234545</v>
      </c>
      <c r="I72" s="138">
        <v>189.24536585143844</v>
      </c>
      <c r="J72" s="138">
        <v>190.87632695663399</v>
      </c>
      <c r="K72" s="138">
        <v>143.75211365848307</v>
      </c>
      <c r="L72" s="138">
        <v>222.54107092921942</v>
      </c>
      <c r="M72" s="125">
        <v>1706.6407287206794</v>
      </c>
    </row>
    <row r="73" spans="1:13">
      <c r="A73" s="129" t="s">
        <v>139</v>
      </c>
      <c r="B73" s="138">
        <v>9.7342484844541026</v>
      </c>
      <c r="C73" s="138">
        <v>59.032362930710853</v>
      </c>
      <c r="D73" s="138">
        <v>113.16731644794204</v>
      </c>
      <c r="E73" s="138">
        <v>96.738275855232558</v>
      </c>
      <c r="F73" s="138">
        <v>93.980588895798235</v>
      </c>
      <c r="G73" s="138">
        <v>91.019427593065657</v>
      </c>
      <c r="H73" s="138">
        <v>84.273094154307572</v>
      </c>
      <c r="I73" s="138">
        <v>92.372567142449299</v>
      </c>
      <c r="J73" s="138">
        <v>81.871058268352144</v>
      </c>
      <c r="K73" s="138">
        <v>55.527285828800203</v>
      </c>
      <c r="L73" s="138">
        <v>46.507410771723691</v>
      </c>
      <c r="M73" s="125">
        <v>824.22363637283638</v>
      </c>
    </row>
    <row r="74" spans="1:13">
      <c r="A74" s="129" t="s">
        <v>140</v>
      </c>
      <c r="B74" s="138">
        <v>27.847940710066617</v>
      </c>
      <c r="C74" s="138">
        <v>36.496042430762159</v>
      </c>
      <c r="D74" s="138">
        <v>54.024754996985486</v>
      </c>
      <c r="E74" s="138">
        <v>64.420964241356614</v>
      </c>
      <c r="F74" s="138">
        <v>66.70259553285463</v>
      </c>
      <c r="G74" s="138">
        <v>80.935829997759271</v>
      </c>
      <c r="H74" s="138">
        <v>81.15333843413751</v>
      </c>
      <c r="I74" s="138">
        <v>96.872798708989293</v>
      </c>
      <c r="J74" s="138">
        <v>108.96236587418979</v>
      </c>
      <c r="K74" s="138">
        <v>88.151083473057298</v>
      </c>
      <c r="L74" s="138">
        <v>176.03366015749506</v>
      </c>
      <c r="M74" s="125">
        <v>881.60137455765368</v>
      </c>
    </row>
    <row r="75" spans="1:13">
      <c r="A75" s="129" t="s">
        <v>141</v>
      </c>
      <c r="B75" s="138">
        <v>0.19157061428221273</v>
      </c>
      <c r="C75" s="138">
        <v>4.6061370634339224E-2</v>
      </c>
      <c r="D75" s="138">
        <v>0.10980815908386983</v>
      </c>
      <c r="E75" s="138">
        <v>6.1507271570579621E-2</v>
      </c>
      <c r="F75" s="138">
        <v>0</v>
      </c>
      <c r="G75" s="138">
        <v>0</v>
      </c>
      <c r="H75" s="138">
        <v>0.2901232039002688</v>
      </c>
      <c r="I75" s="138">
        <v>0</v>
      </c>
      <c r="J75" s="138">
        <v>4.2902814091519907E-2</v>
      </c>
      <c r="K75" s="138">
        <v>7.3744356625511695E-2</v>
      </c>
      <c r="L75" s="138">
        <v>0</v>
      </c>
      <c r="M75" s="125">
        <v>0.81571779018830171</v>
      </c>
    </row>
    <row r="76" spans="1:13">
      <c r="A76" s="128" t="s">
        <v>142</v>
      </c>
      <c r="B76" s="138">
        <v>14.025912384741586</v>
      </c>
      <c r="C76" s="138">
        <v>40.141290733347468</v>
      </c>
      <c r="D76" s="138">
        <v>43.916145925320144</v>
      </c>
      <c r="E76" s="138">
        <v>31.578009704668975</v>
      </c>
      <c r="F76" s="138">
        <v>32.01420205744872</v>
      </c>
      <c r="G76" s="138">
        <v>26.857175169296063</v>
      </c>
      <c r="H76" s="138">
        <v>22.44718875731288</v>
      </c>
      <c r="I76" s="138">
        <v>25.486753460324476</v>
      </c>
      <c r="J76" s="138">
        <v>19.995217167548191</v>
      </c>
      <c r="K76" s="138">
        <v>11.549571782196558</v>
      </c>
      <c r="L76" s="138">
        <v>8.4038875537046493</v>
      </c>
      <c r="M76" s="125">
        <v>276.41535469590968</v>
      </c>
    </row>
    <row r="77" spans="1:13">
      <c r="A77" s="126" t="s">
        <v>143</v>
      </c>
      <c r="B77" s="138">
        <v>159.18524044847339</v>
      </c>
      <c r="C77" s="138">
        <v>75.268186605560913</v>
      </c>
      <c r="D77" s="138">
        <v>67.278055148917488</v>
      </c>
      <c r="E77" s="138">
        <v>59.737286695650056</v>
      </c>
      <c r="F77" s="138">
        <v>48.064442437943441</v>
      </c>
      <c r="G77" s="138">
        <v>40.697016743353352</v>
      </c>
      <c r="H77" s="138">
        <v>41.873956808943767</v>
      </c>
      <c r="I77" s="138">
        <v>47.83513593092453</v>
      </c>
      <c r="J77" s="138">
        <v>63.755812005212746</v>
      </c>
      <c r="K77" s="138">
        <v>71.060343218735952</v>
      </c>
      <c r="L77" s="138">
        <v>354.48381914483707</v>
      </c>
      <c r="M77" s="125">
        <v>1029.2392951885527</v>
      </c>
    </row>
    <row r="78" spans="1:13" ht="27.6">
      <c r="A78" s="130" t="s">
        <v>144</v>
      </c>
      <c r="B78" s="139">
        <v>27.07722228884985</v>
      </c>
      <c r="C78" s="139">
        <v>29.577472419564131</v>
      </c>
      <c r="D78" s="139">
        <v>20.791855153111239</v>
      </c>
      <c r="E78" s="139">
        <v>16.378741328057682</v>
      </c>
      <c r="F78" s="139">
        <v>16.613718868344797</v>
      </c>
      <c r="G78" s="139">
        <v>13.508800630039433</v>
      </c>
      <c r="H78" s="139">
        <v>11.929603554094252</v>
      </c>
      <c r="I78" s="139">
        <v>11.869092309996274</v>
      </c>
      <c r="J78" s="139">
        <v>9.482178949556614</v>
      </c>
      <c r="K78" s="139">
        <v>7.4368618405034201</v>
      </c>
      <c r="L78" s="139">
        <v>3.6389136220637703</v>
      </c>
      <c r="M78" s="139">
        <v>13.938857151214604</v>
      </c>
    </row>
    <row r="79" spans="1:13">
      <c r="A79" s="132" t="s">
        <v>145</v>
      </c>
      <c r="B79" s="139">
        <v>24.551363196966594</v>
      </c>
      <c r="C79" s="139">
        <v>64.325158989242254</v>
      </c>
      <c r="D79" s="139">
        <v>75.842369133142341</v>
      </c>
      <c r="E79" s="139">
        <v>76.345045323345516</v>
      </c>
      <c r="F79" s="139">
        <v>80.036518806680618</v>
      </c>
      <c r="G79" s="139">
        <v>83.00817908115026</v>
      </c>
      <c r="H79" s="139">
        <v>81.796915652679431</v>
      </c>
      <c r="I79" s="139">
        <v>81.781758777684928</v>
      </c>
      <c r="J79" s="139">
        <v>76.784609915126893</v>
      </c>
      <c r="K79" s="139">
        <v>68.607657547700555</v>
      </c>
      <c r="L79" s="139">
        <v>39.448856514834354</v>
      </c>
      <c r="M79" s="139">
        <v>65.832059415596163</v>
      </c>
    </row>
    <row r="80" spans="1:13" ht="15" thickBot="1">
      <c r="A80" s="133" t="s">
        <v>146</v>
      </c>
      <c r="B80" s="140">
        <v>17.903536009181074</v>
      </c>
      <c r="C80" s="140">
        <v>45.299402830358346</v>
      </c>
      <c r="D80" s="140">
        <v>60.07333359829137</v>
      </c>
      <c r="E80" s="140">
        <v>63.840687833046104</v>
      </c>
      <c r="F80" s="140">
        <v>66.739476580128795</v>
      </c>
      <c r="G80" s="140">
        <v>71.794769662451486</v>
      </c>
      <c r="H80" s="140">
        <v>72.038867895837853</v>
      </c>
      <c r="I80" s="141">
        <v>72.07500633562303</v>
      </c>
      <c r="J80" s="140">
        <v>69.50375579725555</v>
      </c>
      <c r="K80" s="140">
        <v>63.505400843872351</v>
      </c>
      <c r="L80" s="140">
        <v>38.013346701367624</v>
      </c>
      <c r="M80" s="140">
        <v>56.655822693953453</v>
      </c>
    </row>
    <row r="81" spans="1:13">
      <c r="A81" s="142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</row>
    <row r="82" spans="1:13">
      <c r="A82" s="142" t="s">
        <v>147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</row>
    <row r="83" spans="1:13">
      <c r="A83" s="135" t="s">
        <v>148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</row>
    <row r="84" spans="1:13">
      <c r="A84" s="135"/>
    </row>
    <row r="85" spans="1:13">
      <c r="B85" s="143">
        <f>B73/$M$73</f>
        <v>1.1810203026076322E-2</v>
      </c>
      <c r="C85" s="143">
        <f t="shared" ref="C85:L85" si="0">C73/$M$73</f>
        <v>7.1621778757152324E-2</v>
      </c>
      <c r="D85" s="143">
        <f t="shared" si="0"/>
        <v>0.13730171212507059</v>
      </c>
      <c r="E85" s="143">
        <f t="shared" si="0"/>
        <v>0.1173689658803635</v>
      </c>
      <c r="F85" s="143">
        <f t="shared" si="0"/>
        <v>0.11402316646654168</v>
      </c>
      <c r="G85" s="143">
        <f t="shared" si="0"/>
        <v>0.11043049917085021</v>
      </c>
      <c r="H85" s="143">
        <f t="shared" si="0"/>
        <v>0.10224542276555966</v>
      </c>
      <c r="I85" s="143">
        <f t="shared" si="0"/>
        <v>0.11207221325143447</v>
      </c>
      <c r="J85" s="143">
        <f t="shared" si="0"/>
        <v>9.933112162209079E-2</v>
      </c>
      <c r="K85" s="143">
        <f t="shared" si="0"/>
        <v>6.7369198574745215E-2</v>
      </c>
      <c r="L85" s="143">
        <f t="shared" si="0"/>
        <v>5.6425718360115229E-2</v>
      </c>
    </row>
    <row r="88" spans="1:13" ht="15.6">
      <c r="A88" s="58" t="s">
        <v>61</v>
      </c>
      <c r="B88" s="57"/>
      <c r="C88" s="1"/>
      <c r="D88" s="1"/>
      <c r="E88" s="1"/>
      <c r="F88" s="1"/>
      <c r="G88" s="1"/>
      <c r="H88" s="1"/>
      <c r="I88" s="1"/>
    </row>
    <row r="89" spans="1:13">
      <c r="A89" s="160"/>
      <c r="B89" s="157" t="s">
        <v>62</v>
      </c>
      <c r="C89" s="158"/>
      <c r="D89" s="158"/>
      <c r="E89" s="158"/>
      <c r="F89" s="158"/>
      <c r="G89" s="158"/>
      <c r="H89" s="159"/>
      <c r="M89" s="153" t="s">
        <v>63</v>
      </c>
    </row>
    <row r="90" spans="1:13">
      <c r="A90" s="161"/>
      <c r="B90" s="32" t="s">
        <v>64</v>
      </c>
      <c r="C90" s="32" t="s">
        <v>65</v>
      </c>
      <c r="D90" s="32" t="s">
        <v>66</v>
      </c>
      <c r="E90" s="32" t="s">
        <v>67</v>
      </c>
      <c r="F90" s="32" t="s">
        <v>68</v>
      </c>
      <c r="G90" s="32" t="s">
        <v>69</v>
      </c>
      <c r="H90" s="32" t="s">
        <v>70</v>
      </c>
      <c r="J90" s="32" t="s">
        <v>132</v>
      </c>
      <c r="K90" s="32" t="s">
        <v>133</v>
      </c>
      <c r="M90" s="154"/>
    </row>
    <row r="91" spans="1:13">
      <c r="A91" s="33">
        <v>1994</v>
      </c>
      <c r="B91" s="34">
        <v>67.105799375128186</v>
      </c>
      <c r="C91" s="34">
        <v>113.88687757227953</v>
      </c>
      <c r="D91" s="34">
        <v>64.604630755031948</v>
      </c>
      <c r="E91" s="34">
        <v>40.437841214656281</v>
      </c>
      <c r="F91" s="34">
        <v>14.648851001780631</v>
      </c>
      <c r="G91" s="34">
        <v>4.207871552023521</v>
      </c>
      <c r="H91" s="35">
        <v>0.22911637451561812</v>
      </c>
      <c r="J91" s="34">
        <v>0</v>
      </c>
      <c r="K91" s="35">
        <v>0</v>
      </c>
      <c r="M91" s="36">
        <v>1.5256049392270785</v>
      </c>
    </row>
    <row r="92" spans="1:13">
      <c r="A92" s="37">
        <v>1995</v>
      </c>
      <c r="B92" s="38">
        <v>65.731736896650574</v>
      </c>
      <c r="C92" s="38">
        <v>116.04498704892721</v>
      </c>
      <c r="D92" s="38">
        <v>67.927187692701963</v>
      </c>
      <c r="E92" s="38">
        <v>42.665861901087858</v>
      </c>
      <c r="F92" s="38">
        <v>16.936686443440063</v>
      </c>
      <c r="G92" s="38">
        <v>4.3320607638611568</v>
      </c>
      <c r="H92" s="39">
        <v>0.33502615525974472</v>
      </c>
      <c r="J92" s="38">
        <v>0</v>
      </c>
      <c r="K92" s="39">
        <v>0</v>
      </c>
      <c r="M92" s="40">
        <v>1.5698677345096428</v>
      </c>
    </row>
    <row r="93" spans="1:13">
      <c r="A93" s="37">
        <v>1996</v>
      </c>
      <c r="B93" s="38">
        <v>62.086026653898323</v>
      </c>
      <c r="C93" s="38">
        <v>117.19077998984167</v>
      </c>
      <c r="D93" s="38">
        <v>72.008425736899014</v>
      </c>
      <c r="E93" s="38">
        <v>45.38178349455233</v>
      </c>
      <c r="F93" s="38">
        <v>18.742942499711031</v>
      </c>
      <c r="G93" s="38">
        <v>4.156318434006474</v>
      </c>
      <c r="H93" s="39">
        <v>0.43407599064173175</v>
      </c>
      <c r="J93" s="38">
        <v>0</v>
      </c>
      <c r="K93" s="39">
        <v>0</v>
      </c>
      <c r="M93" s="40">
        <v>1.6000017639977533</v>
      </c>
    </row>
    <row r="94" spans="1:13">
      <c r="A94" s="37">
        <v>1997</v>
      </c>
      <c r="B94" s="38">
        <v>58.381005773526319</v>
      </c>
      <c r="C94" s="38">
        <v>117.63736364357788</v>
      </c>
      <c r="D94" s="38">
        <v>76.024992561737577</v>
      </c>
      <c r="E94" s="38">
        <v>46.527531690819451</v>
      </c>
      <c r="F94" s="38">
        <v>20.32374864296068</v>
      </c>
      <c r="G94" s="38">
        <v>5.4627780674866138</v>
      </c>
      <c r="H94" s="39">
        <v>1.5775331238135637</v>
      </c>
      <c r="J94" s="38">
        <v>0</v>
      </c>
      <c r="K94" s="39">
        <v>0</v>
      </c>
      <c r="M94" s="40">
        <v>1.6296747675196108</v>
      </c>
    </row>
    <row r="95" spans="1:13">
      <c r="A95" s="37">
        <v>1998</v>
      </c>
      <c r="B95" s="38">
        <v>55.249480873333091</v>
      </c>
      <c r="C95" s="38">
        <v>117.13536138677784</v>
      </c>
      <c r="D95" s="38">
        <v>76.470368432852553</v>
      </c>
      <c r="E95" s="38">
        <v>44.628232151764308</v>
      </c>
      <c r="F95" s="38">
        <v>20.046203603881104</v>
      </c>
      <c r="G95" s="38">
        <v>4.8274060717061769</v>
      </c>
      <c r="H95" s="39">
        <v>1.6239328441309995</v>
      </c>
      <c r="J95" s="38">
        <v>0</v>
      </c>
      <c r="K95" s="39">
        <v>0</v>
      </c>
      <c r="M95" s="40">
        <v>1.5999049268222301</v>
      </c>
    </row>
    <row r="96" spans="1:13">
      <c r="A96" s="37">
        <v>1999</v>
      </c>
      <c r="B96" s="38">
        <v>50.487370520727367</v>
      </c>
      <c r="C96" s="38">
        <v>112.89941670683615</v>
      </c>
      <c r="D96" s="38">
        <v>75.833168328080205</v>
      </c>
      <c r="E96" s="38">
        <v>45.243196274948097</v>
      </c>
      <c r="F96" s="38">
        <v>20.327090428133889</v>
      </c>
      <c r="G96" s="38">
        <v>4.9746300080115766</v>
      </c>
      <c r="H96" s="39">
        <v>0.47030307415413275</v>
      </c>
      <c r="J96" s="38">
        <v>0</v>
      </c>
      <c r="K96" s="39">
        <v>0</v>
      </c>
      <c r="M96" s="40">
        <v>1.551175876704457</v>
      </c>
    </row>
    <row r="97" spans="1:13">
      <c r="A97" s="37">
        <v>2000</v>
      </c>
      <c r="B97" s="38">
        <v>43.69303036516488</v>
      </c>
      <c r="C97" s="38">
        <v>120.59877574473313</v>
      </c>
      <c r="D97" s="38">
        <v>80.778361706876623</v>
      </c>
      <c r="E97" s="38">
        <v>46.306068151001909</v>
      </c>
      <c r="F97" s="38">
        <v>20.546672503550944</v>
      </c>
      <c r="G97" s="38">
        <v>5.2531728980412469</v>
      </c>
      <c r="H97" s="39">
        <v>0.5091686996783813</v>
      </c>
      <c r="J97" s="38">
        <v>0</v>
      </c>
      <c r="K97" s="39">
        <v>0</v>
      </c>
      <c r="M97" s="40">
        <v>1.5884262503452358</v>
      </c>
    </row>
    <row r="98" spans="1:13">
      <c r="A98" s="37">
        <v>2001</v>
      </c>
      <c r="B98" s="38">
        <v>35.800487786384949</v>
      </c>
      <c r="C98" s="38">
        <v>123.4704473114485</v>
      </c>
      <c r="D98" s="38">
        <v>77.527359222153066</v>
      </c>
      <c r="E98" s="38">
        <v>48.320734190632926</v>
      </c>
      <c r="F98" s="38">
        <v>22.529755078115045</v>
      </c>
      <c r="G98" s="38">
        <v>5.7371221222448332</v>
      </c>
      <c r="H98" s="39">
        <v>0.78822473656456149</v>
      </c>
      <c r="J98" s="38">
        <v>0</v>
      </c>
      <c r="K98" s="39">
        <v>0</v>
      </c>
      <c r="M98" s="40">
        <v>1.5708706522377196</v>
      </c>
    </row>
    <row r="99" spans="1:13">
      <c r="A99" s="37">
        <v>2002</v>
      </c>
      <c r="B99" s="38">
        <v>36.032702484584981</v>
      </c>
      <c r="C99" s="38">
        <v>118.80010255533716</v>
      </c>
      <c r="D99" s="38">
        <v>68.570464656971964</v>
      </c>
      <c r="E99" s="38">
        <v>53.511469766654436</v>
      </c>
      <c r="F99" s="38">
        <v>22.410153518374496</v>
      </c>
      <c r="G99" s="38">
        <v>6.8478414546438078</v>
      </c>
      <c r="H99" s="39">
        <v>0.80273223540675143</v>
      </c>
      <c r="J99" s="38">
        <v>0</v>
      </c>
      <c r="K99" s="39">
        <v>0</v>
      </c>
      <c r="M99" s="40">
        <v>1.534877333359868</v>
      </c>
    </row>
    <row r="100" spans="1:13">
      <c r="A100" s="37">
        <v>2003</v>
      </c>
      <c r="B100" s="38">
        <v>37.317309357223941</v>
      </c>
      <c r="C100" s="38">
        <v>110.9548976345631</v>
      </c>
      <c r="D100" s="38">
        <v>86.787271388936063</v>
      </c>
      <c r="E100" s="38">
        <v>51.072115024587504</v>
      </c>
      <c r="F100" s="38">
        <v>20.343703301181904</v>
      </c>
      <c r="G100" s="38">
        <v>5.6180982583895398</v>
      </c>
      <c r="H100" s="39">
        <v>0.28942094105218985</v>
      </c>
      <c r="J100" s="38">
        <v>0</v>
      </c>
      <c r="K100" s="39">
        <v>0</v>
      </c>
      <c r="M100" s="40">
        <v>1.5619140795296711</v>
      </c>
    </row>
    <row r="101" spans="1:13">
      <c r="A101" s="37">
        <v>2004</v>
      </c>
      <c r="B101" s="38">
        <v>37.374236856478923</v>
      </c>
      <c r="C101" s="38">
        <v>115.29632472072996</v>
      </c>
      <c r="D101" s="38">
        <v>87.06001411090601</v>
      </c>
      <c r="E101" s="38">
        <v>48.715218830029059</v>
      </c>
      <c r="F101" s="38">
        <v>21.329471438262988</v>
      </c>
      <c r="G101" s="38">
        <v>5.5812682951056809</v>
      </c>
      <c r="H101" s="39">
        <v>0.52275216568754357</v>
      </c>
      <c r="J101" s="38">
        <v>0</v>
      </c>
      <c r="K101" s="39">
        <v>0</v>
      </c>
      <c r="M101" s="40">
        <v>1.579396432086001</v>
      </c>
    </row>
    <row r="102" spans="1:13">
      <c r="A102" s="37">
        <v>2005</v>
      </c>
      <c r="B102" s="38">
        <v>45.089929286651021</v>
      </c>
      <c r="C102" s="38">
        <v>111.7473373761698</v>
      </c>
      <c r="D102" s="38">
        <v>86.321028737816732</v>
      </c>
      <c r="E102" s="38">
        <v>49.899554260679395</v>
      </c>
      <c r="F102" s="38">
        <v>20.758701716196832</v>
      </c>
      <c r="G102" s="38">
        <v>4.7534998120264813</v>
      </c>
      <c r="H102" s="39">
        <v>0.29798004585387056</v>
      </c>
      <c r="J102" s="38">
        <v>0</v>
      </c>
      <c r="K102" s="39">
        <v>0</v>
      </c>
      <c r="M102" s="40">
        <v>1.5943401561769703</v>
      </c>
    </row>
    <row r="103" spans="1:13">
      <c r="A103" s="37">
        <v>2006</v>
      </c>
      <c r="B103" s="38">
        <v>42.66657948080821</v>
      </c>
      <c r="C103" s="38">
        <v>116.54416323958719</v>
      </c>
      <c r="D103" s="38">
        <v>88.633719569077613</v>
      </c>
      <c r="E103" s="38">
        <v>49.839876298027953</v>
      </c>
      <c r="F103" s="38">
        <v>21.343179907139987</v>
      </c>
      <c r="G103" s="38">
        <v>5.2096917433979213</v>
      </c>
      <c r="H103" s="39">
        <v>0.41869671132764924</v>
      </c>
      <c r="J103" s="38">
        <v>0</v>
      </c>
      <c r="K103" s="39">
        <v>0</v>
      </c>
      <c r="M103" s="40">
        <v>1.6232795347468327</v>
      </c>
    </row>
    <row r="104" spans="1:13">
      <c r="A104" s="37">
        <v>2007</v>
      </c>
      <c r="B104" s="38">
        <v>42.514382391524876</v>
      </c>
      <c r="C104" s="38">
        <v>119.99612290394495</v>
      </c>
      <c r="D104" s="38">
        <v>93.305249186689849</v>
      </c>
      <c r="E104" s="38">
        <v>53.89647483737815</v>
      </c>
      <c r="F104" s="38">
        <v>22.646782648557128</v>
      </c>
      <c r="G104" s="38">
        <v>4.9788997661633978</v>
      </c>
      <c r="H104" s="39">
        <v>0.27412797321769705</v>
      </c>
      <c r="J104" s="38">
        <v>0</v>
      </c>
      <c r="K104" s="39">
        <v>0</v>
      </c>
      <c r="M104" s="40">
        <v>1.6880601985373802</v>
      </c>
    </row>
    <row r="105" spans="1:13">
      <c r="A105" s="37">
        <v>2008</v>
      </c>
      <c r="B105" s="38">
        <v>47.983987244075792</v>
      </c>
      <c r="C105" s="38">
        <v>129.14258124220436</v>
      </c>
      <c r="D105" s="38">
        <v>100.75931319779228</v>
      </c>
      <c r="E105" s="38">
        <v>58.676991527149035</v>
      </c>
      <c r="F105" s="38">
        <v>24.82089552238806</v>
      </c>
      <c r="G105" s="38">
        <v>5.5799151596019856</v>
      </c>
      <c r="H105" s="39">
        <v>0.28880375784654327</v>
      </c>
      <c r="J105" s="38">
        <v>0</v>
      </c>
      <c r="K105" s="39">
        <v>0</v>
      </c>
      <c r="M105" s="40">
        <v>1.8362624382552903</v>
      </c>
    </row>
    <row r="106" spans="1:13">
      <c r="A106" s="37">
        <v>2009</v>
      </c>
      <c r="B106" s="38">
        <v>56.134155843227518</v>
      </c>
      <c r="C106" s="38">
        <v>138.52045931076199</v>
      </c>
      <c r="D106" s="38">
        <v>111.51070053998679</v>
      </c>
      <c r="E106" s="38">
        <v>63.442027629066672</v>
      </c>
      <c r="F106" s="38">
        <v>26.800062009172823</v>
      </c>
      <c r="G106" s="38">
        <v>5.8037572082515894</v>
      </c>
      <c r="H106" s="39">
        <v>0.26887438631123062</v>
      </c>
      <c r="J106" s="38">
        <v>0</v>
      </c>
      <c r="K106" s="39">
        <v>0</v>
      </c>
      <c r="M106" s="40">
        <v>2.012400184633893</v>
      </c>
    </row>
    <row r="107" spans="1:13">
      <c r="A107" s="37">
        <v>2010</v>
      </c>
      <c r="B107" s="38">
        <v>52.160652675320712</v>
      </c>
      <c r="C107" s="38">
        <v>132.55595027863478</v>
      </c>
      <c r="D107" s="38">
        <v>111.01858565265147</v>
      </c>
      <c r="E107" s="38">
        <v>67.016039383833572</v>
      </c>
      <c r="F107" s="38">
        <v>29.073711401447937</v>
      </c>
      <c r="G107" s="38">
        <v>6.8333556520574676</v>
      </c>
      <c r="H107" s="39">
        <v>0.29179039151404884</v>
      </c>
      <c r="J107" s="38">
        <v>0</v>
      </c>
      <c r="K107" s="39">
        <v>0</v>
      </c>
      <c r="M107" s="40">
        <v>1.9947504271772998</v>
      </c>
    </row>
    <row r="108" spans="1:13">
      <c r="A108" s="37">
        <v>2011</v>
      </c>
      <c r="B108" s="38">
        <v>47.113073016237678</v>
      </c>
      <c r="C108" s="38">
        <v>125.02166663200006</v>
      </c>
      <c r="D108" s="38">
        <v>106.86788464010741</v>
      </c>
      <c r="E108" s="38">
        <v>63.50417308777979</v>
      </c>
      <c r="F108" s="38">
        <v>28.040212708147344</v>
      </c>
      <c r="G108" s="38">
        <v>6.2595003312936042</v>
      </c>
      <c r="H108" s="39">
        <v>0.31011047250034407</v>
      </c>
      <c r="J108" s="38">
        <v>0</v>
      </c>
      <c r="K108" s="39">
        <v>0</v>
      </c>
      <c r="M108" s="40">
        <v>1.8855831044403315</v>
      </c>
    </row>
    <row r="109" spans="1:13">
      <c r="A109" s="37">
        <v>2012</v>
      </c>
      <c r="B109" s="38">
        <v>42.959406410798231</v>
      </c>
      <c r="C109" s="38">
        <v>120.34240916840974</v>
      </c>
      <c r="D109" s="38">
        <v>105.5442550164265</v>
      </c>
      <c r="E109" s="38">
        <v>65.605188314027913</v>
      </c>
      <c r="F109" s="38">
        <v>28.47348729701671</v>
      </c>
      <c r="G109" s="38">
        <v>6.8792178748837305</v>
      </c>
      <c r="H109" s="39">
        <v>0.35540707437781555</v>
      </c>
      <c r="J109" s="38">
        <v>0</v>
      </c>
      <c r="K109" s="39">
        <v>0</v>
      </c>
      <c r="M109" s="40">
        <v>1.8507968557797037</v>
      </c>
    </row>
    <row r="110" spans="1:13">
      <c r="A110" s="37">
        <v>2013</v>
      </c>
      <c r="B110" s="38">
        <v>42.162376523181194</v>
      </c>
      <c r="C110" s="38">
        <v>119.1318391871922</v>
      </c>
      <c r="D110" s="38">
        <v>106.17082991226529</v>
      </c>
      <c r="E110" s="38">
        <v>67.275410864095562</v>
      </c>
      <c r="F110" s="38">
        <v>30.520540402351969</v>
      </c>
      <c r="G110" s="38">
        <v>7.1638215034441446</v>
      </c>
      <c r="H110" s="39">
        <v>0.4088226089756461</v>
      </c>
      <c r="J110" s="38">
        <v>0</v>
      </c>
      <c r="K110" s="39">
        <v>0</v>
      </c>
      <c r="M110" s="40">
        <v>1.8641682050075301</v>
      </c>
    </row>
    <row r="111" spans="1:13">
      <c r="A111" s="37">
        <v>2014</v>
      </c>
      <c r="B111" s="38">
        <v>51.498144626802294</v>
      </c>
      <c r="C111" s="38">
        <v>144.73500051066921</v>
      </c>
      <c r="D111" s="38">
        <v>131.32076014558427</v>
      </c>
      <c r="E111" s="38">
        <v>86.465409663825696</v>
      </c>
      <c r="F111" s="38">
        <v>38.927427646273294</v>
      </c>
      <c r="G111" s="38">
        <v>9.193745370092298</v>
      </c>
      <c r="H111" s="39">
        <v>0.66677841037816654</v>
      </c>
      <c r="J111" s="38">
        <v>0</v>
      </c>
      <c r="K111" s="39">
        <v>0</v>
      </c>
      <c r="M111" s="40">
        <v>2.3140363318681265</v>
      </c>
    </row>
    <row r="112" spans="1:13">
      <c r="A112" s="37">
        <v>2015</v>
      </c>
      <c r="B112" s="38">
        <v>48.360450089232032</v>
      </c>
      <c r="C112" s="38">
        <v>144.06902318999067</v>
      </c>
      <c r="D112" s="38">
        <v>127.99532437171244</v>
      </c>
      <c r="E112" s="38">
        <v>87.672809768166758</v>
      </c>
      <c r="F112" s="38">
        <v>41.533571524343593</v>
      </c>
      <c r="G112" s="38">
        <v>10.555130630811965</v>
      </c>
      <c r="H112" s="39">
        <v>0.67469261908890099</v>
      </c>
      <c r="J112" s="38">
        <v>0</v>
      </c>
      <c r="K112" s="39">
        <v>0</v>
      </c>
      <c r="M112" s="40">
        <v>2.3043050109667318</v>
      </c>
    </row>
    <row r="113" spans="1:13">
      <c r="A113" s="37">
        <v>2016</v>
      </c>
      <c r="B113" s="38">
        <v>43.42226132094271</v>
      </c>
      <c r="C113" s="38">
        <v>134.85217960759309</v>
      </c>
      <c r="D113" s="38">
        <v>127.48631981238599</v>
      </c>
      <c r="E113" s="38">
        <v>86.403897254207251</v>
      </c>
      <c r="F113" s="38">
        <v>43.743682082385646</v>
      </c>
      <c r="G113" s="38">
        <v>11.236046143993256</v>
      </c>
      <c r="H113" s="39">
        <v>0.80336796570236757</v>
      </c>
      <c r="J113" s="38">
        <v>0</v>
      </c>
      <c r="K113" s="39">
        <v>0</v>
      </c>
      <c r="M113" s="40">
        <v>2.2397387709360519</v>
      </c>
    </row>
    <row r="114" spans="1:13">
      <c r="A114" s="41">
        <v>2017</v>
      </c>
      <c r="B114" s="42">
        <v>36.189942120125778</v>
      </c>
      <c r="C114" s="42">
        <v>126.11388902816458</v>
      </c>
      <c r="D114" s="42">
        <v>126.892415709793</v>
      </c>
      <c r="E114" s="42">
        <v>84.483442832576387</v>
      </c>
      <c r="F114" s="42">
        <v>44.040244624186229</v>
      </c>
      <c r="G114" s="42">
        <v>10.471460177892588</v>
      </c>
      <c r="H114" s="43">
        <v>0.52701235507160238</v>
      </c>
      <c r="J114" s="42">
        <v>0</v>
      </c>
      <c r="K114" s="43">
        <v>0</v>
      </c>
      <c r="M114" s="44">
        <v>2.1435920342390506</v>
      </c>
    </row>
    <row r="116" spans="1:13">
      <c r="B116" s="144">
        <f>B85*B114</f>
        <v>0.42741056394063642</v>
      </c>
      <c r="C116" s="144">
        <f t="shared" ref="C116:G116" si="1">C85*C114</f>
        <v>9.032501058179264</v>
      </c>
      <c r="D116" s="144">
        <f t="shared" si="1"/>
        <v>17.422545932640784</v>
      </c>
      <c r="E116" s="144">
        <f t="shared" si="1"/>
        <v>9.915734319272298</v>
      </c>
      <c r="F116" s="144">
        <f t="shared" si="1"/>
        <v>5.0216081440108038</v>
      </c>
      <c r="G116" s="144">
        <f t="shared" si="1"/>
        <v>1.1563685744923584</v>
      </c>
      <c r="H116" s="144">
        <f>(H85+I85)*H114</f>
        <v>0.11294804209069455</v>
      </c>
      <c r="J116">
        <v>0</v>
      </c>
      <c r="K116">
        <v>0</v>
      </c>
    </row>
  </sheetData>
  <mergeCells count="24">
    <mergeCell ref="J1:K1"/>
    <mergeCell ref="H1:I1"/>
    <mergeCell ref="N1:P1"/>
    <mergeCell ref="A22:K22"/>
    <mergeCell ref="A24:A25"/>
    <mergeCell ref="B24:C24"/>
    <mergeCell ref="D24:E24"/>
    <mergeCell ref="F24:G24"/>
    <mergeCell ref="H24:I24"/>
    <mergeCell ref="J24:K24"/>
    <mergeCell ref="A30:K30"/>
    <mergeCell ref="A32:A33"/>
    <mergeCell ref="B32:C32"/>
    <mergeCell ref="D32:E32"/>
    <mergeCell ref="F32:G32"/>
    <mergeCell ref="H32:I32"/>
    <mergeCell ref="J32:K32"/>
    <mergeCell ref="A55:M55"/>
    <mergeCell ref="M89:M90"/>
    <mergeCell ref="A89:A90"/>
    <mergeCell ref="B89:H89"/>
    <mergeCell ref="A38:D38"/>
    <mergeCell ref="A45:A47"/>
    <mergeCell ref="A49:B49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38" sqref="B38"/>
    </sheetView>
  </sheetViews>
  <sheetFormatPr defaultColWidth="8.88671875" defaultRowHeight="14.4"/>
  <cols>
    <col min="1" max="1" width="12" customWidth="1"/>
    <col min="2" max="2" width="18.33203125" bestFit="1" customWidth="1"/>
    <col min="3" max="3" width="25.88671875" bestFit="1" customWidth="1"/>
  </cols>
  <sheetData>
    <row r="1" spans="1:3">
      <c r="A1" t="s">
        <v>75</v>
      </c>
      <c r="B1" t="s">
        <v>76</v>
      </c>
      <c r="C1" t="s">
        <v>77</v>
      </c>
    </row>
    <row r="2" spans="1:3">
      <c r="A2" t="s">
        <v>78</v>
      </c>
    </row>
    <row r="5" spans="1:3">
      <c r="A5" s="1" t="s">
        <v>79</v>
      </c>
    </row>
    <row r="6" spans="1:3">
      <c r="A6" s="1" t="s">
        <v>72</v>
      </c>
    </row>
    <row r="7" spans="1:3">
      <c r="A7" s="7"/>
    </row>
    <row r="8" spans="1:3">
      <c r="A8" s="7"/>
    </row>
    <row r="9" spans="1:3">
      <c r="A9" s="64" t="s">
        <v>73</v>
      </c>
    </row>
    <row r="10" spans="1:3">
      <c r="A10" s="7"/>
    </row>
    <row r="11" spans="1:3">
      <c r="A11" s="7"/>
    </row>
    <row r="12" spans="1:3">
      <c r="A12" s="55" t="s">
        <v>95</v>
      </c>
    </row>
    <row r="13" spans="1:3">
      <c r="A13" s="55" t="s">
        <v>96</v>
      </c>
    </row>
    <row r="14" spans="1:3">
      <c r="A14" s="4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Public Sector Model</vt:lpstr>
      <vt:lpstr>Private Sector Model</vt:lpstr>
      <vt:lpstr>Data</vt:lpstr>
      <vt:lpstr>Scratch Paper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Mzhavanadze</dc:creator>
  <cp:lastModifiedBy>Mjava</cp:lastModifiedBy>
  <dcterms:created xsi:type="dcterms:W3CDTF">2018-12-06T18:39:18Z</dcterms:created>
  <dcterms:modified xsi:type="dcterms:W3CDTF">2019-10-16T11:14:43Z</dcterms:modified>
</cp:coreProperties>
</file>