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1" activeTab="1"/>
  </bookViews>
  <sheets>
    <sheet name="ბიუჯეტი-2019" sheetId="11" r:id="rId1"/>
    <sheet name="დიაგნოსტიკა თანაგადახდის გარეშე" sheetId="9" r:id="rId2"/>
    <sheet name="დიაგნოსტიკა თანაგადახდით" sheetId="1" r:id="rId3"/>
    <sheet name="მკურნალობაში ჩართვა-სტანდარტული" sheetId="6" r:id="rId4"/>
    <sheet name="მონიტორინგი-სტანდარტული" sheetId="2" r:id="rId5"/>
    <sheet name="მკურნალობაში ჩართვა-პჯდ" sheetId="8" r:id="rId6"/>
    <sheet name="მონიტორინგი-პჯდ" sheetId="3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1" l="1"/>
  <c r="D66" i="1"/>
  <c r="E65" i="1"/>
  <c r="D65" i="1"/>
  <c r="E64" i="1"/>
  <c r="D64" i="1"/>
  <c r="E61" i="1"/>
  <c r="D61" i="1"/>
  <c r="E60" i="1"/>
  <c r="D60" i="1"/>
  <c r="E59" i="1"/>
  <c r="D59" i="1"/>
  <c r="E58" i="1"/>
  <c r="D58" i="1"/>
  <c r="E55" i="1"/>
  <c r="D55" i="1"/>
  <c r="E54" i="1"/>
  <c r="D54" i="1"/>
  <c r="E53" i="1"/>
  <c r="D53" i="1"/>
  <c r="E52" i="1"/>
  <c r="D52" i="1"/>
  <c r="P49" i="2"/>
  <c r="P36" i="2"/>
  <c r="P22" i="2"/>
  <c r="P10" i="2"/>
  <c r="K16" i="3"/>
  <c r="K7" i="3"/>
  <c r="K15" i="6"/>
  <c r="K7" i="6"/>
  <c r="H9" i="2"/>
  <c r="H8" i="2"/>
  <c r="H7" i="2"/>
  <c r="H6" i="2"/>
  <c r="H5" i="2"/>
  <c r="H4" i="2"/>
  <c r="H3" i="2"/>
  <c r="H10" i="2" s="1"/>
  <c r="I15" i="6"/>
  <c r="I14" i="6"/>
  <c r="I13" i="6"/>
  <c r="I7" i="6"/>
  <c r="I6" i="6"/>
  <c r="D28" i="11" l="1"/>
  <c r="D19" i="11"/>
  <c r="D10" i="11"/>
  <c r="E73" i="9"/>
  <c r="C69" i="9"/>
  <c r="C55" i="9"/>
  <c r="C54" i="9"/>
  <c r="E53" i="9"/>
  <c r="C53" i="9"/>
  <c r="E52" i="9"/>
  <c r="E54" i="9" s="1"/>
  <c r="D52" i="9"/>
  <c r="D53" i="9" s="1"/>
  <c r="K33" i="9"/>
  <c r="J33" i="9"/>
  <c r="D33" i="9"/>
  <c r="D28" i="9"/>
  <c r="E27" i="9" s="1"/>
  <c r="D27" i="9"/>
  <c r="D24" i="9"/>
  <c r="D22" i="9"/>
  <c r="D21" i="9"/>
  <c r="E20" i="9"/>
  <c r="D20" i="9"/>
  <c r="D17" i="9"/>
  <c r="D16" i="9"/>
  <c r="E15" i="9"/>
  <c r="J15" i="9" s="1"/>
  <c r="D15" i="9"/>
  <c r="D12" i="9"/>
  <c r="D11" i="9"/>
  <c r="E10" i="9"/>
  <c r="J10" i="9" s="1"/>
  <c r="D10" i="9"/>
  <c r="D7" i="9"/>
  <c r="D6" i="9"/>
  <c r="E5" i="9"/>
  <c r="D5" i="9"/>
  <c r="C69" i="1"/>
  <c r="D28" i="1"/>
  <c r="D27" i="1"/>
  <c r="D24" i="1"/>
  <c r="D22" i="1"/>
  <c r="D21" i="1"/>
  <c r="D20" i="1"/>
  <c r="D17" i="1"/>
  <c r="D16" i="1"/>
  <c r="D15" i="1"/>
  <c r="D12" i="1"/>
  <c r="D11" i="1"/>
  <c r="D10" i="1"/>
  <c r="D7" i="1"/>
  <c r="D6" i="1"/>
  <c r="D5" i="1"/>
  <c r="K15" i="8"/>
  <c r="K7" i="8"/>
  <c r="I15" i="8"/>
  <c r="I14" i="8"/>
  <c r="I6" i="8"/>
  <c r="I13" i="8"/>
  <c r="I12" i="8"/>
  <c r="I5" i="8"/>
  <c r="I4" i="8"/>
  <c r="I15" i="3"/>
  <c r="I12" i="3"/>
  <c r="H4" i="3"/>
  <c r="L48" i="2"/>
  <c r="L42" i="2"/>
  <c r="L49" i="2" s="1"/>
  <c r="K49" i="2"/>
  <c r="I22" i="2"/>
  <c r="I12" i="6"/>
  <c r="I5" i="6"/>
  <c r="I4" i="6"/>
  <c r="H14" i="3"/>
  <c r="H13" i="3"/>
  <c r="H12" i="3"/>
  <c r="I6" i="3"/>
  <c r="H5" i="3"/>
  <c r="I3" i="3"/>
  <c r="H3" i="3"/>
  <c r="K48" i="2"/>
  <c r="K47" i="2"/>
  <c r="K46" i="2"/>
  <c r="K45" i="2"/>
  <c r="K44" i="2"/>
  <c r="K43" i="2"/>
  <c r="K42" i="2"/>
  <c r="L35" i="2"/>
  <c r="K35" i="2"/>
  <c r="K34" i="2"/>
  <c r="K33" i="2"/>
  <c r="K32" i="2"/>
  <c r="K31" i="2"/>
  <c r="K30" i="2"/>
  <c r="L29" i="2"/>
  <c r="K29" i="2"/>
  <c r="H21" i="2"/>
  <c r="H19" i="2"/>
  <c r="H18" i="2"/>
  <c r="H17" i="2"/>
  <c r="H16" i="2"/>
  <c r="H15" i="2"/>
  <c r="I9" i="2"/>
  <c r="I3" i="2"/>
  <c r="I16" i="3" l="1"/>
  <c r="H22" i="2"/>
  <c r="K27" i="9"/>
  <c r="J27" i="9"/>
  <c r="H27" i="9"/>
  <c r="G27" i="9"/>
  <c r="K5" i="9"/>
  <c r="K10" i="9"/>
  <c r="K15" i="9"/>
  <c r="K20" i="9"/>
  <c r="D39" i="9"/>
  <c r="G5" i="9"/>
  <c r="G10" i="9"/>
  <c r="G15" i="9"/>
  <c r="G20" i="9"/>
  <c r="D55" i="9"/>
  <c r="H5" i="9"/>
  <c r="H10" i="9"/>
  <c r="H15" i="9"/>
  <c r="H20" i="9"/>
  <c r="D38" i="9"/>
  <c r="D54" i="9"/>
  <c r="E55" i="9"/>
  <c r="J5" i="9"/>
  <c r="J20" i="9"/>
  <c r="E20" i="1"/>
  <c r="E15" i="1"/>
  <c r="I7" i="8"/>
  <c r="H16" i="3"/>
  <c r="H7" i="3"/>
  <c r="I7" i="3"/>
  <c r="K36" i="2"/>
  <c r="I10" i="2"/>
  <c r="L36" i="2"/>
  <c r="D30" i="1" l="1"/>
  <c r="E30" i="1" s="1"/>
  <c r="H30" i="1" s="1"/>
  <c r="D30" i="9"/>
  <c r="E30" i="9" s="1"/>
  <c r="D31" i="9"/>
  <c r="D31" i="1"/>
  <c r="D25" i="1"/>
  <c r="D25" i="9"/>
  <c r="E24" i="9" s="1"/>
  <c r="E38" i="9"/>
  <c r="J38" i="9" s="1"/>
  <c r="K20" i="1"/>
  <c r="J20" i="1"/>
  <c r="H20" i="1"/>
  <c r="G20" i="1"/>
  <c r="K15" i="1"/>
  <c r="J15" i="1"/>
  <c r="H15" i="1"/>
  <c r="G15" i="1"/>
  <c r="E73" i="1"/>
  <c r="K33" i="1"/>
  <c r="J33" i="1"/>
  <c r="D33" i="1"/>
  <c r="E24" i="1"/>
  <c r="E10" i="1"/>
  <c r="E5" i="1"/>
  <c r="D41" i="1" l="1"/>
  <c r="E41" i="1" s="1"/>
  <c r="G30" i="1"/>
  <c r="K30" i="1"/>
  <c r="D43" i="1"/>
  <c r="E43" i="1" s="1"/>
  <c r="K43" i="1" s="1"/>
  <c r="J30" i="1"/>
  <c r="D43" i="9"/>
  <c r="E43" i="9" s="1"/>
  <c r="K30" i="9"/>
  <c r="D41" i="9"/>
  <c r="E41" i="9" s="1"/>
  <c r="G30" i="9"/>
  <c r="J30" i="9"/>
  <c r="H30" i="9"/>
  <c r="G38" i="9"/>
  <c r="J24" i="9"/>
  <c r="D36" i="9"/>
  <c r="G24" i="9"/>
  <c r="H24" i="9"/>
  <c r="D35" i="9"/>
  <c r="K24" i="9"/>
  <c r="E48" i="9"/>
  <c r="G48" i="9" s="1"/>
  <c r="D59" i="9" s="1"/>
  <c r="K38" i="9"/>
  <c r="H38" i="9"/>
  <c r="D36" i="1"/>
  <c r="G43" i="1"/>
  <c r="H43" i="1"/>
  <c r="D35" i="1"/>
  <c r="J41" i="1"/>
  <c r="G41" i="1"/>
  <c r="K41" i="1"/>
  <c r="H41" i="1"/>
  <c r="J24" i="1"/>
  <c r="G24" i="1"/>
  <c r="K24" i="1"/>
  <c r="H24" i="1"/>
  <c r="K10" i="1"/>
  <c r="J10" i="1"/>
  <c r="H10" i="1"/>
  <c r="G10" i="1"/>
  <c r="H5" i="1"/>
  <c r="J5" i="1"/>
  <c r="G5" i="1"/>
  <c r="K5" i="1"/>
  <c r="E27" i="1"/>
  <c r="D39" i="1" s="1"/>
  <c r="E49" i="9" l="1"/>
  <c r="H41" i="9"/>
  <c r="G41" i="9"/>
  <c r="K41" i="9"/>
  <c r="J41" i="9"/>
  <c r="J43" i="1"/>
  <c r="E49" i="1"/>
  <c r="J43" i="9"/>
  <c r="H43" i="9"/>
  <c r="G43" i="9"/>
  <c r="K43" i="9"/>
  <c r="H48" i="9"/>
  <c r="E59" i="9" s="1"/>
  <c r="E35" i="9"/>
  <c r="J35" i="9" s="1"/>
  <c r="J48" i="9"/>
  <c r="K48" i="9"/>
  <c r="E65" i="9" s="1"/>
  <c r="D65" i="9"/>
  <c r="C59" i="9"/>
  <c r="D38" i="1"/>
  <c r="E38" i="1" s="1"/>
  <c r="E48" i="1" s="1"/>
  <c r="G49" i="1"/>
  <c r="H49" i="1"/>
  <c r="J27" i="1"/>
  <c r="G27" i="1"/>
  <c r="K27" i="1"/>
  <c r="H27" i="1"/>
  <c r="E35" i="1"/>
  <c r="E47" i="1" s="1"/>
  <c r="G49" i="9" l="1"/>
  <c r="D60" i="9" s="1"/>
  <c r="J49" i="9"/>
  <c r="D66" i="9" s="1"/>
  <c r="H49" i="9"/>
  <c r="E60" i="9" s="1"/>
  <c r="C60" i="9" s="1"/>
  <c r="E47" i="9"/>
  <c r="H35" i="9"/>
  <c r="K35" i="9"/>
  <c r="G35" i="9"/>
  <c r="H47" i="9"/>
  <c r="E58" i="9" s="1"/>
  <c r="G47" i="9"/>
  <c r="D58" i="9" s="1"/>
  <c r="C65" i="9"/>
  <c r="K49" i="1"/>
  <c r="J49" i="1"/>
  <c r="C66" i="1" s="1"/>
  <c r="H47" i="1"/>
  <c r="G47" i="1"/>
  <c r="H48" i="1"/>
  <c r="G48" i="1"/>
  <c r="K35" i="1"/>
  <c r="G35" i="1"/>
  <c r="J35" i="1"/>
  <c r="H35" i="1"/>
  <c r="J38" i="1"/>
  <c r="K38" i="1"/>
  <c r="G38" i="1"/>
  <c r="H38" i="1"/>
  <c r="K47" i="1"/>
  <c r="J47" i="1"/>
  <c r="K49" i="9" l="1"/>
  <c r="E66" i="9" s="1"/>
  <c r="C66" i="9" s="1"/>
  <c r="E61" i="9"/>
  <c r="C59" i="1"/>
  <c r="C58" i="9"/>
  <c r="D61" i="9"/>
  <c r="J47" i="9"/>
  <c r="D64" i="9" s="1"/>
  <c r="C64" i="1"/>
  <c r="C61" i="9"/>
  <c r="K47" i="9"/>
  <c r="E64" i="9" s="1"/>
  <c r="E67" i="9" s="1"/>
  <c r="C58" i="1"/>
  <c r="C60" i="1"/>
  <c r="K48" i="1"/>
  <c r="J48" i="1"/>
  <c r="D67" i="1" s="1"/>
  <c r="C55" i="1"/>
  <c r="C54" i="1"/>
  <c r="C53" i="1"/>
  <c r="D67" i="9" l="1"/>
  <c r="C64" i="9"/>
  <c r="C67" i="9" s="1"/>
  <c r="C70" i="9" s="1"/>
  <c r="C76" i="9" s="1"/>
  <c r="C65" i="1"/>
  <c r="C67" i="1" s="1"/>
  <c r="C70" i="1" s="1"/>
  <c r="C76" i="1" s="1"/>
  <c r="E67" i="1"/>
  <c r="C61" i="1"/>
  <c r="C75" i="1" l="1"/>
  <c r="C75" i="9"/>
</calcChain>
</file>

<file path=xl/sharedStrings.xml><?xml version="1.0" encoding="utf-8"?>
<sst xmlns="http://schemas.openxmlformats.org/spreadsheetml/2006/main" count="470" uniqueCount="122">
  <si>
    <r>
      <t>C ჰეპატიტის დიაგნოსტიკის ჯამური ღირებულება</t>
    </r>
    <r>
      <rPr>
        <b/>
        <sz val="11"/>
        <color rgb="FFFF0000"/>
        <rFont val="Calibri"/>
        <family val="2"/>
        <scheme val="minor"/>
      </rPr>
      <t xml:space="preserve"> 25 000 </t>
    </r>
    <r>
      <rPr>
        <b/>
        <sz val="11"/>
        <color theme="1"/>
        <rFont val="Calibri"/>
        <family val="2"/>
        <scheme val="minor"/>
      </rPr>
      <t>პაციენტზე გათვლით</t>
    </r>
  </si>
  <si>
    <t>პაციენტის წილი</t>
  </si>
  <si>
    <t>სახელმწიფოს წილი</t>
  </si>
  <si>
    <t>სოცდაუცველი</t>
  </si>
  <si>
    <t>სხვა</t>
  </si>
  <si>
    <t>ერთეულის ფასი (ლარი)</t>
  </si>
  <si>
    <t>დიაგნოსტიკა მკურნალობაში ჩართვამდე</t>
  </si>
  <si>
    <t>HCV RNA</t>
  </si>
  <si>
    <t>სხვა კვლევები ელასტოგრაფიით</t>
  </si>
  <si>
    <t>გენოტიპირება</t>
  </si>
  <si>
    <t>სხვა კვლევები ელასტოგრაფიის გარეშე</t>
  </si>
  <si>
    <t>მონიტორინგი 1</t>
  </si>
  <si>
    <t>12-კვირიანი მკურნალობის კურსი რიბავირინით</t>
  </si>
  <si>
    <t>12-კვირიანი მკურნალობის კურსი ურიბავირინო</t>
  </si>
  <si>
    <t>მონიტორინგი 2</t>
  </si>
  <si>
    <t>24-კვირიანი მკურნალობის კურსი რიბავირინით</t>
  </si>
  <si>
    <t>24-კვირიანი მკურნალობის კურსი ურიბავირინო</t>
  </si>
  <si>
    <t>SVR</t>
  </si>
  <si>
    <t>SVR (HCV RNA)</t>
  </si>
  <si>
    <t>სულ დიაგნოსტიკა</t>
  </si>
  <si>
    <t>ვარიანტი 1</t>
  </si>
  <si>
    <t>ჩართვა 1 + მონიტორინგი 1 + SVR</t>
  </si>
  <si>
    <t>ჩართვა 2 + მონიტორინგი 1 + SVR</t>
  </si>
  <si>
    <t>ვარიანტი 2</t>
  </si>
  <si>
    <t>ჩართვა 1 + მონიტორინგი 2 + SVR</t>
  </si>
  <si>
    <t>ჩართვა 2 + მონიტორინგი 2 + SVR</t>
  </si>
  <si>
    <t>პაციენტის წილი (ლარი)</t>
  </si>
  <si>
    <t>სახელმწიფოს წილი (ლარი)</t>
  </si>
  <si>
    <t>12 კვირიანი მკურნალობის რეჟიმი</t>
  </si>
  <si>
    <t>24 კვირიანი მკურნალობის რეჟიმი</t>
  </si>
  <si>
    <t>პაციენტთა რაოდენობა</t>
  </si>
  <si>
    <t>სულ წლიური</t>
  </si>
  <si>
    <t>პაციენტთა წლიური რაოდენობა</t>
  </si>
  <si>
    <t>ბიუჯეტი (პაციენტის წილი)</t>
  </si>
  <si>
    <t>სულ წლიური ბიუჯეტი (ლარი)</t>
  </si>
  <si>
    <t>სულ ბიუჯეტი</t>
  </si>
  <si>
    <t>ბიუჯეტი (სახელმწიფოს წილი)</t>
  </si>
  <si>
    <t>სულ დიაგნოსტიკის ბიუჯეტი</t>
  </si>
  <si>
    <t>ADMINCOST (50 ლარი 1 პაციენტზე)</t>
  </si>
  <si>
    <t>რაოდენობრივი კვლევა 30%-ით მეტ პაციენტს</t>
  </si>
  <si>
    <t xml:space="preserve">TOTAL </t>
  </si>
  <si>
    <t>მ.შ. სახელმწიფოს წილი</t>
  </si>
  <si>
    <t>მონიტორინგი 12 კვირა</t>
  </si>
  <si>
    <t>რიბავირინით</t>
  </si>
  <si>
    <t xml:space="preserve">ფასი </t>
  </si>
  <si>
    <t>4 კვირა</t>
  </si>
  <si>
    <t>8 კვირა</t>
  </si>
  <si>
    <t>12 კვირა</t>
  </si>
  <si>
    <t>სულ</t>
  </si>
  <si>
    <t>ბიუჯეტი</t>
  </si>
  <si>
    <t>SVR 12-24 კოდი</t>
  </si>
  <si>
    <t>Physician consultation</t>
  </si>
  <si>
    <t>X</t>
  </si>
  <si>
    <t>Complete blood count</t>
  </si>
  <si>
    <t>ALT</t>
  </si>
  <si>
    <t>AST</t>
  </si>
  <si>
    <t>Bilirubin (პირდაპირი)</t>
  </si>
  <si>
    <t>Bilirubin (საერთო)</t>
  </si>
  <si>
    <t>Creatinine</t>
  </si>
  <si>
    <t>HCV RNA quantification by real-time PC</t>
  </si>
  <si>
    <t>სულ ერთი პაციენტი</t>
  </si>
  <si>
    <t>ურიბავირინო</t>
  </si>
  <si>
    <t>მონიტორინგი 24 კვირა</t>
  </si>
  <si>
    <t>რიბავირინიანი</t>
  </si>
  <si>
    <t>ფასი ერთ სულზე</t>
  </si>
  <si>
    <t>16 კვირა</t>
  </si>
  <si>
    <t>20 კვირა</t>
  </si>
  <si>
    <t>24 კვირა</t>
  </si>
  <si>
    <t>`</t>
  </si>
  <si>
    <t>FIB4</t>
  </si>
  <si>
    <t>liver elastography</t>
  </si>
  <si>
    <t>HCV genotyping</t>
  </si>
  <si>
    <t>HBsAg</t>
  </si>
  <si>
    <t>HB-core total</t>
  </si>
  <si>
    <t>G-GT</t>
  </si>
  <si>
    <t>ALP</t>
  </si>
  <si>
    <r>
      <t>Bilirubin (</t>
    </r>
    <r>
      <rPr>
        <sz val="11"/>
        <color rgb="FF000000"/>
        <rFont val="Sylfaen"/>
        <family val="1"/>
      </rPr>
      <t>პირდაპირი</t>
    </r>
    <r>
      <rPr>
        <sz val="11"/>
        <color rgb="FF000000"/>
        <rFont val="Calibri"/>
        <family val="2"/>
        <scheme val="minor"/>
      </rPr>
      <t xml:space="preserve"> )</t>
    </r>
  </si>
  <si>
    <r>
      <t>Bilirubin (</t>
    </r>
    <r>
      <rPr>
        <sz val="11"/>
        <color rgb="FF000000"/>
        <rFont val="Sylfaen"/>
        <family val="1"/>
      </rPr>
      <t>საერთო</t>
    </r>
    <r>
      <rPr>
        <sz val="11"/>
        <color rgb="FF000000"/>
        <rFont val="Calibri"/>
        <family val="2"/>
        <scheme val="minor"/>
      </rPr>
      <t>)</t>
    </r>
  </si>
  <si>
    <t>Glucose</t>
  </si>
  <si>
    <t>Albumin</t>
  </si>
  <si>
    <t>INR</t>
  </si>
  <si>
    <t>ულტრასონოგრაფია</t>
  </si>
  <si>
    <t xml:space="preserve">Physician consultation </t>
  </si>
  <si>
    <t xml:space="preserve">                 </t>
  </si>
  <si>
    <t>დასახელება</t>
  </si>
  <si>
    <t>ფასი (ლარი)</t>
  </si>
  <si>
    <t>N</t>
  </si>
  <si>
    <t>HCV RNA quantification by PCR</t>
  </si>
  <si>
    <t>HCV GENOTYPING</t>
  </si>
  <si>
    <t>OTHER TESTS (WITH ELASTOGRAFY)</t>
  </si>
  <si>
    <t>მკურნალობაში ჩართვა 1</t>
  </si>
  <si>
    <t>მკურნალობაში ჩართვა 2</t>
  </si>
  <si>
    <t>TOTAL</t>
  </si>
  <si>
    <t xml:space="preserve">HCV RNA </t>
  </si>
  <si>
    <t>Anti-HBc total</t>
  </si>
  <si>
    <t>ჩართვა 1-სტანდარტული</t>
  </si>
  <si>
    <t>ჩართვა 2-სტანდარტული</t>
  </si>
  <si>
    <t>ჩართვა 3-პჯდ</t>
  </si>
  <si>
    <t>ჩართვა 4-პჯდ</t>
  </si>
  <si>
    <t>მონიტორინგი 3-პჯდ</t>
  </si>
  <si>
    <t>ვარიანტი 3-პჯდ</t>
  </si>
  <si>
    <t>ვარიანტი 4-პჯდ</t>
  </si>
  <si>
    <t>ჩართვა 3 + მონიტორინგი 3 + SVR</t>
  </si>
  <si>
    <t>ჩართვა 4 + მონიტორინგი 3 + SVR</t>
  </si>
  <si>
    <t>პჯდ-მკურნალობის რეჟიმი</t>
  </si>
  <si>
    <t>№</t>
  </si>
  <si>
    <t>კომპონენტის დასახელება</t>
  </si>
  <si>
    <t>(ათასი ლარი)</t>
  </si>
  <si>
    <t>სკრინინგული კვლევის კომპონენტი </t>
  </si>
  <si>
    <t>დიაგნოსტიკის კომპონენტი</t>
  </si>
  <si>
    <t>მკურნალობის კომპონენტი</t>
  </si>
  <si>
    <t>ლოჯისტიკის კომპონენტი</t>
  </si>
  <si>
    <t>სულ:</t>
  </si>
  <si>
    <t>SVR 12-24 კვირა</t>
  </si>
  <si>
    <t>სულ ღირებულება (ლარი)</t>
  </si>
  <si>
    <t>ბიუჯეტი (ლარი)</t>
  </si>
  <si>
    <t>SVR 12-24 კვირა (ლარი)</t>
  </si>
  <si>
    <t>პაციენტის წილი-max (ლარი)</t>
  </si>
  <si>
    <t>პაციენტის წილი -max (ლარი)</t>
  </si>
  <si>
    <t>25 000 პაციენტი თანაგადახდის გარეშე</t>
  </si>
  <si>
    <t>25 000 პაციენტი თანაგადახდით</t>
  </si>
  <si>
    <t>12 000 პაციენტი თანაგადახდით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</si>
</sst>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L_a_r_i_-;\-* #,##0.00\ _L_a_r_i_-;_-* &quot;-&quot;??\ _L_a_r_i_-;_-@_-"/>
    <numFmt numFmtId="165" formatCode="_-* #,##0.0\ _L_a_r_i_-;\-* #,##0.0\ _L_a_r_i_-;_-* &quot;-&quot;??\ _L_a_r_i_-;_-@_-"/>
    <numFmt numFmtId="166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963634"/>
      <name val="Calibri"/>
      <family val="2"/>
      <scheme val="minor"/>
    </font>
    <font>
      <sz val="11"/>
      <color rgb="FF000000"/>
      <name val="Sylfaen"/>
      <family val="1"/>
    </font>
    <font>
      <b/>
      <sz val="11"/>
      <color rgb="FF000000"/>
      <name val="Calibri"/>
      <family val="2"/>
      <scheme val="minor"/>
    </font>
    <font>
      <sz val="12"/>
      <color theme="1"/>
      <name val="Sylfaen"/>
      <family val="1"/>
    </font>
    <font>
      <b/>
      <sz val="10"/>
      <color rgb="FF333333"/>
      <name val="Sylfaen"/>
      <family val="1"/>
    </font>
    <font>
      <sz val="10"/>
      <color rgb="FF333333"/>
      <name val="Sylfaen"/>
      <family val="1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0"/>
      <color rgb="FFFF0000"/>
      <name val="Sylfae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EAEAEA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1">
    <xf numFmtId="0" fontId="0" fillId="0" borderId="0" xfId="0"/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3" xfId="0" applyBorder="1"/>
    <xf numFmtId="0" fontId="0" fillId="0" borderId="3" xfId="0" applyFill="1" applyBorder="1"/>
    <xf numFmtId="0" fontId="2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Border="1" applyAlignment="1">
      <alignment horizontal="center" vertical="center" textRotation="90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164" fontId="0" fillId="0" borderId="0" xfId="0" applyNumberFormat="1"/>
    <xf numFmtId="43" fontId="0" fillId="0" borderId="0" xfId="0" applyNumberFormat="1"/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wrapText="1"/>
    </xf>
    <xf numFmtId="43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0" fillId="0" borderId="0" xfId="1" applyFont="1"/>
    <xf numFmtId="0" fontId="5" fillId="0" borderId="4" xfId="0" applyFont="1" applyFill="1" applyBorder="1" applyAlignment="1">
      <alignment wrapText="1"/>
    </xf>
    <xf numFmtId="43" fontId="2" fillId="0" borderId="1" xfId="0" applyNumberFormat="1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6" fillId="0" borderId="0" xfId="0" applyFont="1"/>
    <xf numFmtId="43" fontId="7" fillId="3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wrapText="1"/>
    </xf>
    <xf numFmtId="165" fontId="9" fillId="0" borderId="0" xfId="1" applyNumberFormat="1" applyFont="1" applyFill="1" applyBorder="1" applyAlignment="1">
      <alignment wrapText="1"/>
    </xf>
    <xf numFmtId="0" fontId="1" fillId="0" borderId="1" xfId="2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0" fillId="0" borderId="3" xfId="2" applyFont="1" applyBorder="1" applyAlignment="1">
      <alignment horizontal="center" vertical="center" wrapText="1"/>
    </xf>
    <xf numFmtId="0" fontId="1" fillId="0" borderId="0" xfId="2"/>
    <xf numFmtId="0" fontId="1" fillId="4" borderId="1" xfId="2" applyFill="1" applyBorder="1" applyAlignment="1">
      <alignment horizontal="center" vertical="center"/>
    </xf>
    <xf numFmtId="0" fontId="1" fillId="4" borderId="1" xfId="2" applyFill="1" applyBorder="1"/>
    <xf numFmtId="0" fontId="10" fillId="4" borderId="1" xfId="2" applyFont="1" applyFill="1" applyBorder="1" applyAlignment="1">
      <alignment wrapText="1"/>
    </xf>
    <xf numFmtId="0" fontId="10" fillId="4" borderId="4" xfId="2" applyFont="1" applyFill="1" applyBorder="1" applyAlignment="1">
      <alignment horizontal="center" vertical="center" wrapText="1"/>
    </xf>
    <xf numFmtId="0" fontId="1" fillId="0" borderId="1" xfId="2" applyBorder="1" applyAlignment="1">
      <alignment wrapText="1"/>
    </xf>
    <xf numFmtId="0" fontId="1" fillId="5" borderId="1" xfId="2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166" fontId="1" fillId="0" borderId="1" xfId="2" applyNumberFormat="1" applyBorder="1"/>
    <xf numFmtId="0" fontId="1" fillId="0" borderId="1" xfId="2" applyBorder="1"/>
    <xf numFmtId="0" fontId="1" fillId="0" borderId="1" xfId="2" applyBorder="1" applyAlignment="1">
      <alignment horizontal="left"/>
    </xf>
    <xf numFmtId="166" fontId="1" fillId="0" borderId="1" xfId="1" applyNumberFormat="1" applyFont="1" applyFill="1" applyBorder="1" applyAlignment="1">
      <alignment horizontal="center" vertical="center"/>
    </xf>
    <xf numFmtId="0" fontId="11" fillId="0" borderId="1" xfId="2" applyFont="1" applyBorder="1"/>
    <xf numFmtId="166" fontId="11" fillId="0" borderId="1" xfId="1" applyNumberFormat="1" applyFont="1" applyBorder="1" applyAlignment="1">
      <alignment horizontal="center" vertical="center"/>
    </xf>
    <xf numFmtId="166" fontId="11" fillId="0" borderId="1" xfId="1" applyNumberFormat="1" applyFont="1" applyFill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0" fillId="0" borderId="0" xfId="2" applyFont="1"/>
    <xf numFmtId="0" fontId="1" fillId="0" borderId="0" xfId="2" applyFill="1" applyBorder="1"/>
    <xf numFmtId="0" fontId="1" fillId="0" borderId="0" xfId="2" applyFill="1" applyBorder="1" applyAlignment="1"/>
    <xf numFmtId="166" fontId="11" fillId="0" borderId="1" xfId="1" applyNumberFormat="1" applyFont="1" applyBorder="1"/>
    <xf numFmtId="0" fontId="11" fillId="0" borderId="1" xfId="2" applyFont="1" applyBorder="1" applyAlignment="1">
      <alignment horizontal="center" vertical="center"/>
    </xf>
    <xf numFmtId="0" fontId="0" fillId="0" borderId="1" xfId="2" applyFont="1" applyBorder="1" applyAlignment="1">
      <alignment wrapText="1"/>
    </xf>
    <xf numFmtId="0" fontId="0" fillId="0" borderId="0" xfId="2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6" borderId="1" xfId="0" applyFont="1" applyFill="1" applyBorder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2" fillId="6" borderId="8" xfId="0" applyFont="1" applyFill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0" fontId="13" fillId="7" borderId="8" xfId="0" applyFont="1" applyFill="1" applyBorder="1" applyAlignment="1">
      <alignment vertical="center"/>
    </xf>
    <xf numFmtId="0" fontId="12" fillId="0" borderId="8" xfId="0" applyFont="1" applyBorder="1" applyAlignment="1">
      <alignment horizontal="right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6" borderId="8" xfId="0" applyFont="1" applyFill="1" applyBorder="1" applyAlignment="1">
      <alignment horizontal="right" vertical="center"/>
    </xf>
    <xf numFmtId="0" fontId="15" fillId="8" borderId="8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1" xfId="0" applyFont="1" applyFill="1" applyBorder="1"/>
    <xf numFmtId="0" fontId="3" fillId="0" borderId="1" xfId="0" applyFont="1" applyBorder="1"/>
    <xf numFmtId="0" fontId="16" fillId="0" borderId="0" xfId="0" applyFont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7" fillId="9" borderId="10" xfId="0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justify" vertical="center" wrapText="1"/>
    </xf>
    <xf numFmtId="0" fontId="18" fillId="9" borderId="8" xfId="0" applyFont="1" applyFill="1" applyBorder="1" applyAlignment="1">
      <alignment horizontal="justify" vertical="center" wrapText="1"/>
    </xf>
    <xf numFmtId="4" fontId="18" fillId="9" borderId="8" xfId="0" applyNumberFormat="1" applyFont="1" applyFill="1" applyBorder="1" applyAlignment="1">
      <alignment horizontal="justify" vertical="center" wrapText="1"/>
    </xf>
    <xf numFmtId="0" fontId="17" fillId="9" borderId="8" xfId="0" applyFont="1" applyFill="1" applyBorder="1" applyAlignment="1">
      <alignment horizontal="justify" vertical="center" wrapText="1"/>
    </xf>
    <xf numFmtId="4" fontId="17" fillId="9" borderId="8" xfId="0" applyNumberFormat="1" applyFont="1" applyFill="1" applyBorder="1" applyAlignment="1">
      <alignment horizontal="justify" vertical="center" wrapText="1"/>
    </xf>
    <xf numFmtId="0" fontId="17" fillId="9" borderId="9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2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Border="1"/>
    <xf numFmtId="43" fontId="20" fillId="0" borderId="1" xfId="2" applyNumberFormat="1" applyFont="1" applyBorder="1"/>
    <xf numFmtId="166" fontId="20" fillId="0" borderId="1" xfId="2" applyNumberFormat="1" applyFont="1" applyBorder="1"/>
    <xf numFmtId="0" fontId="5" fillId="0" borderId="1" xfId="0" applyFont="1" applyFill="1" applyBorder="1" applyAlignment="1">
      <alignment wrapText="1"/>
    </xf>
    <xf numFmtId="0" fontId="21" fillId="0" borderId="0" xfId="0" applyFont="1" applyFill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4" fontId="22" fillId="9" borderId="8" xfId="0" applyNumberFormat="1" applyFont="1" applyFill="1" applyBorder="1" applyAlignment="1">
      <alignment horizontal="justify" vertical="center" wrapText="1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Pics\edocs\C\C%20&#4305;&#4312;&#4323;&#4335;&#4308;&#4322;&#4312;\C-&#4305;&#4312;&#4323;&#4335;&#4308;&#4322;&#43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9"/>
      <sheetName val="ვარიანტი 3-2"/>
      <sheetName val="ვარიანტი 3-1"/>
      <sheetName val="ვარიანტი 2-2 ბიუჯეტის განმარ)"/>
      <sheetName val="ვარიანტი 2-1 ბიუჯეტის განმარ)"/>
      <sheetName val="ვარ 1-დაუც+ვეტერ-70%"/>
      <sheetName val="დაუც+ვეტერ-100%"/>
      <sheetName val="გენოტიპის გარეშე-2018"/>
      <sheetName val="ბიუჯეტი-18"/>
      <sheetName val="ჯამური ბიუჯეტი"/>
      <sheetName val="სამეგრელო-ზემო სვანეთი"/>
      <sheetName val="სამეგრელო (2)"/>
      <sheetName val="სამეგრელო (3)"/>
      <sheetName val="სამეგრელო (4)"/>
      <sheetName val="მონიტორინგის კვლევები"/>
      <sheetName val="მონიტორინგი-CORE"/>
      <sheetName val="მონიტორინგის კვლევების ჯგუფები"/>
      <sheetName val="მონიტორინგის კვლევების ჯგუფებიC"/>
      <sheetName val="მკურნალობაში ჩართვის კვლევები"/>
      <sheetName val="მკურნალობაში ჩართვის ჯგუფები"/>
      <sheetName val="10%-30%"/>
      <sheetName val="5%-20%"/>
      <sheetName val="Sheet7"/>
      <sheetName val="0%-10%"/>
      <sheetName val="0%-0%"/>
      <sheetName val="რნა 0-50 ლარი"/>
      <sheetName val="რნა 50-100 ლარი"/>
      <sheetName val="რნა-სრული დაფინანსება 30 70"/>
      <sheetName val="რნმ-სრული 5-20"/>
      <sheetName val="core antigenit 50-100"/>
      <sheetName val="core-antigenit 0-50"/>
      <sheetName val="core-antigenit 0-0"/>
      <sheetName val="CORE-30%-70%"/>
      <sheetName val="CORE 5-20%"/>
      <sheetName val="CORE-50-100-2017"/>
      <sheetName val="CORE 0-50-2017"/>
      <sheetName val="CORE 0-0-2017"/>
      <sheetName val="RNA-30-70-2017"/>
      <sheetName val="RNA SRULI DAFINANSEBA-2017"/>
      <sheetName val="core sruli-2018-30-70%"/>
      <sheetName val="CORE SRULI-2018-5-20%"/>
      <sheetName val="CORE-SRULI-30-70"/>
      <sheetName val="CORE SRULI DAFINANSEBA"/>
      <sheetName val="Sheet3"/>
      <sheetName val="Sheet1"/>
      <sheetName val="Sheet2"/>
      <sheetName val="Sheet4"/>
      <sheetName val="შედარება"/>
      <sheetName val="CORE-PRE-POST KVLEVEBI"/>
      <sheetName val="Sheet6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2">
          <cell r="J12">
            <v>236</v>
          </cell>
        </row>
      </sheetData>
      <sheetData sheetId="15">
        <row r="12">
          <cell r="J12">
            <v>186</v>
          </cell>
        </row>
      </sheetData>
      <sheetData sheetId="16">
        <row r="6">
          <cell r="E6">
            <v>227</v>
          </cell>
        </row>
        <row r="11">
          <cell r="E11">
            <v>130</v>
          </cell>
        </row>
      </sheetData>
      <sheetData sheetId="17"/>
      <sheetData sheetId="18">
        <row r="4">
          <cell r="E4">
            <v>20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8"/>
  <sheetViews>
    <sheetView topLeftCell="A13" workbookViewId="0">
      <selection activeCell="M28" sqref="M28"/>
    </sheetView>
  </sheetViews>
  <sheetFormatPr defaultRowHeight="15" x14ac:dyDescent="0.25"/>
  <cols>
    <col min="3" max="3" width="44.140625" customWidth="1"/>
    <col min="4" max="4" width="14.5703125" bestFit="1" customWidth="1"/>
  </cols>
  <sheetData>
    <row r="3" spans="2:7" ht="15.75" thickBot="1" x14ac:dyDescent="0.3"/>
    <row r="4" spans="2:7" x14ac:dyDescent="0.25">
      <c r="B4" s="97" t="s">
        <v>105</v>
      </c>
      <c r="C4" s="97" t="s">
        <v>106</v>
      </c>
      <c r="D4" s="90" t="s">
        <v>49</v>
      </c>
      <c r="E4" s="128" t="s">
        <v>119</v>
      </c>
      <c r="F4" s="129"/>
      <c r="G4" s="129"/>
    </row>
    <row r="5" spans="2:7" ht="15.75" thickBot="1" x14ac:dyDescent="0.3">
      <c r="B5" s="98"/>
      <c r="C5" s="98"/>
      <c r="D5" s="91" t="s">
        <v>107</v>
      </c>
      <c r="E5" s="128"/>
      <c r="F5" s="129"/>
      <c r="G5" s="129"/>
    </row>
    <row r="6" spans="2:7" ht="15.75" thickBot="1" x14ac:dyDescent="0.3">
      <c r="B6" s="92">
        <v>1</v>
      </c>
      <c r="C6" s="93" t="s">
        <v>108</v>
      </c>
      <c r="D6" s="94">
        <v>1100</v>
      </c>
    </row>
    <row r="7" spans="2:7" ht="15.75" thickBot="1" x14ac:dyDescent="0.3">
      <c r="B7" s="92">
        <v>2</v>
      </c>
      <c r="C7" s="93" t="s">
        <v>109</v>
      </c>
      <c r="D7" s="94">
        <v>19500</v>
      </c>
    </row>
    <row r="8" spans="2:7" ht="15.75" thickBot="1" x14ac:dyDescent="0.3">
      <c r="B8" s="92">
        <v>3</v>
      </c>
      <c r="C8" s="93" t="s">
        <v>110</v>
      </c>
      <c r="D8" s="93">
        <v>800</v>
      </c>
    </row>
    <row r="9" spans="2:7" ht="15.75" thickBot="1" x14ac:dyDescent="0.3">
      <c r="B9" s="92">
        <v>4</v>
      </c>
      <c r="C9" s="93" t="s">
        <v>111</v>
      </c>
      <c r="D9" s="94">
        <v>1200</v>
      </c>
    </row>
    <row r="10" spans="2:7" ht="15.75" thickBot="1" x14ac:dyDescent="0.3">
      <c r="B10" s="92"/>
      <c r="C10" s="95" t="s">
        <v>112</v>
      </c>
      <c r="D10" s="130">
        <f>D6+D7+D8+D9</f>
        <v>22600</v>
      </c>
    </row>
    <row r="12" spans="2:7" ht="15.75" thickBot="1" x14ac:dyDescent="0.3"/>
    <row r="13" spans="2:7" x14ac:dyDescent="0.25">
      <c r="B13" s="97" t="s">
        <v>105</v>
      </c>
      <c r="C13" s="97" t="s">
        <v>106</v>
      </c>
      <c r="D13" s="90" t="s">
        <v>49</v>
      </c>
      <c r="E13" s="128" t="s">
        <v>120</v>
      </c>
      <c r="F13" s="129"/>
      <c r="G13" s="129"/>
    </row>
    <row r="14" spans="2:7" ht="15.75" thickBot="1" x14ac:dyDescent="0.3">
      <c r="B14" s="98"/>
      <c r="C14" s="98"/>
      <c r="D14" s="91" t="s">
        <v>107</v>
      </c>
      <c r="E14" s="128"/>
      <c r="F14" s="129"/>
      <c r="G14" s="129"/>
    </row>
    <row r="15" spans="2:7" ht="15.75" thickBot="1" x14ac:dyDescent="0.3">
      <c r="B15" s="92">
        <v>1</v>
      </c>
      <c r="C15" s="93" t="s">
        <v>108</v>
      </c>
      <c r="D15" s="94">
        <v>1100</v>
      </c>
    </row>
    <row r="16" spans="2:7" ht="15.75" thickBot="1" x14ac:dyDescent="0.3">
      <c r="B16" s="92">
        <v>2</v>
      </c>
      <c r="C16" s="93" t="s">
        <v>109</v>
      </c>
      <c r="D16" s="94">
        <v>8000</v>
      </c>
    </row>
    <row r="17" spans="2:7" ht="15.75" thickBot="1" x14ac:dyDescent="0.3">
      <c r="B17" s="92">
        <v>3</v>
      </c>
      <c r="C17" s="93" t="s">
        <v>110</v>
      </c>
      <c r="D17" s="93">
        <v>800</v>
      </c>
    </row>
    <row r="18" spans="2:7" ht="15.75" thickBot="1" x14ac:dyDescent="0.3">
      <c r="B18" s="92">
        <v>4</v>
      </c>
      <c r="C18" s="93" t="s">
        <v>111</v>
      </c>
      <c r="D18" s="94">
        <v>1200</v>
      </c>
    </row>
    <row r="19" spans="2:7" ht="15.75" thickBot="1" x14ac:dyDescent="0.3">
      <c r="B19" s="92"/>
      <c r="C19" s="95" t="s">
        <v>112</v>
      </c>
      <c r="D19" s="130">
        <f>D15+D16+D17+D18</f>
        <v>11100</v>
      </c>
    </row>
    <row r="21" spans="2:7" ht="15.75" thickBot="1" x14ac:dyDescent="0.3"/>
    <row r="22" spans="2:7" x14ac:dyDescent="0.25">
      <c r="B22" s="97" t="s">
        <v>105</v>
      </c>
      <c r="C22" s="97" t="s">
        <v>106</v>
      </c>
      <c r="D22" s="90" t="s">
        <v>49</v>
      </c>
      <c r="E22" s="128" t="s">
        <v>121</v>
      </c>
      <c r="F22" s="129"/>
      <c r="G22" s="129"/>
    </row>
    <row r="23" spans="2:7" ht="15.75" thickBot="1" x14ac:dyDescent="0.3">
      <c r="B23" s="98"/>
      <c r="C23" s="98"/>
      <c r="D23" s="91" t="s">
        <v>107</v>
      </c>
      <c r="E23" s="128"/>
      <c r="F23" s="129"/>
      <c r="G23" s="129"/>
    </row>
    <row r="24" spans="2:7" ht="15.75" thickBot="1" x14ac:dyDescent="0.3">
      <c r="B24" s="92">
        <v>1</v>
      </c>
      <c r="C24" s="93" t="s">
        <v>108</v>
      </c>
      <c r="D24" s="94">
        <v>1100</v>
      </c>
    </row>
    <row r="25" spans="2:7" ht="15.75" thickBot="1" x14ac:dyDescent="0.3">
      <c r="B25" s="92">
        <v>2</v>
      </c>
      <c r="C25" s="93" t="s">
        <v>109</v>
      </c>
      <c r="D25" s="94">
        <v>4600</v>
      </c>
    </row>
    <row r="26" spans="2:7" ht="15.75" thickBot="1" x14ac:dyDescent="0.3">
      <c r="B26" s="92">
        <v>3</v>
      </c>
      <c r="C26" s="93" t="s">
        <v>110</v>
      </c>
      <c r="D26" s="93">
        <v>800</v>
      </c>
    </row>
    <row r="27" spans="2:7" ht="15.75" thickBot="1" x14ac:dyDescent="0.3">
      <c r="B27" s="92">
        <v>4</v>
      </c>
      <c r="C27" s="93" t="s">
        <v>111</v>
      </c>
      <c r="D27" s="94">
        <v>1200</v>
      </c>
    </row>
    <row r="28" spans="2:7" ht="15.75" thickBot="1" x14ac:dyDescent="0.3">
      <c r="B28" s="92"/>
      <c r="C28" s="95" t="s">
        <v>112</v>
      </c>
      <c r="D28" s="96">
        <f>D24+D25+D26+D27</f>
        <v>7700</v>
      </c>
    </row>
  </sheetData>
  <mergeCells count="9">
    <mergeCell ref="E4:G5"/>
    <mergeCell ref="E13:G14"/>
    <mergeCell ref="E22:G23"/>
    <mergeCell ref="B4:B5"/>
    <mergeCell ref="C4:C5"/>
    <mergeCell ref="B13:B14"/>
    <mergeCell ref="C13:C14"/>
    <mergeCell ref="B22:B23"/>
    <mergeCell ref="C22:C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abSelected="1" topLeftCell="A46" workbookViewId="0">
      <selection activeCell="C76" sqref="C76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3.85546875" customWidth="1"/>
    <col min="7" max="7" width="16.85546875" bestFit="1" customWidth="1"/>
    <col min="8" max="8" width="21.5703125" customWidth="1"/>
    <col min="9" max="9" width="4" customWidth="1"/>
    <col min="10" max="10" width="16.85546875" bestFit="1" customWidth="1"/>
    <col min="11" max="11" width="19.28515625" customWidth="1"/>
    <col min="12" max="12" width="17" customWidth="1"/>
    <col min="13" max="13" width="16.85546875" bestFit="1" customWidth="1"/>
    <col min="14" max="14" width="10.5703125" bestFit="1" customWidth="1"/>
    <col min="15" max="15" width="13.28515625" bestFit="1" customWidth="1"/>
  </cols>
  <sheetData>
    <row r="1" spans="1:11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x14ac:dyDescent="0.25">
      <c r="F2" s="1"/>
      <c r="G2" s="118" t="s">
        <v>1</v>
      </c>
      <c r="H2" s="118"/>
      <c r="I2" s="1"/>
      <c r="J2" s="118" t="s">
        <v>2</v>
      </c>
      <c r="K2" s="118"/>
    </row>
    <row r="3" spans="1:11" x14ac:dyDescent="0.25">
      <c r="F3" s="1"/>
      <c r="G3" s="2" t="s">
        <v>3</v>
      </c>
      <c r="H3" s="2" t="s">
        <v>4</v>
      </c>
      <c r="I3" s="1"/>
      <c r="J3" s="2" t="s">
        <v>3</v>
      </c>
      <c r="K3" s="2" t="s">
        <v>4</v>
      </c>
    </row>
    <row r="4" spans="1:11" ht="34.5" customHeight="1" x14ac:dyDescent="0.25">
      <c r="D4" s="119" t="s">
        <v>5</v>
      </c>
      <c r="E4" s="120"/>
      <c r="F4" s="1"/>
      <c r="G4" s="3">
        <v>0</v>
      </c>
      <c r="H4" s="3">
        <v>0</v>
      </c>
      <c r="I4" s="1"/>
      <c r="J4" s="3">
        <v>1</v>
      </c>
      <c r="K4" s="3">
        <v>1</v>
      </c>
    </row>
    <row r="5" spans="1:11" x14ac:dyDescent="0.25">
      <c r="A5" s="99" t="s">
        <v>6</v>
      </c>
      <c r="B5" s="116" t="s">
        <v>95</v>
      </c>
      <c r="C5" s="4" t="s">
        <v>7</v>
      </c>
      <c r="D5" s="7">
        <f>'მკურნალობაში ჩართვა-სტანდარტული'!I4</f>
        <v>60</v>
      </c>
      <c r="E5" s="108">
        <f>D5+D7+D6</f>
        <v>429</v>
      </c>
      <c r="F5" s="1"/>
      <c r="G5" s="104">
        <f>(E5-D5-D6)*$G$4</f>
        <v>0</v>
      </c>
      <c r="H5" s="104">
        <f>(E5-D5-D6)*$H$4</f>
        <v>0</v>
      </c>
      <c r="I5" s="1"/>
      <c r="J5" s="104">
        <f>(E5-D5-D6)*$J$4+D5+D6</f>
        <v>429</v>
      </c>
      <c r="K5" s="104">
        <f>(E5-D5-D6)*$K$4+D5+D6</f>
        <v>429</v>
      </c>
    </row>
    <row r="6" spans="1:11" x14ac:dyDescent="0.25">
      <c r="A6" s="99"/>
      <c r="B6" s="116"/>
      <c r="C6" s="4" t="s">
        <v>9</v>
      </c>
      <c r="D6" s="7">
        <f>'მკურნალობაში ჩართვა-სტანდარტული'!I5</f>
        <v>140</v>
      </c>
      <c r="E6" s="108"/>
      <c r="F6" s="1"/>
      <c r="G6" s="104"/>
      <c r="H6" s="104"/>
      <c r="I6" s="1"/>
      <c r="J6" s="104"/>
      <c r="K6" s="104"/>
    </row>
    <row r="7" spans="1:11" x14ac:dyDescent="0.25">
      <c r="A7" s="99"/>
      <c r="B7" s="116"/>
      <c r="C7" s="4" t="s">
        <v>8</v>
      </c>
      <c r="D7" s="7">
        <f>'მკურნალობაში ჩართვა-სტანდარტული'!I6</f>
        <v>229</v>
      </c>
      <c r="E7" s="108"/>
      <c r="F7" s="1"/>
      <c r="G7" s="104"/>
      <c r="H7" s="104"/>
      <c r="I7" s="1"/>
      <c r="J7" s="104"/>
      <c r="K7" s="104"/>
    </row>
    <row r="8" spans="1:11" x14ac:dyDescent="0.25">
      <c r="A8" s="99"/>
      <c r="E8" s="9"/>
      <c r="F8" s="1"/>
      <c r="I8" s="1"/>
    </row>
    <row r="9" spans="1:11" x14ac:dyDescent="0.25">
      <c r="A9" s="99"/>
      <c r="D9" s="8"/>
      <c r="E9" s="9"/>
      <c r="F9" s="1"/>
      <c r="I9" s="1"/>
    </row>
    <row r="10" spans="1:11" x14ac:dyDescent="0.25">
      <c r="A10" s="99"/>
      <c r="B10" s="116" t="s">
        <v>96</v>
      </c>
      <c r="C10" s="4" t="s">
        <v>7</v>
      </c>
      <c r="D10" s="7">
        <f>'მკურნალობაში ჩართვა-სტანდარტული'!I12</f>
        <v>60</v>
      </c>
      <c r="E10" s="108">
        <f>D10+D12+D11</f>
        <v>349</v>
      </c>
      <c r="F10" s="1"/>
      <c r="G10" s="104">
        <f>(E10-D10-D11)*$G$4</f>
        <v>0</v>
      </c>
      <c r="H10" s="104">
        <f>(E10-D10-D11)*$H$4</f>
        <v>0</v>
      </c>
      <c r="I10" s="1"/>
      <c r="J10" s="104">
        <f>(E10-D10-D11)*$J$4+D10+D11</f>
        <v>349</v>
      </c>
      <c r="K10" s="104">
        <f>(E10-D10-D11)*$K$4+D10+D11</f>
        <v>349</v>
      </c>
    </row>
    <row r="11" spans="1:11" x14ac:dyDescent="0.25">
      <c r="A11" s="99"/>
      <c r="B11" s="116"/>
      <c r="C11" s="4" t="s">
        <v>9</v>
      </c>
      <c r="D11" s="7">
        <f>'მკურნალობაში ჩართვა-სტანდარტული'!I13</f>
        <v>140</v>
      </c>
      <c r="E11" s="108"/>
      <c r="F11" s="1"/>
      <c r="G11" s="104"/>
      <c r="H11" s="104"/>
      <c r="I11" s="1"/>
      <c r="J11" s="104"/>
      <c r="K11" s="104"/>
    </row>
    <row r="12" spans="1:11" x14ac:dyDescent="0.25">
      <c r="A12" s="99"/>
      <c r="B12" s="116"/>
      <c r="C12" s="4" t="s">
        <v>10</v>
      </c>
      <c r="D12" s="7">
        <f>'მკურნალობაში ჩართვა-სტანდარტული'!I14</f>
        <v>149</v>
      </c>
      <c r="E12" s="108"/>
      <c r="F12" s="1"/>
      <c r="G12" s="104"/>
      <c r="H12" s="104"/>
      <c r="I12" s="1"/>
      <c r="J12" s="104"/>
      <c r="K12" s="104"/>
    </row>
    <row r="13" spans="1:11" x14ac:dyDescent="0.25">
      <c r="A13" s="99"/>
      <c r="B13" s="86"/>
      <c r="E13" s="86"/>
      <c r="F13" s="1"/>
      <c r="G13" s="88"/>
      <c r="H13" s="88"/>
      <c r="I13" s="1"/>
      <c r="J13" s="88"/>
      <c r="K13" s="88"/>
    </row>
    <row r="14" spans="1:11" x14ac:dyDescent="0.25">
      <c r="A14" s="99"/>
      <c r="B14" s="86"/>
      <c r="C14" s="87"/>
      <c r="D14" s="88"/>
      <c r="E14" s="86"/>
      <c r="F14" s="1"/>
      <c r="G14" s="88"/>
      <c r="H14" s="88"/>
      <c r="I14" s="1"/>
      <c r="J14" s="88"/>
      <c r="K14" s="88"/>
    </row>
    <row r="15" spans="1:11" x14ac:dyDescent="0.25">
      <c r="A15" s="99"/>
      <c r="B15" s="112" t="s">
        <v>97</v>
      </c>
      <c r="C15" s="4" t="s">
        <v>7</v>
      </c>
      <c r="D15" s="7">
        <f>'მკურნალობაში ჩართვა-პჯდ'!I4</f>
        <v>60</v>
      </c>
      <c r="E15" s="108">
        <f>D15+D17+D16</f>
        <v>381</v>
      </c>
      <c r="F15" s="1"/>
      <c r="G15" s="104">
        <f>(E15-D15-D16)*$G$4</f>
        <v>0</v>
      </c>
      <c r="H15" s="104">
        <f>(E15-D15-D16)*$H$4</f>
        <v>0</v>
      </c>
      <c r="I15" s="1"/>
      <c r="J15" s="104">
        <f>(E15-D15-D16)*$J$4+D15+D16</f>
        <v>381</v>
      </c>
      <c r="K15" s="104">
        <f>(E15-D15-D16)*$K$4+D15+D16</f>
        <v>381</v>
      </c>
    </row>
    <row r="16" spans="1:11" x14ac:dyDescent="0.25">
      <c r="A16" s="99"/>
      <c r="B16" s="112"/>
      <c r="C16" s="4" t="s">
        <v>9</v>
      </c>
      <c r="D16" s="7">
        <f>'მკურნალობაში ჩართვა-პჯდ'!I5</f>
        <v>140</v>
      </c>
      <c r="E16" s="108"/>
      <c r="F16" s="1"/>
      <c r="G16" s="104"/>
      <c r="H16" s="104"/>
      <c r="I16" s="1"/>
      <c r="J16" s="104"/>
      <c r="K16" s="104"/>
    </row>
    <row r="17" spans="1:11" x14ac:dyDescent="0.25">
      <c r="A17" s="99"/>
      <c r="B17" s="112"/>
      <c r="C17" s="4" t="s">
        <v>8</v>
      </c>
      <c r="D17" s="7">
        <f>'მკურნალობაში ჩართვა-პჯდ'!I6</f>
        <v>181</v>
      </c>
      <c r="E17" s="108"/>
      <c r="F17" s="1"/>
      <c r="G17" s="104"/>
      <c r="H17" s="104"/>
      <c r="I17" s="1"/>
      <c r="J17" s="104"/>
      <c r="K17" s="104"/>
    </row>
    <row r="18" spans="1:11" x14ac:dyDescent="0.25">
      <c r="A18" s="99"/>
      <c r="B18" s="86"/>
      <c r="E18" s="86"/>
      <c r="F18" s="1"/>
      <c r="G18" s="88"/>
      <c r="H18" s="88"/>
      <c r="I18" s="1"/>
      <c r="J18" s="88"/>
      <c r="K18" s="88"/>
    </row>
    <row r="19" spans="1:11" x14ac:dyDescent="0.25">
      <c r="A19" s="99"/>
      <c r="B19" s="86"/>
      <c r="E19" s="86"/>
      <c r="F19" s="1"/>
      <c r="G19" s="88"/>
      <c r="H19" s="88"/>
      <c r="I19" s="1"/>
      <c r="J19" s="88"/>
      <c r="K19" s="88"/>
    </row>
    <row r="20" spans="1:11" x14ac:dyDescent="0.25">
      <c r="A20" s="99"/>
      <c r="B20" s="112" t="s">
        <v>98</v>
      </c>
      <c r="C20" s="4" t="s">
        <v>7</v>
      </c>
      <c r="D20" s="7">
        <f>'მკურნალობაში ჩართვა-პჯდ'!I12</f>
        <v>60</v>
      </c>
      <c r="E20" s="108">
        <f>D20+D22+D21</f>
        <v>301</v>
      </c>
      <c r="F20" s="1"/>
      <c r="G20" s="104">
        <f>(E20-D20-D21)*$G$4</f>
        <v>0</v>
      </c>
      <c r="H20" s="104">
        <f>(E20-D20-D21)*$H$4</f>
        <v>0</v>
      </c>
      <c r="I20" s="1"/>
      <c r="J20" s="104">
        <f>(E20-D20-D21)*$J$4+D20+D21</f>
        <v>301</v>
      </c>
      <c r="K20" s="104">
        <f>(E20-D20-D21)*$K$4+D20+D21</f>
        <v>301</v>
      </c>
    </row>
    <row r="21" spans="1:11" x14ac:dyDescent="0.25">
      <c r="A21" s="99"/>
      <c r="B21" s="112"/>
      <c r="C21" s="4" t="s">
        <v>9</v>
      </c>
      <c r="D21" s="7">
        <f>'მკურნალობაში ჩართვა-პჯდ'!I13</f>
        <v>140</v>
      </c>
      <c r="E21" s="108"/>
      <c r="F21" s="1"/>
      <c r="G21" s="104"/>
      <c r="H21" s="104"/>
      <c r="I21" s="1"/>
      <c r="J21" s="104"/>
      <c r="K21" s="104"/>
    </row>
    <row r="22" spans="1:11" x14ac:dyDescent="0.25">
      <c r="A22" s="99"/>
      <c r="B22" s="112"/>
      <c r="C22" s="4" t="s">
        <v>8</v>
      </c>
      <c r="D22" s="7">
        <f>'მკურნალობაში ჩართვა-პჯდ'!I14</f>
        <v>101</v>
      </c>
      <c r="E22" s="108"/>
      <c r="F22" s="1"/>
      <c r="G22" s="104"/>
      <c r="H22" s="104"/>
      <c r="I22" s="1"/>
      <c r="J22" s="104"/>
      <c r="K22" s="104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99"/>
      <c r="B24" s="112" t="s">
        <v>11</v>
      </c>
      <c r="C24" s="10" t="s">
        <v>12</v>
      </c>
      <c r="D24" s="7">
        <f>'მონიტორინგი-სტანდარტული'!H10</f>
        <v>227</v>
      </c>
      <c r="E24" s="108">
        <f>AVERAGE(D24:D25)</f>
        <v>222.5</v>
      </c>
      <c r="F24" s="1"/>
      <c r="G24" s="113">
        <f>E24*30%</f>
        <v>66.75</v>
      </c>
      <c r="H24" s="113">
        <f>E24*70%</f>
        <v>155.75</v>
      </c>
      <c r="I24" s="1"/>
      <c r="J24" s="113">
        <f>E24*70%</f>
        <v>155.75</v>
      </c>
      <c r="K24" s="113">
        <f>E24*30%</f>
        <v>66.75</v>
      </c>
    </row>
    <row r="25" spans="1:11" x14ac:dyDescent="0.25">
      <c r="A25" s="99"/>
      <c r="B25" s="112"/>
      <c r="C25" s="11" t="s">
        <v>13</v>
      </c>
      <c r="D25" s="7">
        <f>'მონიტორინგი-სტანდარტული'!H22</f>
        <v>218</v>
      </c>
      <c r="E25" s="108"/>
      <c r="F25" s="1"/>
      <c r="G25" s="114"/>
      <c r="H25" s="114"/>
      <c r="I25" s="1"/>
      <c r="J25" s="114"/>
      <c r="K25" s="114"/>
    </row>
    <row r="26" spans="1:11" x14ac:dyDescent="0.25">
      <c r="A26" s="99"/>
      <c r="E26" s="9"/>
      <c r="F26" s="1"/>
      <c r="I26" s="1"/>
    </row>
    <row r="27" spans="1:11" x14ac:dyDescent="0.25">
      <c r="A27" s="99"/>
      <c r="B27" s="112" t="s">
        <v>14</v>
      </c>
      <c r="C27" s="10" t="s">
        <v>15</v>
      </c>
      <c r="D27" s="7">
        <f>'მონიტორინგი-სტანდარტული'!K36</f>
        <v>286</v>
      </c>
      <c r="E27" s="108">
        <f>AVERAGE(D27:D28)</f>
        <v>281.5</v>
      </c>
      <c r="F27" s="1"/>
      <c r="G27" s="104">
        <f>E27*30%</f>
        <v>84.45</v>
      </c>
      <c r="H27" s="104">
        <f>E27*70%</f>
        <v>197.04999999999998</v>
      </c>
      <c r="I27" s="1"/>
      <c r="J27" s="104">
        <f>E27*70%</f>
        <v>197.04999999999998</v>
      </c>
      <c r="K27" s="104">
        <f>E27*30%</f>
        <v>84.45</v>
      </c>
    </row>
    <row r="28" spans="1:11" x14ac:dyDescent="0.25">
      <c r="A28" s="99"/>
      <c r="B28" s="112"/>
      <c r="C28" s="11" t="s">
        <v>16</v>
      </c>
      <c r="D28" s="7">
        <f>'მონიტორინგი-სტანდარტული'!K49</f>
        <v>277</v>
      </c>
      <c r="E28" s="108"/>
      <c r="F28" s="1"/>
      <c r="G28" s="104"/>
      <c r="H28" s="104"/>
      <c r="I28" s="1"/>
      <c r="J28" s="104"/>
      <c r="K28" s="104"/>
    </row>
    <row r="29" spans="1:11" x14ac:dyDescent="0.25">
      <c r="A29" s="99"/>
      <c r="B29" s="86"/>
      <c r="C29" s="82"/>
      <c r="D29" s="88"/>
      <c r="E29" s="86"/>
      <c r="F29" s="1"/>
      <c r="G29" s="88"/>
      <c r="H29" s="88"/>
      <c r="I29" s="1"/>
      <c r="J29" s="88"/>
      <c r="K29" s="88"/>
    </row>
    <row r="30" spans="1:11" x14ac:dyDescent="0.25">
      <c r="A30" s="99"/>
      <c r="B30" s="115" t="s">
        <v>99</v>
      </c>
      <c r="C30" s="10" t="s">
        <v>12</v>
      </c>
      <c r="D30" s="7">
        <f>'მონიტორინგი-პჯდ'!H7</f>
        <v>102</v>
      </c>
      <c r="E30" s="108">
        <f>AVERAGE(D30:D31)</f>
        <v>88.5</v>
      </c>
      <c r="F30" s="1"/>
      <c r="G30" s="104">
        <f>E30*30%</f>
        <v>26.55</v>
      </c>
      <c r="H30" s="104">
        <f>E30*70%</f>
        <v>61.949999999999996</v>
      </c>
      <c r="I30" s="1"/>
      <c r="J30" s="104">
        <f>E30*70%</f>
        <v>61.949999999999996</v>
      </c>
      <c r="K30" s="104">
        <f>E30*30%</f>
        <v>26.55</v>
      </c>
    </row>
    <row r="31" spans="1:11" x14ac:dyDescent="0.25">
      <c r="A31" s="99"/>
      <c r="B31" s="115"/>
      <c r="C31" s="10" t="s">
        <v>13</v>
      </c>
      <c r="D31" s="89">
        <f>'მონიტორინგი-პჯდ'!H16</f>
        <v>75</v>
      </c>
      <c r="E31" s="108"/>
      <c r="F31" s="1"/>
      <c r="G31" s="104"/>
      <c r="H31" s="104"/>
      <c r="I31" s="1"/>
      <c r="J31" s="104"/>
      <c r="K31" s="104"/>
    </row>
    <row r="32" spans="1:11" x14ac:dyDescent="0.25">
      <c r="A32" s="99"/>
      <c r="C32" s="11"/>
      <c r="E32" s="9"/>
      <c r="F32" s="1"/>
      <c r="I32" s="1"/>
    </row>
    <row r="33" spans="1:11" x14ac:dyDescent="0.25">
      <c r="A33" s="99"/>
      <c r="B33" s="12" t="s">
        <v>17</v>
      </c>
      <c r="C33" s="4" t="s">
        <v>18</v>
      </c>
      <c r="D33" s="13">
        <f>'[1]მონიტორინგის კვლევების ჯგუფები'!E11</f>
        <v>130</v>
      </c>
      <c r="E33" s="14">
        <v>130</v>
      </c>
      <c r="F33" s="1"/>
      <c r="G33" s="7">
        <v>0</v>
      </c>
      <c r="H33" s="7">
        <v>0</v>
      </c>
      <c r="I33" s="1"/>
      <c r="J33" s="7">
        <f>E33</f>
        <v>130</v>
      </c>
      <c r="K33" s="7">
        <f>E33</f>
        <v>130</v>
      </c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10" t="s">
        <v>19</v>
      </c>
      <c r="B35" s="112" t="s">
        <v>20</v>
      </c>
      <c r="C35" s="4" t="s">
        <v>21</v>
      </c>
      <c r="D35" s="7">
        <f>E5+E24+E33</f>
        <v>781.5</v>
      </c>
      <c r="E35" s="108">
        <f>AVERAGE(D35:D36)</f>
        <v>741.5</v>
      </c>
      <c r="F35" s="1"/>
      <c r="G35" s="104">
        <f>(E35-E33-D5-D6)*G4</f>
        <v>0</v>
      </c>
      <c r="H35" s="104">
        <f>(E35-E33-D5-D6)*H4</f>
        <v>0</v>
      </c>
      <c r="I35" s="1"/>
      <c r="J35" s="104">
        <f>(E35-E33-D5-D6)*J4+E33+D5+D6</f>
        <v>741.5</v>
      </c>
      <c r="K35" s="104">
        <f>(E35-E33-D5-D6)*K4+E33+D5+D6</f>
        <v>741.5</v>
      </c>
    </row>
    <row r="36" spans="1:11" x14ac:dyDescent="0.25">
      <c r="A36" s="111"/>
      <c r="B36" s="112"/>
      <c r="C36" s="4" t="s">
        <v>22</v>
      </c>
      <c r="D36" s="7">
        <f>E10+E24+E33</f>
        <v>701.5</v>
      </c>
      <c r="E36" s="108"/>
      <c r="F36" s="1"/>
      <c r="G36" s="104"/>
      <c r="H36" s="104"/>
      <c r="I36" s="1"/>
      <c r="J36" s="104"/>
      <c r="K36" s="104"/>
    </row>
    <row r="37" spans="1:11" x14ac:dyDescent="0.25">
      <c r="A37" s="111"/>
      <c r="B37" s="9"/>
      <c r="D37" s="8"/>
      <c r="E37" s="9"/>
      <c r="F37" s="1"/>
      <c r="I37" s="1"/>
    </row>
    <row r="38" spans="1:11" x14ac:dyDescent="0.25">
      <c r="A38" s="111"/>
      <c r="B38" s="112" t="s">
        <v>23</v>
      </c>
      <c r="C38" s="4" t="s">
        <v>24</v>
      </c>
      <c r="D38" s="7">
        <f>E5+E27+E33</f>
        <v>840.5</v>
      </c>
      <c r="E38" s="108">
        <f>AVERAGE(D38:D39)</f>
        <v>800.5</v>
      </c>
      <c r="F38" s="1"/>
      <c r="G38" s="104">
        <f>(E38-E33-D5-D6)*G4</f>
        <v>0</v>
      </c>
      <c r="H38" s="104">
        <f>(E38-E33-D5-D6)*H4</f>
        <v>0</v>
      </c>
      <c r="I38" s="1"/>
      <c r="J38" s="104">
        <f>(E38-E33-D5-D6)*J4+E33+D5+D6</f>
        <v>800.5</v>
      </c>
      <c r="K38" s="104">
        <f>(E38-E33-D5-D6)*K4+E33+D5+D6</f>
        <v>800.5</v>
      </c>
    </row>
    <row r="39" spans="1:11" x14ac:dyDescent="0.25">
      <c r="A39" s="111"/>
      <c r="B39" s="112"/>
      <c r="C39" s="4" t="s">
        <v>25</v>
      </c>
      <c r="D39" s="7">
        <f>E10+E27+E33</f>
        <v>760.5</v>
      </c>
      <c r="E39" s="108"/>
      <c r="F39" s="1"/>
      <c r="G39" s="104"/>
      <c r="H39" s="104"/>
      <c r="I39" s="1"/>
      <c r="J39" s="104"/>
      <c r="K39" s="104"/>
    </row>
    <row r="40" spans="1:11" x14ac:dyDescent="0.25">
      <c r="A40" s="111"/>
      <c r="B40" s="86"/>
      <c r="C40" s="87"/>
      <c r="D40" s="88"/>
      <c r="E40" s="86"/>
      <c r="F40" s="1"/>
      <c r="G40" s="88"/>
      <c r="H40" s="88"/>
      <c r="I40" s="1"/>
      <c r="J40" s="88"/>
      <c r="K40" s="88"/>
    </row>
    <row r="41" spans="1:11" x14ac:dyDescent="0.25">
      <c r="A41" s="111"/>
      <c r="B41" s="12" t="s">
        <v>100</v>
      </c>
      <c r="C41" s="4" t="s">
        <v>102</v>
      </c>
      <c r="D41" s="7">
        <f>E15+E30+E33</f>
        <v>599.5</v>
      </c>
      <c r="E41" s="6">
        <f>AVERAGE(D41:D41)</f>
        <v>599.5</v>
      </c>
      <c r="F41" s="1"/>
      <c r="G41" s="7">
        <f>(E41-E33-D5-D6)*G4</f>
        <v>0</v>
      </c>
      <c r="H41" s="7">
        <f>(E41-E33-D5-D6)*H4</f>
        <v>0</v>
      </c>
      <c r="I41" s="1"/>
      <c r="J41" s="7">
        <f>(E41-E33-D5-D6)*J4+E33+D5+D6</f>
        <v>599.5</v>
      </c>
      <c r="K41" s="7">
        <f>(E41-E33-D5-D6)*K4+E33+D5+D6</f>
        <v>599.5</v>
      </c>
    </row>
    <row r="42" spans="1:11" x14ac:dyDescent="0.25">
      <c r="A42" s="111"/>
      <c r="B42" s="86"/>
      <c r="C42" s="87"/>
      <c r="D42" s="88"/>
      <c r="E42" s="86"/>
      <c r="F42" s="1"/>
      <c r="G42" s="88"/>
      <c r="H42" s="88"/>
      <c r="I42" s="1"/>
      <c r="J42" s="7"/>
      <c r="K42" s="88"/>
    </row>
    <row r="43" spans="1:11" x14ac:dyDescent="0.25">
      <c r="A43" s="111"/>
      <c r="B43" s="12" t="s">
        <v>101</v>
      </c>
      <c r="C43" s="4" t="s">
        <v>103</v>
      </c>
      <c r="D43" s="7">
        <f>E20+E30+E33</f>
        <v>519.5</v>
      </c>
      <c r="E43" s="6">
        <f>AVERAGE(D43:D43)</f>
        <v>519.5</v>
      </c>
      <c r="F43" s="1"/>
      <c r="G43" s="7">
        <f>(E43-E33-D5-D6)*G4</f>
        <v>0</v>
      </c>
      <c r="H43" s="7">
        <f>(E43-E33-D5-D6)*H4</f>
        <v>0</v>
      </c>
      <c r="I43" s="1"/>
      <c r="J43" s="7">
        <f>(E43-E33-D5-D6)*J4+E33+D5+D6</f>
        <v>519.5</v>
      </c>
      <c r="K43" s="7">
        <f>(E43-E33-D5-D6)*K4+D5+D6+E33</f>
        <v>519.5</v>
      </c>
    </row>
    <row r="44" spans="1:11" x14ac:dyDescent="0.25">
      <c r="A44" s="15"/>
      <c r="B44" s="16"/>
      <c r="C44" s="17"/>
      <c r="D44" s="18"/>
      <c r="E44" s="16"/>
      <c r="F44" s="1"/>
      <c r="G44" s="18"/>
      <c r="H44" s="18"/>
      <c r="I44" s="1"/>
      <c r="J44" s="1"/>
      <c r="K44" s="1"/>
    </row>
    <row r="45" spans="1:11" x14ac:dyDescent="0.25">
      <c r="F45" s="1"/>
      <c r="G45" s="109" t="s">
        <v>26</v>
      </c>
      <c r="H45" s="109"/>
      <c r="I45" s="1"/>
      <c r="J45" s="109" t="s">
        <v>27</v>
      </c>
      <c r="K45" s="109"/>
    </row>
    <row r="46" spans="1:11" ht="9" customHeight="1" x14ac:dyDescent="0.25">
      <c r="F46" s="1"/>
      <c r="G46" s="19" t="s">
        <v>3</v>
      </c>
      <c r="H46" s="19" t="s">
        <v>4</v>
      </c>
      <c r="I46" s="1"/>
      <c r="J46" s="19" t="s">
        <v>3</v>
      </c>
      <c r="K46" s="19" t="s">
        <v>4</v>
      </c>
    </row>
    <row r="47" spans="1:11" ht="21" customHeight="1" x14ac:dyDescent="0.25">
      <c r="A47" s="100" t="s">
        <v>19</v>
      </c>
      <c r="B47" s="7" t="s">
        <v>20</v>
      </c>
      <c r="C47" s="102" t="s">
        <v>28</v>
      </c>
      <c r="D47" s="103"/>
      <c r="E47" s="7">
        <f>E35</f>
        <v>741.5</v>
      </c>
      <c r="F47" s="1"/>
      <c r="G47" s="7">
        <f>E47*G4</f>
        <v>0</v>
      </c>
      <c r="H47" s="7">
        <f>E47*H4</f>
        <v>0</v>
      </c>
      <c r="I47" s="1"/>
      <c r="J47" s="7">
        <f>E47-G47</f>
        <v>741.5</v>
      </c>
      <c r="K47" s="7">
        <f>E47-H47</f>
        <v>741.5</v>
      </c>
    </row>
    <row r="48" spans="1:11" ht="29.25" customHeight="1" x14ac:dyDescent="0.25">
      <c r="A48" s="101"/>
      <c r="B48" s="7" t="s">
        <v>23</v>
      </c>
      <c r="C48" s="102" t="s">
        <v>29</v>
      </c>
      <c r="D48" s="103"/>
      <c r="E48" s="7">
        <f>E38</f>
        <v>800.5</v>
      </c>
      <c r="F48" s="1"/>
      <c r="G48" s="7">
        <f>E48*G4</f>
        <v>0</v>
      </c>
      <c r="H48" s="7">
        <f>E48*H4</f>
        <v>0</v>
      </c>
      <c r="I48" s="1"/>
      <c r="J48" s="7">
        <f>E48-G48</f>
        <v>800.5</v>
      </c>
      <c r="K48" s="7">
        <f>E48-H48</f>
        <v>800.5</v>
      </c>
    </row>
    <row r="49" spans="1:15" ht="33.75" customHeight="1" x14ac:dyDescent="0.25">
      <c r="A49" s="101"/>
      <c r="B49" s="7" t="s">
        <v>100</v>
      </c>
      <c r="C49" s="104" t="s">
        <v>28</v>
      </c>
      <c r="D49" s="104"/>
      <c r="E49" s="7">
        <f>AVERAGE(E41,E43)</f>
        <v>559.5</v>
      </c>
      <c r="F49" s="1"/>
      <c r="G49" s="7">
        <f>E49*G4</f>
        <v>0</v>
      </c>
      <c r="H49" s="7">
        <f>E49*H4</f>
        <v>0</v>
      </c>
      <c r="I49" s="1"/>
      <c r="J49" s="7">
        <f>E49-G49</f>
        <v>559.5</v>
      </c>
      <c r="K49" s="7">
        <f>E49-H49</f>
        <v>559.5</v>
      </c>
    </row>
    <row r="50" spans="1:15" x14ac:dyDescent="0.25">
      <c r="A50" s="15"/>
      <c r="B50" s="16"/>
      <c r="C50" s="17"/>
      <c r="D50" s="18"/>
      <c r="E50" s="16"/>
      <c r="F50" s="1"/>
      <c r="G50" s="18"/>
      <c r="H50" s="18"/>
      <c r="I50" s="1"/>
      <c r="J50" s="1"/>
      <c r="K50" s="1"/>
    </row>
    <row r="51" spans="1:15" ht="15" customHeight="1" x14ac:dyDescent="0.25">
      <c r="A51" s="105" t="s">
        <v>30</v>
      </c>
      <c r="B51" s="4"/>
      <c r="C51" s="20" t="s">
        <v>31</v>
      </c>
      <c r="D51" s="20" t="s">
        <v>3</v>
      </c>
      <c r="E51" s="20" t="s">
        <v>4</v>
      </c>
      <c r="F51" s="8"/>
    </row>
    <row r="52" spans="1:15" ht="31.5" customHeight="1" x14ac:dyDescent="0.25">
      <c r="A52" s="106"/>
      <c r="B52" s="21" t="s">
        <v>32</v>
      </c>
      <c r="C52" s="7">
        <v>25000</v>
      </c>
      <c r="D52" s="7">
        <f>C52*10%</f>
        <v>2500</v>
      </c>
      <c r="E52" s="7">
        <f>C52*90%</f>
        <v>22500</v>
      </c>
    </row>
    <row r="53" spans="1:15" ht="36" customHeight="1" x14ac:dyDescent="0.25">
      <c r="A53" s="106"/>
      <c r="B53" s="21" t="s">
        <v>28</v>
      </c>
      <c r="C53" s="7">
        <f>C52*60%</f>
        <v>15000</v>
      </c>
      <c r="D53" s="7">
        <f>D52*60%</f>
        <v>1500</v>
      </c>
      <c r="E53" s="7">
        <f>E52*60%</f>
        <v>13500</v>
      </c>
      <c r="H53" s="22"/>
      <c r="M53" s="23"/>
    </row>
    <row r="54" spans="1:15" ht="34.5" x14ac:dyDescent="0.25">
      <c r="A54" s="106"/>
      <c r="B54" s="21" t="s">
        <v>29</v>
      </c>
      <c r="C54" s="7">
        <f>C52*10%</f>
        <v>2500</v>
      </c>
      <c r="D54" s="7">
        <f>D52*10%</f>
        <v>250</v>
      </c>
      <c r="E54" s="7">
        <f>E52*10%</f>
        <v>2250</v>
      </c>
      <c r="H54" s="23"/>
    </row>
    <row r="55" spans="1:15" ht="23.25" x14ac:dyDescent="0.25">
      <c r="A55" s="106"/>
      <c r="B55" s="21" t="s">
        <v>104</v>
      </c>
      <c r="C55" s="7">
        <f>C52*30%</f>
        <v>7500</v>
      </c>
      <c r="D55" s="7">
        <f>D52*30%</f>
        <v>750</v>
      </c>
      <c r="E55" s="7">
        <f>E52*30%</f>
        <v>6750</v>
      </c>
      <c r="G55" s="22"/>
      <c r="H55" s="23"/>
    </row>
    <row r="56" spans="1:15" x14ac:dyDescent="0.25">
      <c r="A56" s="1"/>
      <c r="B56" s="1"/>
      <c r="C56" s="1"/>
      <c r="D56" s="1"/>
      <c r="E56" s="1"/>
      <c r="G56" s="23"/>
    </row>
    <row r="57" spans="1:15" x14ac:dyDescent="0.25">
      <c r="A57" s="107" t="s">
        <v>33</v>
      </c>
      <c r="C57" s="20" t="s">
        <v>34</v>
      </c>
      <c r="D57" s="24" t="s">
        <v>3</v>
      </c>
      <c r="E57" s="20" t="s">
        <v>4</v>
      </c>
      <c r="G57" s="23"/>
    </row>
    <row r="58" spans="1:15" ht="34.5" x14ac:dyDescent="0.25">
      <c r="A58" s="107"/>
      <c r="B58" s="25" t="s">
        <v>28</v>
      </c>
      <c r="C58" s="26">
        <f>D58+E58</f>
        <v>0</v>
      </c>
      <c r="D58" s="27">
        <f t="shared" ref="D58:E60" si="0">D53*G47</f>
        <v>0</v>
      </c>
      <c r="E58" s="27">
        <f t="shared" si="0"/>
        <v>0</v>
      </c>
      <c r="G58" s="22"/>
      <c r="H58" s="23"/>
      <c r="J58" s="23"/>
      <c r="K58" s="28"/>
      <c r="L58" s="23"/>
      <c r="M58" s="29"/>
      <c r="O58" s="23"/>
    </row>
    <row r="59" spans="1:15" ht="34.5" x14ac:dyDescent="0.25">
      <c r="A59" s="107"/>
      <c r="B59" s="25" t="s">
        <v>29</v>
      </c>
      <c r="C59" s="26">
        <f>D59+E59</f>
        <v>0</v>
      </c>
      <c r="D59" s="27">
        <f t="shared" si="0"/>
        <v>0</v>
      </c>
      <c r="E59" s="27">
        <f t="shared" si="0"/>
        <v>0</v>
      </c>
      <c r="G59" s="23"/>
      <c r="H59" s="23"/>
      <c r="J59" s="23"/>
      <c r="K59" s="28"/>
      <c r="L59" s="23"/>
    </row>
    <row r="60" spans="1:15" ht="23.25" x14ac:dyDescent="0.25">
      <c r="A60" s="107"/>
      <c r="B60" s="25" t="s">
        <v>104</v>
      </c>
      <c r="C60" s="26">
        <f>D60+E60</f>
        <v>0</v>
      </c>
      <c r="D60" s="27">
        <f t="shared" si="0"/>
        <v>0</v>
      </c>
      <c r="E60" s="27">
        <f t="shared" si="0"/>
        <v>0</v>
      </c>
      <c r="G60" s="23"/>
      <c r="H60" s="23"/>
      <c r="J60" s="23"/>
      <c r="K60" s="28"/>
      <c r="L60" s="23"/>
    </row>
    <row r="61" spans="1:15" x14ac:dyDescent="0.25">
      <c r="A61" s="107"/>
      <c r="B61" s="30" t="s">
        <v>35</v>
      </c>
      <c r="C61" s="31">
        <f>C58+C59+C60</f>
        <v>0</v>
      </c>
      <c r="D61" s="26">
        <f>D58+D59+D60</f>
        <v>0</v>
      </c>
      <c r="E61" s="32">
        <f>E58+E59+E60</f>
        <v>0</v>
      </c>
      <c r="G61" s="22"/>
      <c r="H61" s="23"/>
      <c r="J61" s="23"/>
      <c r="K61" s="33"/>
      <c r="L61" s="23"/>
    </row>
    <row r="62" spans="1:15" x14ac:dyDescent="0.25">
      <c r="A62" s="1"/>
      <c r="B62" s="1"/>
      <c r="C62" s="1"/>
      <c r="D62" s="1"/>
      <c r="E62" s="1"/>
      <c r="G62" s="23"/>
      <c r="L62" s="23"/>
    </row>
    <row r="63" spans="1:15" x14ac:dyDescent="0.25">
      <c r="A63" s="99" t="s">
        <v>36</v>
      </c>
      <c r="C63" s="20" t="s">
        <v>34</v>
      </c>
      <c r="D63" s="24" t="s">
        <v>3</v>
      </c>
      <c r="E63" s="20" t="s">
        <v>4</v>
      </c>
      <c r="G63" s="23"/>
      <c r="L63" s="23"/>
    </row>
    <row r="64" spans="1:15" ht="34.5" x14ac:dyDescent="0.25">
      <c r="A64" s="99"/>
      <c r="B64" s="25" t="s">
        <v>28</v>
      </c>
      <c r="C64" s="26">
        <f>D64+E64</f>
        <v>11122500</v>
      </c>
      <c r="D64" s="27">
        <f t="shared" ref="D64:E66" si="1">D53*J47</f>
        <v>1112250</v>
      </c>
      <c r="E64" s="27">
        <f t="shared" si="1"/>
        <v>10010250</v>
      </c>
      <c r="G64" s="29"/>
      <c r="H64" s="23"/>
      <c r="J64" s="29"/>
      <c r="L64" s="23"/>
      <c r="M64" s="23"/>
      <c r="O64" s="23"/>
    </row>
    <row r="65" spans="1:15" ht="34.5" x14ac:dyDescent="0.25">
      <c r="A65" s="99"/>
      <c r="B65" s="25" t="s">
        <v>29</v>
      </c>
      <c r="C65" s="26">
        <f>D65+E65</f>
        <v>2001250</v>
      </c>
      <c r="D65" s="27">
        <f t="shared" si="1"/>
        <v>200125</v>
      </c>
      <c r="E65" s="27">
        <f t="shared" si="1"/>
        <v>1801125</v>
      </c>
      <c r="G65" s="29"/>
      <c r="H65" s="23"/>
      <c r="J65" s="29"/>
      <c r="L65" s="29"/>
      <c r="M65" s="29"/>
      <c r="O65" s="23"/>
    </row>
    <row r="66" spans="1:15" ht="23.25" x14ac:dyDescent="0.25">
      <c r="A66" s="99"/>
      <c r="B66" s="25" t="s">
        <v>104</v>
      </c>
      <c r="C66" s="26">
        <f>D66+E66</f>
        <v>4196250</v>
      </c>
      <c r="D66" s="27">
        <f t="shared" si="1"/>
        <v>419625</v>
      </c>
      <c r="E66" s="27">
        <f t="shared" si="1"/>
        <v>3776625</v>
      </c>
      <c r="G66" s="29"/>
      <c r="H66" s="23"/>
      <c r="J66" s="29"/>
      <c r="L66" s="29"/>
      <c r="M66" s="29"/>
      <c r="O66" s="23"/>
    </row>
    <row r="67" spans="1:15" ht="23.25" x14ac:dyDescent="0.25">
      <c r="A67" s="99"/>
      <c r="B67" s="30" t="s">
        <v>37</v>
      </c>
      <c r="C67" s="31">
        <f>C64+C65+C66</f>
        <v>17320000</v>
      </c>
      <c r="D67" s="32">
        <f>D64+D65+D66</f>
        <v>1732000</v>
      </c>
      <c r="E67" s="32">
        <f>E64+E65+E66</f>
        <v>15588000</v>
      </c>
      <c r="F67" s="34"/>
      <c r="G67" s="29"/>
      <c r="H67" s="23"/>
      <c r="J67" s="29"/>
      <c r="K67" s="29"/>
      <c r="L67" s="23"/>
      <c r="M67" s="29"/>
    </row>
    <row r="68" spans="1:15" x14ac:dyDescent="0.25">
      <c r="A68" s="99"/>
      <c r="B68" s="30"/>
      <c r="C68" s="31"/>
      <c r="D68" s="26"/>
      <c r="E68" s="26"/>
      <c r="G68" s="29"/>
      <c r="H68" s="23"/>
      <c r="J68" s="29"/>
      <c r="K68" s="29"/>
      <c r="L68" s="23"/>
      <c r="M68" s="29"/>
      <c r="N68" s="23"/>
      <c r="O68" s="23"/>
    </row>
    <row r="69" spans="1:15" ht="23.25" x14ac:dyDescent="0.25">
      <c r="A69" s="99"/>
      <c r="B69" s="30" t="s">
        <v>38</v>
      </c>
      <c r="C69" s="31">
        <f>C52*50</f>
        <v>1250000</v>
      </c>
      <c r="D69" s="26"/>
      <c r="E69" s="26"/>
      <c r="G69" s="29"/>
      <c r="H69" s="23"/>
      <c r="J69" s="23"/>
      <c r="M69" s="29"/>
      <c r="O69" s="23"/>
    </row>
    <row r="70" spans="1:15" ht="15.75" x14ac:dyDescent="0.25">
      <c r="A70" s="99"/>
      <c r="B70" s="30" t="s">
        <v>35</v>
      </c>
      <c r="C70" s="35">
        <f>C67+C69+E73</f>
        <v>19002000</v>
      </c>
      <c r="D70" s="26"/>
      <c r="E70" s="26"/>
      <c r="G70" s="29"/>
      <c r="H70" s="23"/>
      <c r="J70" s="22"/>
      <c r="K70" s="29"/>
      <c r="O70" s="23"/>
    </row>
    <row r="71" spans="1:15" x14ac:dyDescent="0.25">
      <c r="A71" s="1"/>
      <c r="B71" s="1"/>
      <c r="C71" s="1"/>
      <c r="D71" s="1"/>
      <c r="E71" s="1"/>
      <c r="G71" s="29"/>
      <c r="H71" s="23"/>
      <c r="J71" s="23"/>
      <c r="K71" s="29"/>
      <c r="L71" s="23"/>
      <c r="M71" s="23"/>
    </row>
    <row r="72" spans="1:15" x14ac:dyDescent="0.25">
      <c r="G72" s="29"/>
    </row>
    <row r="73" spans="1:15" ht="34.5" x14ac:dyDescent="0.25">
      <c r="A73" s="4"/>
      <c r="B73" s="126" t="s">
        <v>39</v>
      </c>
      <c r="C73" s="4">
        <v>7200</v>
      </c>
      <c r="D73" s="4">
        <v>60</v>
      </c>
      <c r="E73" s="4">
        <f>C73*D73</f>
        <v>432000</v>
      </c>
      <c r="H73" s="23"/>
      <c r="J73" s="23"/>
      <c r="K73" s="23"/>
      <c r="L73" s="23"/>
    </row>
    <row r="74" spans="1:15" x14ac:dyDescent="0.25">
      <c r="H74" s="23"/>
    </row>
    <row r="75" spans="1:15" ht="18.75" x14ac:dyDescent="0.3">
      <c r="B75" s="36" t="s">
        <v>40</v>
      </c>
      <c r="C75" s="37">
        <f>C61+C70+E73</f>
        <v>19434000</v>
      </c>
      <c r="D75" s="23"/>
      <c r="H75" s="23"/>
      <c r="J75" s="23"/>
    </row>
    <row r="76" spans="1:15" ht="27" x14ac:dyDescent="0.3">
      <c r="B76" s="36" t="s">
        <v>41</v>
      </c>
      <c r="C76" s="37">
        <f>C70+E73</f>
        <v>19434000</v>
      </c>
      <c r="D76" s="23"/>
      <c r="G76" s="23"/>
      <c r="H76" s="23"/>
      <c r="J76" s="23"/>
      <c r="K76" s="23"/>
      <c r="L76" s="23"/>
      <c r="O76" s="23"/>
    </row>
    <row r="77" spans="1:15" x14ac:dyDescent="0.25">
      <c r="C77" s="23"/>
      <c r="H77" s="23"/>
      <c r="K77" s="23"/>
    </row>
    <row r="78" spans="1:15" x14ac:dyDescent="0.25">
      <c r="C78" s="23"/>
      <c r="D78" s="23"/>
      <c r="E78" s="23"/>
      <c r="G78" s="23"/>
      <c r="H78" s="23"/>
      <c r="J78" s="23"/>
      <c r="K78" s="23"/>
    </row>
    <row r="79" spans="1:15" x14ac:dyDescent="0.25">
      <c r="C79" s="29"/>
      <c r="D79" s="23"/>
      <c r="E79" s="23"/>
      <c r="H79" s="23"/>
      <c r="M79" s="23"/>
      <c r="O79" s="23"/>
    </row>
    <row r="80" spans="1:15" x14ac:dyDescent="0.25">
      <c r="C80" s="23"/>
      <c r="G80" s="23"/>
    </row>
    <row r="81" spans="3:13" x14ac:dyDescent="0.25">
      <c r="C81" s="23"/>
      <c r="G81" s="29"/>
      <c r="M81" s="23"/>
    </row>
    <row r="82" spans="3:13" x14ac:dyDescent="0.25">
      <c r="C82" s="23"/>
    </row>
    <row r="83" spans="3:13" x14ac:dyDescent="0.25">
      <c r="C83" s="23"/>
      <c r="G83" s="23"/>
    </row>
    <row r="84" spans="3:13" x14ac:dyDescent="0.25">
      <c r="G84" s="23"/>
      <c r="H84" s="23"/>
      <c r="K84" s="23"/>
    </row>
    <row r="85" spans="3:13" x14ac:dyDescent="0.25">
      <c r="C85" s="23"/>
    </row>
    <row r="86" spans="3:13" x14ac:dyDescent="0.25">
      <c r="K86" s="23"/>
    </row>
  </sheetData>
  <mergeCells count="70">
    <mergeCell ref="A1:K1"/>
    <mergeCell ref="G2:H2"/>
    <mergeCell ref="J2:K2"/>
    <mergeCell ref="D4:E4"/>
    <mergeCell ref="A5:A22"/>
    <mergeCell ref="B5:B7"/>
    <mergeCell ref="E5:E7"/>
    <mergeCell ref="G5:G7"/>
    <mergeCell ref="H5:H7"/>
    <mergeCell ref="J5:J7"/>
    <mergeCell ref="K5:K7"/>
    <mergeCell ref="B10:B12"/>
    <mergeCell ref="E10:E12"/>
    <mergeCell ref="G10:G12"/>
    <mergeCell ref="H10:H12"/>
    <mergeCell ref="J10:J12"/>
    <mergeCell ref="K10:K12"/>
    <mergeCell ref="J20:J22"/>
    <mergeCell ref="K20:K22"/>
    <mergeCell ref="B15:B17"/>
    <mergeCell ref="E15:E17"/>
    <mergeCell ref="G15:G17"/>
    <mergeCell ref="H15:H17"/>
    <mergeCell ref="J15:J17"/>
    <mergeCell ref="K15:K17"/>
    <mergeCell ref="H30:H31"/>
    <mergeCell ref="B20:B22"/>
    <mergeCell ref="E20:E22"/>
    <mergeCell ref="G20:G22"/>
    <mergeCell ref="H20:H22"/>
    <mergeCell ref="K24:K25"/>
    <mergeCell ref="B27:B28"/>
    <mergeCell ref="E27:E28"/>
    <mergeCell ref="G27:G28"/>
    <mergeCell ref="H27:H28"/>
    <mergeCell ref="J27:J28"/>
    <mergeCell ref="K27:K28"/>
    <mergeCell ref="B24:B25"/>
    <mergeCell ref="E24:E25"/>
    <mergeCell ref="G24:G25"/>
    <mergeCell ref="H24:H25"/>
    <mergeCell ref="J24:J25"/>
    <mergeCell ref="G45:H45"/>
    <mergeCell ref="J45:K45"/>
    <mergeCell ref="J30:J31"/>
    <mergeCell ref="K30:K31"/>
    <mergeCell ref="A35:A43"/>
    <mergeCell ref="B35:B36"/>
    <mergeCell ref="E35:E36"/>
    <mergeCell ref="G35:G36"/>
    <mergeCell ref="H35:H36"/>
    <mergeCell ref="J35:J36"/>
    <mergeCell ref="K35:K36"/>
    <mergeCell ref="B38:B39"/>
    <mergeCell ref="A24:A33"/>
    <mergeCell ref="B30:B31"/>
    <mergeCell ref="E30:E31"/>
    <mergeCell ref="G30:G31"/>
    <mergeCell ref="E38:E39"/>
    <mergeCell ref="G38:G39"/>
    <mergeCell ref="H38:H39"/>
    <mergeCell ref="J38:J39"/>
    <mergeCell ref="K38:K39"/>
    <mergeCell ref="A63:A70"/>
    <mergeCell ref="A47:A49"/>
    <mergeCell ref="C47:D47"/>
    <mergeCell ref="C48:D48"/>
    <mergeCell ref="C49:D49"/>
    <mergeCell ref="A51:A55"/>
    <mergeCell ref="A57:A6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opLeftCell="A56" zoomScale="80" zoomScaleNormal="80" workbookViewId="0">
      <selection activeCell="C75" sqref="C75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3.85546875" customWidth="1"/>
    <col min="7" max="7" width="16.85546875" bestFit="1" customWidth="1"/>
    <col min="8" max="8" width="21.5703125" customWidth="1"/>
    <col min="9" max="9" width="4" customWidth="1"/>
    <col min="10" max="10" width="16.85546875" bestFit="1" customWidth="1"/>
    <col min="11" max="11" width="19.28515625" customWidth="1"/>
    <col min="12" max="12" width="17" customWidth="1"/>
    <col min="13" max="13" width="16.85546875" bestFit="1" customWidth="1"/>
    <col min="14" max="14" width="10.5703125" bestFit="1" customWidth="1"/>
    <col min="15" max="15" width="13.28515625" bestFit="1" customWidth="1"/>
  </cols>
  <sheetData>
    <row r="1" spans="1:11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x14ac:dyDescent="0.25">
      <c r="F2" s="1"/>
      <c r="G2" s="118" t="s">
        <v>1</v>
      </c>
      <c r="H2" s="118"/>
      <c r="I2" s="1"/>
      <c r="J2" s="118" t="s">
        <v>2</v>
      </c>
      <c r="K2" s="118"/>
    </row>
    <row r="3" spans="1:11" x14ac:dyDescent="0.25">
      <c r="F3" s="1"/>
      <c r="G3" s="2" t="s">
        <v>3</v>
      </c>
      <c r="H3" s="2" t="s">
        <v>4</v>
      </c>
      <c r="I3" s="1"/>
      <c r="J3" s="2" t="s">
        <v>3</v>
      </c>
      <c r="K3" s="2" t="s">
        <v>4</v>
      </c>
    </row>
    <row r="4" spans="1:11" ht="34.5" customHeight="1" x14ac:dyDescent="0.25">
      <c r="D4" s="119" t="s">
        <v>5</v>
      </c>
      <c r="E4" s="120"/>
      <c r="F4" s="1"/>
      <c r="G4" s="3">
        <v>0.3</v>
      </c>
      <c r="H4" s="3">
        <v>0.7</v>
      </c>
      <c r="I4" s="1"/>
      <c r="J4" s="3">
        <v>0.7</v>
      </c>
      <c r="K4" s="3">
        <v>0.3</v>
      </c>
    </row>
    <row r="5" spans="1:11" x14ac:dyDescent="0.25">
      <c r="A5" s="99" t="s">
        <v>6</v>
      </c>
      <c r="B5" s="116" t="s">
        <v>95</v>
      </c>
      <c r="C5" s="4" t="s">
        <v>7</v>
      </c>
      <c r="D5" s="5">
        <f>'მკურნალობაში ჩართვა-სტანდარტული'!I4</f>
        <v>60</v>
      </c>
      <c r="E5" s="108">
        <f>D5+D7+D6</f>
        <v>429</v>
      </c>
      <c r="F5" s="1"/>
      <c r="G5" s="104">
        <f>(E5-D5-D6)*$G$4</f>
        <v>68.7</v>
      </c>
      <c r="H5" s="104">
        <f>(E5-D5-D6)*$H$4</f>
        <v>160.29999999999998</v>
      </c>
      <c r="I5" s="1"/>
      <c r="J5" s="104">
        <f>(E5-D5-D6)*$J$4+D5+D6</f>
        <v>360.29999999999995</v>
      </c>
      <c r="K5" s="104">
        <f>(E5-D5-D6)*$K$4+D5+D6</f>
        <v>268.7</v>
      </c>
    </row>
    <row r="6" spans="1:11" x14ac:dyDescent="0.25">
      <c r="A6" s="99"/>
      <c r="B6" s="116"/>
      <c r="C6" s="4" t="s">
        <v>9</v>
      </c>
      <c r="D6" s="5">
        <f>'მკურნალობაში ჩართვა-სტანდარტული'!I5</f>
        <v>140</v>
      </c>
      <c r="E6" s="108"/>
      <c r="F6" s="1"/>
      <c r="G6" s="104"/>
      <c r="H6" s="104"/>
      <c r="I6" s="1"/>
      <c r="J6" s="104"/>
      <c r="K6" s="104"/>
    </row>
    <row r="7" spans="1:11" x14ac:dyDescent="0.25">
      <c r="A7" s="99"/>
      <c r="B7" s="116"/>
      <c r="C7" s="4" t="s">
        <v>8</v>
      </c>
      <c r="D7" s="5">
        <f>'მკურნალობაში ჩართვა-სტანდარტული'!I6</f>
        <v>229</v>
      </c>
      <c r="E7" s="108"/>
      <c r="F7" s="1"/>
      <c r="G7" s="104"/>
      <c r="H7" s="104"/>
      <c r="I7" s="1"/>
      <c r="J7" s="104"/>
      <c r="K7" s="104"/>
    </row>
    <row r="8" spans="1:11" x14ac:dyDescent="0.25">
      <c r="A8" s="99"/>
      <c r="E8" s="9"/>
      <c r="F8" s="1"/>
      <c r="I8" s="1"/>
    </row>
    <row r="9" spans="1:11" x14ac:dyDescent="0.25">
      <c r="A9" s="99"/>
      <c r="D9" s="8"/>
      <c r="E9" s="9"/>
      <c r="F9" s="1"/>
      <c r="I9" s="1"/>
    </row>
    <row r="10" spans="1:11" x14ac:dyDescent="0.25">
      <c r="A10" s="99"/>
      <c r="B10" s="116" t="s">
        <v>96</v>
      </c>
      <c r="C10" s="4" t="s">
        <v>7</v>
      </c>
      <c r="D10" s="5">
        <f>'მკურნალობაში ჩართვა-სტანდარტული'!I12</f>
        <v>60</v>
      </c>
      <c r="E10" s="108">
        <f>D10+D12+D11</f>
        <v>349</v>
      </c>
      <c r="F10" s="1"/>
      <c r="G10" s="104">
        <f>(E10-D10-D11)*$G$4</f>
        <v>44.699999999999996</v>
      </c>
      <c r="H10" s="104">
        <f>(E10-D10-D11)*$H$4</f>
        <v>104.3</v>
      </c>
      <c r="I10" s="1"/>
      <c r="J10" s="104">
        <f>(E10-D10-D11)*$J$4+D10+D11</f>
        <v>304.3</v>
      </c>
      <c r="K10" s="104">
        <f>(E10-D10-D11)*$K$4+D10+D11</f>
        <v>244.7</v>
      </c>
    </row>
    <row r="11" spans="1:11" x14ac:dyDescent="0.25">
      <c r="A11" s="99"/>
      <c r="B11" s="116"/>
      <c r="C11" s="4" t="s">
        <v>9</v>
      </c>
      <c r="D11" s="5">
        <f>'მკურნალობაში ჩართვა-სტანდარტული'!I13</f>
        <v>140</v>
      </c>
      <c r="E11" s="108"/>
      <c r="F11" s="1"/>
      <c r="G11" s="104"/>
      <c r="H11" s="104"/>
      <c r="I11" s="1"/>
      <c r="J11" s="104"/>
      <c r="K11" s="104"/>
    </row>
    <row r="12" spans="1:11" x14ac:dyDescent="0.25">
      <c r="A12" s="99"/>
      <c r="B12" s="116"/>
      <c r="C12" s="4" t="s">
        <v>10</v>
      </c>
      <c r="D12" s="5">
        <f>'მკურნალობაში ჩართვა-სტანდარტული'!I14</f>
        <v>149</v>
      </c>
      <c r="E12" s="108"/>
      <c r="F12" s="1"/>
      <c r="G12" s="104"/>
      <c r="H12" s="104"/>
      <c r="I12" s="1"/>
      <c r="J12" s="104"/>
      <c r="K12" s="104"/>
    </row>
    <row r="13" spans="1:11" x14ac:dyDescent="0.25">
      <c r="A13" s="99"/>
      <c r="B13" s="86"/>
      <c r="E13" s="86"/>
      <c r="F13" s="1"/>
      <c r="G13" s="88"/>
      <c r="H13" s="88"/>
      <c r="I13" s="1"/>
      <c r="J13" s="88"/>
      <c r="K13" s="88"/>
    </row>
    <row r="14" spans="1:11" x14ac:dyDescent="0.25">
      <c r="A14" s="99"/>
      <c r="B14" s="86"/>
      <c r="C14" s="87"/>
      <c r="D14" s="88"/>
      <c r="E14" s="86"/>
      <c r="F14" s="1"/>
      <c r="G14" s="88"/>
      <c r="H14" s="88"/>
      <c r="I14" s="1"/>
      <c r="J14" s="88"/>
      <c r="K14" s="88"/>
    </row>
    <row r="15" spans="1:11" x14ac:dyDescent="0.25">
      <c r="A15" s="99"/>
      <c r="B15" s="112" t="s">
        <v>97</v>
      </c>
      <c r="C15" s="4" t="s">
        <v>7</v>
      </c>
      <c r="D15" s="7">
        <f>'მკურნალობაში ჩართვა-პჯდ'!I4</f>
        <v>60</v>
      </c>
      <c r="E15" s="108">
        <f>D15+D17+D16</f>
        <v>381</v>
      </c>
      <c r="F15" s="1"/>
      <c r="G15" s="104">
        <f>(E15-D15-D16)*$G$4</f>
        <v>54.3</v>
      </c>
      <c r="H15" s="104">
        <f>(E15-D15-D16)*$H$4</f>
        <v>126.69999999999999</v>
      </c>
      <c r="I15" s="1"/>
      <c r="J15" s="104">
        <f>(E15-D15-D16)*$J$4+D15+D16</f>
        <v>326.7</v>
      </c>
      <c r="K15" s="104">
        <f>(E15-D15-D16)*$K$4+D15+D16</f>
        <v>254.3</v>
      </c>
    </row>
    <row r="16" spans="1:11" x14ac:dyDescent="0.25">
      <c r="A16" s="99"/>
      <c r="B16" s="112"/>
      <c r="C16" s="4" t="s">
        <v>9</v>
      </c>
      <c r="D16" s="7">
        <f>'მკურნალობაში ჩართვა-პჯდ'!I5</f>
        <v>140</v>
      </c>
      <c r="E16" s="108"/>
      <c r="F16" s="1"/>
      <c r="G16" s="104"/>
      <c r="H16" s="104"/>
      <c r="I16" s="1"/>
      <c r="J16" s="104"/>
      <c r="K16" s="104"/>
    </row>
    <row r="17" spans="1:11" x14ac:dyDescent="0.25">
      <c r="A17" s="99"/>
      <c r="B17" s="112"/>
      <c r="C17" s="4" t="s">
        <v>8</v>
      </c>
      <c r="D17" s="7">
        <f>'მკურნალობაში ჩართვა-პჯდ'!I6</f>
        <v>181</v>
      </c>
      <c r="E17" s="108"/>
      <c r="F17" s="1"/>
      <c r="G17" s="104"/>
      <c r="H17" s="104"/>
      <c r="I17" s="1"/>
      <c r="J17" s="104"/>
      <c r="K17" s="104"/>
    </row>
    <row r="18" spans="1:11" x14ac:dyDescent="0.25">
      <c r="A18" s="99"/>
      <c r="B18" s="86"/>
      <c r="E18" s="86"/>
      <c r="F18" s="1"/>
      <c r="G18" s="88"/>
      <c r="H18" s="88"/>
      <c r="I18" s="1"/>
      <c r="J18" s="88"/>
      <c r="K18" s="88"/>
    </row>
    <row r="19" spans="1:11" x14ac:dyDescent="0.25">
      <c r="A19" s="99"/>
      <c r="B19" s="86"/>
      <c r="E19" s="86"/>
      <c r="F19" s="1"/>
      <c r="G19" s="88"/>
      <c r="H19" s="88"/>
      <c r="I19" s="1"/>
      <c r="J19" s="88"/>
      <c r="K19" s="88"/>
    </row>
    <row r="20" spans="1:11" x14ac:dyDescent="0.25">
      <c r="A20" s="99"/>
      <c r="B20" s="112" t="s">
        <v>98</v>
      </c>
      <c r="C20" s="4" t="s">
        <v>7</v>
      </c>
      <c r="D20" s="7">
        <f>'მკურნალობაში ჩართვა-პჯდ'!I12</f>
        <v>60</v>
      </c>
      <c r="E20" s="108">
        <f>D20+D22+D21</f>
        <v>301</v>
      </c>
      <c r="F20" s="1"/>
      <c r="G20" s="104">
        <f>(E20-D20-D21)*$G$4</f>
        <v>30.299999999999997</v>
      </c>
      <c r="H20" s="104">
        <f>(E20-D20-D21)*$H$4</f>
        <v>70.699999999999989</v>
      </c>
      <c r="I20" s="1"/>
      <c r="J20" s="104">
        <f>(E20-D20-D21)*$J$4+D20+D21</f>
        <v>270.7</v>
      </c>
      <c r="K20" s="104">
        <f>(E20-D20-D21)*$K$4+D20+D21</f>
        <v>230.3</v>
      </c>
    </row>
    <row r="21" spans="1:11" x14ac:dyDescent="0.25">
      <c r="A21" s="99"/>
      <c r="B21" s="112"/>
      <c r="C21" s="4" t="s">
        <v>9</v>
      </c>
      <c r="D21" s="7">
        <f>'მკურნალობაში ჩართვა-პჯდ'!I13</f>
        <v>140</v>
      </c>
      <c r="E21" s="108"/>
      <c r="F21" s="1"/>
      <c r="G21" s="104"/>
      <c r="H21" s="104"/>
      <c r="I21" s="1"/>
      <c r="J21" s="104"/>
      <c r="K21" s="104"/>
    </row>
    <row r="22" spans="1:11" x14ac:dyDescent="0.25">
      <c r="A22" s="99"/>
      <c r="B22" s="112"/>
      <c r="C22" s="4" t="s">
        <v>8</v>
      </c>
      <c r="D22" s="7">
        <f>'მკურნალობაში ჩართვა-პჯდ'!I14</f>
        <v>101</v>
      </c>
      <c r="E22" s="108"/>
      <c r="F22" s="1"/>
      <c r="G22" s="104"/>
      <c r="H22" s="104"/>
      <c r="I22" s="1"/>
      <c r="J22" s="104"/>
      <c r="K22" s="104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99"/>
      <c r="B24" s="112" t="s">
        <v>11</v>
      </c>
      <c r="C24" s="10" t="s">
        <v>12</v>
      </c>
      <c r="D24" s="5">
        <f>'მონიტორინგი-სტანდარტული'!H10</f>
        <v>227</v>
      </c>
      <c r="E24" s="108">
        <f>AVERAGE(D24:D25)</f>
        <v>222.5</v>
      </c>
      <c r="F24" s="1"/>
      <c r="G24" s="113">
        <f>E24*30%</f>
        <v>66.75</v>
      </c>
      <c r="H24" s="113">
        <f>E24*70%</f>
        <v>155.75</v>
      </c>
      <c r="I24" s="1"/>
      <c r="J24" s="113">
        <f>E24*70%</f>
        <v>155.75</v>
      </c>
      <c r="K24" s="113">
        <f>E24*30%</f>
        <v>66.75</v>
      </c>
    </row>
    <row r="25" spans="1:11" x14ac:dyDescent="0.25">
      <c r="A25" s="99"/>
      <c r="B25" s="112"/>
      <c r="C25" s="11" t="s">
        <v>13</v>
      </c>
      <c r="D25" s="5">
        <f>'მონიტორინგი-სტანდარტული'!H22</f>
        <v>218</v>
      </c>
      <c r="E25" s="108"/>
      <c r="F25" s="1"/>
      <c r="G25" s="114"/>
      <c r="H25" s="114"/>
      <c r="I25" s="1"/>
      <c r="J25" s="114"/>
      <c r="K25" s="114"/>
    </row>
    <row r="26" spans="1:11" x14ac:dyDescent="0.25">
      <c r="A26" s="99"/>
      <c r="E26" s="9"/>
      <c r="F26" s="1"/>
      <c r="I26" s="1"/>
    </row>
    <row r="27" spans="1:11" x14ac:dyDescent="0.25">
      <c r="A27" s="99"/>
      <c r="B27" s="112" t="s">
        <v>14</v>
      </c>
      <c r="C27" s="10" t="s">
        <v>15</v>
      </c>
      <c r="D27" s="5">
        <f>'მონიტორინგი-სტანდარტული'!K36</f>
        <v>286</v>
      </c>
      <c r="E27" s="108">
        <f>AVERAGE(D27:D28)</f>
        <v>281.5</v>
      </c>
      <c r="F27" s="1"/>
      <c r="G27" s="104">
        <f>E27*30%</f>
        <v>84.45</v>
      </c>
      <c r="H27" s="104">
        <f>E27*70%</f>
        <v>197.04999999999998</v>
      </c>
      <c r="I27" s="1"/>
      <c r="J27" s="104">
        <f>E27*70%</f>
        <v>197.04999999999998</v>
      </c>
      <c r="K27" s="104">
        <f>E27*30%</f>
        <v>84.45</v>
      </c>
    </row>
    <row r="28" spans="1:11" x14ac:dyDescent="0.25">
      <c r="A28" s="99"/>
      <c r="B28" s="112"/>
      <c r="C28" s="11" t="s">
        <v>16</v>
      </c>
      <c r="D28" s="5">
        <f>'მონიტორინგი-სტანდარტული'!K49</f>
        <v>277</v>
      </c>
      <c r="E28" s="108"/>
      <c r="F28" s="1"/>
      <c r="G28" s="104"/>
      <c r="H28" s="104"/>
      <c r="I28" s="1"/>
      <c r="J28" s="104"/>
      <c r="K28" s="104"/>
    </row>
    <row r="29" spans="1:11" x14ac:dyDescent="0.25">
      <c r="A29" s="99"/>
      <c r="B29" s="86"/>
      <c r="C29" s="82"/>
      <c r="D29" s="88"/>
      <c r="E29" s="86"/>
      <c r="F29" s="1"/>
      <c r="G29" s="88"/>
      <c r="H29" s="88"/>
      <c r="I29" s="1"/>
      <c r="J29" s="88"/>
      <c r="K29" s="88"/>
    </row>
    <row r="30" spans="1:11" x14ac:dyDescent="0.25">
      <c r="A30" s="99"/>
      <c r="B30" s="115" t="s">
        <v>99</v>
      </c>
      <c r="C30" s="10" t="s">
        <v>12</v>
      </c>
      <c r="D30" s="7">
        <f>'მონიტორინგი-პჯდ'!H7</f>
        <v>102</v>
      </c>
      <c r="E30" s="108">
        <f>AVERAGE(D30:D31)</f>
        <v>88.5</v>
      </c>
      <c r="F30" s="1"/>
      <c r="G30" s="104">
        <f>E30*30%</f>
        <v>26.55</v>
      </c>
      <c r="H30" s="104">
        <f>E30*70%</f>
        <v>61.949999999999996</v>
      </c>
      <c r="I30" s="1"/>
      <c r="J30" s="104">
        <f>E30*70%</f>
        <v>61.949999999999996</v>
      </c>
      <c r="K30" s="104">
        <f>E30*30%</f>
        <v>26.55</v>
      </c>
    </row>
    <row r="31" spans="1:11" x14ac:dyDescent="0.25">
      <c r="A31" s="99"/>
      <c r="B31" s="115"/>
      <c r="C31" s="10" t="s">
        <v>13</v>
      </c>
      <c r="D31" s="89">
        <f>'მონიტორინგი-პჯდ'!H16</f>
        <v>75</v>
      </c>
      <c r="E31" s="108"/>
      <c r="F31" s="1"/>
      <c r="G31" s="104"/>
      <c r="H31" s="104"/>
      <c r="I31" s="1"/>
      <c r="J31" s="104"/>
      <c r="K31" s="104"/>
    </row>
    <row r="32" spans="1:11" x14ac:dyDescent="0.25">
      <c r="A32" s="99"/>
      <c r="C32" s="11"/>
      <c r="E32" s="9"/>
      <c r="F32" s="1"/>
      <c r="I32" s="1"/>
    </row>
    <row r="33" spans="1:11" x14ac:dyDescent="0.25">
      <c r="A33" s="99"/>
      <c r="B33" s="12" t="s">
        <v>17</v>
      </c>
      <c r="C33" s="4" t="s">
        <v>18</v>
      </c>
      <c r="D33" s="13">
        <f>'[1]მონიტორინგის კვლევების ჯგუფები'!E11</f>
        <v>130</v>
      </c>
      <c r="E33" s="14">
        <v>130</v>
      </c>
      <c r="F33" s="1"/>
      <c r="G33" s="5">
        <v>0</v>
      </c>
      <c r="H33" s="5">
        <v>0</v>
      </c>
      <c r="I33" s="1"/>
      <c r="J33" s="5">
        <f>E33</f>
        <v>130</v>
      </c>
      <c r="K33" s="5">
        <f>E33</f>
        <v>130</v>
      </c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10" t="s">
        <v>19</v>
      </c>
      <c r="B35" s="112" t="s">
        <v>20</v>
      </c>
      <c r="C35" s="4" t="s">
        <v>21</v>
      </c>
      <c r="D35" s="5">
        <f>E5+E24+E33</f>
        <v>781.5</v>
      </c>
      <c r="E35" s="108">
        <f>AVERAGE(D35:D36)</f>
        <v>741.5</v>
      </c>
      <c r="F35" s="1"/>
      <c r="G35" s="104">
        <f>(E35-E33-D5-D6)*G4</f>
        <v>123.44999999999999</v>
      </c>
      <c r="H35" s="104">
        <f>(E35-E33-D5-D6)*H4</f>
        <v>288.04999999999995</v>
      </c>
      <c r="I35" s="1"/>
      <c r="J35" s="104">
        <f>(E35-E33-D5-D6)*J4+E33+D5+D6</f>
        <v>618.04999999999995</v>
      </c>
      <c r="K35" s="104">
        <f>(E35-E33-D5-D6)*K4+E33+D5+D6</f>
        <v>453.45</v>
      </c>
    </row>
    <row r="36" spans="1:11" x14ac:dyDescent="0.25">
      <c r="A36" s="111"/>
      <c r="B36" s="112"/>
      <c r="C36" s="4" t="s">
        <v>22</v>
      </c>
      <c r="D36" s="5">
        <f>E10+E24+E33</f>
        <v>701.5</v>
      </c>
      <c r="E36" s="108"/>
      <c r="F36" s="1"/>
      <c r="G36" s="104"/>
      <c r="H36" s="104"/>
      <c r="I36" s="1"/>
      <c r="J36" s="104"/>
      <c r="K36" s="104"/>
    </row>
    <row r="37" spans="1:11" x14ac:dyDescent="0.25">
      <c r="A37" s="111"/>
      <c r="B37" s="9"/>
      <c r="D37" s="8"/>
      <c r="E37" s="9"/>
      <c r="F37" s="1"/>
      <c r="I37" s="1"/>
    </row>
    <row r="38" spans="1:11" x14ac:dyDescent="0.25">
      <c r="A38" s="111"/>
      <c r="B38" s="112" t="s">
        <v>23</v>
      </c>
      <c r="C38" s="4" t="s">
        <v>24</v>
      </c>
      <c r="D38" s="5">
        <f>E5+E27+E33</f>
        <v>840.5</v>
      </c>
      <c r="E38" s="108">
        <f>AVERAGE(D38:D39)</f>
        <v>800.5</v>
      </c>
      <c r="F38" s="1"/>
      <c r="G38" s="104">
        <f>(E38-E33-D5-D6)*G4</f>
        <v>141.15</v>
      </c>
      <c r="H38" s="104">
        <f>(E38-E33-D5-D6)*H4</f>
        <v>329.34999999999997</v>
      </c>
      <c r="I38" s="1"/>
      <c r="J38" s="104">
        <f>(E38-E33-D5-D6)*J4+E33+D5+D6</f>
        <v>659.34999999999991</v>
      </c>
      <c r="K38" s="104">
        <f>(E38-E33-D5-D6)*K4+E33+D5+D6</f>
        <v>471.15</v>
      </c>
    </row>
    <row r="39" spans="1:11" x14ac:dyDescent="0.25">
      <c r="A39" s="111"/>
      <c r="B39" s="112"/>
      <c r="C39" s="4" t="s">
        <v>25</v>
      </c>
      <c r="D39" s="5">
        <f>E10+E27+E33</f>
        <v>760.5</v>
      </c>
      <c r="E39" s="108"/>
      <c r="F39" s="1"/>
      <c r="G39" s="104"/>
      <c r="H39" s="104"/>
      <c r="I39" s="1"/>
      <c r="J39" s="104"/>
      <c r="K39" s="104"/>
    </row>
    <row r="40" spans="1:11" x14ac:dyDescent="0.25">
      <c r="A40" s="111"/>
      <c r="B40" s="86"/>
      <c r="C40" s="87"/>
      <c r="D40" s="88"/>
      <c r="E40" s="86"/>
      <c r="F40" s="1"/>
      <c r="G40" s="88"/>
      <c r="H40" s="88"/>
      <c r="I40" s="1"/>
      <c r="J40" s="88"/>
      <c r="K40" s="88"/>
    </row>
    <row r="41" spans="1:11" x14ac:dyDescent="0.25">
      <c r="A41" s="111"/>
      <c r="B41" s="12" t="s">
        <v>100</v>
      </c>
      <c r="C41" s="4" t="s">
        <v>102</v>
      </c>
      <c r="D41" s="7">
        <f>E15+E30+E33</f>
        <v>599.5</v>
      </c>
      <c r="E41" s="6">
        <f>AVERAGE(D41:D41)</f>
        <v>599.5</v>
      </c>
      <c r="F41" s="1"/>
      <c r="G41" s="7">
        <f>(E41-E33-D5-D6)*G4</f>
        <v>80.849999999999994</v>
      </c>
      <c r="H41" s="7">
        <f>(E41-E33-D5-D6)*H4</f>
        <v>188.64999999999998</v>
      </c>
      <c r="I41" s="1"/>
      <c r="J41" s="7">
        <f>(E41-E33-D5-D6)*J4+E33+D5+D6</f>
        <v>518.65</v>
      </c>
      <c r="K41" s="7">
        <f>(E41-E33-D5-D6)*K4+E33+D5+D6</f>
        <v>410.85</v>
      </c>
    </row>
    <row r="42" spans="1:11" x14ac:dyDescent="0.25">
      <c r="A42" s="111"/>
      <c r="B42" s="86"/>
      <c r="C42" s="87"/>
      <c r="D42" s="88"/>
      <c r="E42" s="86"/>
      <c r="F42" s="1"/>
      <c r="G42" s="88"/>
      <c r="H42" s="88"/>
      <c r="I42" s="1"/>
      <c r="J42" s="7"/>
      <c r="K42" s="88"/>
    </row>
    <row r="43" spans="1:11" x14ac:dyDescent="0.25">
      <c r="A43" s="111"/>
      <c r="B43" s="12" t="s">
        <v>101</v>
      </c>
      <c r="C43" s="4" t="s">
        <v>103</v>
      </c>
      <c r="D43" s="7">
        <f>E20+E30+E33</f>
        <v>519.5</v>
      </c>
      <c r="E43" s="6">
        <f>AVERAGE(D43:D43)</f>
        <v>519.5</v>
      </c>
      <c r="F43" s="1"/>
      <c r="G43" s="7">
        <f>(E43-E33-D5-D6)*G4</f>
        <v>56.85</v>
      </c>
      <c r="H43" s="7">
        <f>(E43-E33-D5-D6)*H4</f>
        <v>132.65</v>
      </c>
      <c r="I43" s="1"/>
      <c r="J43" s="7">
        <f>(E43-E33-D5-D6)*J4+E33+D5+D6</f>
        <v>462.65</v>
      </c>
      <c r="K43" s="7">
        <f>(E43-E33-D5-D6)*K4+D5+D6+E33</f>
        <v>386.85</v>
      </c>
    </row>
    <row r="44" spans="1:11" x14ac:dyDescent="0.25">
      <c r="A44" s="15"/>
      <c r="B44" s="16"/>
      <c r="C44" s="17"/>
      <c r="D44" s="18"/>
      <c r="E44" s="16"/>
      <c r="F44" s="1"/>
      <c r="G44" s="18"/>
      <c r="H44" s="18"/>
      <c r="I44" s="1"/>
      <c r="J44" s="1"/>
      <c r="K44" s="1"/>
    </row>
    <row r="45" spans="1:11" x14ac:dyDescent="0.25">
      <c r="F45" s="1"/>
      <c r="G45" s="109" t="s">
        <v>26</v>
      </c>
      <c r="H45" s="109"/>
      <c r="I45" s="1"/>
      <c r="J45" s="109" t="s">
        <v>27</v>
      </c>
      <c r="K45" s="109"/>
    </row>
    <row r="46" spans="1:11" ht="9" customHeight="1" x14ac:dyDescent="0.25">
      <c r="F46" s="1"/>
      <c r="G46" s="19" t="s">
        <v>3</v>
      </c>
      <c r="H46" s="19" t="s">
        <v>4</v>
      </c>
      <c r="I46" s="1"/>
      <c r="J46" s="19" t="s">
        <v>3</v>
      </c>
      <c r="K46" s="19" t="s">
        <v>4</v>
      </c>
    </row>
    <row r="47" spans="1:11" ht="21" customHeight="1" x14ac:dyDescent="0.25">
      <c r="A47" s="100" t="s">
        <v>19</v>
      </c>
      <c r="B47" s="5" t="s">
        <v>20</v>
      </c>
      <c r="C47" s="102" t="s">
        <v>28</v>
      </c>
      <c r="D47" s="103"/>
      <c r="E47" s="5">
        <f>E35</f>
        <v>741.5</v>
      </c>
      <c r="F47" s="1"/>
      <c r="G47" s="5">
        <f>E47*G4</f>
        <v>222.45</v>
      </c>
      <c r="H47" s="5">
        <f>E47*H4</f>
        <v>519.04999999999995</v>
      </c>
      <c r="I47" s="1"/>
      <c r="J47" s="5">
        <f>E47-G47</f>
        <v>519.04999999999995</v>
      </c>
      <c r="K47" s="5">
        <f>E47-H47</f>
        <v>222.45000000000005</v>
      </c>
    </row>
    <row r="48" spans="1:11" ht="29.25" customHeight="1" x14ac:dyDescent="0.25">
      <c r="A48" s="101"/>
      <c r="B48" s="5" t="s">
        <v>23</v>
      </c>
      <c r="C48" s="102" t="s">
        <v>29</v>
      </c>
      <c r="D48" s="103"/>
      <c r="E48" s="5">
        <f>E38</f>
        <v>800.5</v>
      </c>
      <c r="F48" s="1"/>
      <c r="G48" s="5">
        <f>E48*G4</f>
        <v>240.14999999999998</v>
      </c>
      <c r="H48" s="5">
        <f>E48*H4</f>
        <v>560.34999999999991</v>
      </c>
      <c r="I48" s="1"/>
      <c r="J48" s="5">
        <f>E48-G48</f>
        <v>560.35</v>
      </c>
      <c r="K48" s="5">
        <f>E48-H48</f>
        <v>240.15000000000009</v>
      </c>
    </row>
    <row r="49" spans="1:15" ht="33.75" customHeight="1" x14ac:dyDescent="0.25">
      <c r="A49" s="101"/>
      <c r="B49" s="7" t="s">
        <v>100</v>
      </c>
      <c r="C49" s="104" t="s">
        <v>28</v>
      </c>
      <c r="D49" s="104"/>
      <c r="E49" s="7">
        <f>AVERAGE(E41,E43)</f>
        <v>559.5</v>
      </c>
      <c r="F49" s="1"/>
      <c r="G49" s="7">
        <f>E49*G4</f>
        <v>167.85</v>
      </c>
      <c r="H49" s="7">
        <f>E49*H4</f>
        <v>391.65</v>
      </c>
      <c r="I49" s="1"/>
      <c r="J49" s="7">
        <f>H49</f>
        <v>391.65</v>
      </c>
      <c r="K49" s="7">
        <f>G49</f>
        <v>167.85</v>
      </c>
    </row>
    <row r="50" spans="1:15" x14ac:dyDescent="0.25">
      <c r="A50" s="15"/>
      <c r="B50" s="16"/>
      <c r="C50" s="17"/>
      <c r="D50" s="18"/>
      <c r="E50" s="16"/>
      <c r="F50" s="1"/>
      <c r="G50" s="18"/>
      <c r="H50" s="18"/>
      <c r="I50" s="1"/>
      <c r="J50" s="1"/>
      <c r="K50" s="1"/>
    </row>
    <row r="51" spans="1:15" ht="15" customHeight="1" x14ac:dyDescent="0.25">
      <c r="A51" s="105" t="s">
        <v>30</v>
      </c>
      <c r="B51" s="4"/>
      <c r="C51" s="20" t="s">
        <v>31</v>
      </c>
      <c r="D51" s="20" t="s">
        <v>3</v>
      </c>
      <c r="E51" s="20" t="s">
        <v>4</v>
      </c>
      <c r="F51" s="8"/>
    </row>
    <row r="52" spans="1:15" ht="31.5" customHeight="1" x14ac:dyDescent="0.25">
      <c r="A52" s="106"/>
      <c r="B52" s="21" t="s">
        <v>32</v>
      </c>
      <c r="C52" s="5">
        <v>25000</v>
      </c>
      <c r="D52" s="5">
        <f>C52*10%</f>
        <v>2500</v>
      </c>
      <c r="E52" s="5">
        <f>C52*90%</f>
        <v>22500</v>
      </c>
    </row>
    <row r="53" spans="1:15" ht="36" customHeight="1" x14ac:dyDescent="0.25">
      <c r="A53" s="106"/>
      <c r="B53" s="21" t="s">
        <v>28</v>
      </c>
      <c r="C53" s="5">
        <f>C52*60%</f>
        <v>15000</v>
      </c>
      <c r="D53" s="5">
        <f>D52*60%</f>
        <v>1500</v>
      </c>
      <c r="E53" s="5">
        <f>E52*60%</f>
        <v>13500</v>
      </c>
      <c r="H53" s="22"/>
      <c r="M53" s="23"/>
    </row>
    <row r="54" spans="1:15" ht="34.5" x14ac:dyDescent="0.25">
      <c r="A54" s="106"/>
      <c r="B54" s="21" t="s">
        <v>29</v>
      </c>
      <c r="C54" s="5">
        <f>C52*10%</f>
        <v>2500</v>
      </c>
      <c r="D54" s="5">
        <f>D52*10%</f>
        <v>250</v>
      </c>
      <c r="E54" s="5">
        <f>E52*10%</f>
        <v>2250</v>
      </c>
      <c r="H54" s="23"/>
    </row>
    <row r="55" spans="1:15" ht="23.25" x14ac:dyDescent="0.25">
      <c r="A55" s="106"/>
      <c r="B55" s="21" t="s">
        <v>104</v>
      </c>
      <c r="C55" s="7">
        <f>C52*30%</f>
        <v>7500</v>
      </c>
      <c r="D55" s="7">
        <f>D52*30%</f>
        <v>750</v>
      </c>
      <c r="E55" s="7">
        <f>E52*30%</f>
        <v>6750</v>
      </c>
      <c r="G55" s="22"/>
      <c r="H55" s="23"/>
    </row>
    <row r="56" spans="1:15" x14ac:dyDescent="0.25">
      <c r="A56" s="1"/>
      <c r="B56" s="1"/>
      <c r="C56" s="1"/>
      <c r="D56" s="1"/>
      <c r="E56" s="1"/>
      <c r="G56" s="23"/>
    </row>
    <row r="57" spans="1:15" x14ac:dyDescent="0.25">
      <c r="A57" s="107" t="s">
        <v>33</v>
      </c>
      <c r="C57" s="20" t="s">
        <v>34</v>
      </c>
      <c r="D57" s="24" t="s">
        <v>3</v>
      </c>
      <c r="E57" s="20" t="s">
        <v>4</v>
      </c>
      <c r="G57" s="23"/>
    </row>
    <row r="58" spans="1:15" ht="34.5" x14ac:dyDescent="0.25">
      <c r="A58" s="107"/>
      <c r="B58" s="25" t="s">
        <v>28</v>
      </c>
      <c r="C58" s="26">
        <f>D58+E58</f>
        <v>7340849.9999999991</v>
      </c>
      <c r="D58" s="27">
        <f>D53*G47</f>
        <v>333675</v>
      </c>
      <c r="E58" s="27">
        <f>E53*H47</f>
        <v>7007174.9999999991</v>
      </c>
      <c r="G58" s="22"/>
      <c r="H58" s="23"/>
      <c r="J58" s="23"/>
      <c r="K58" s="28"/>
      <c r="L58" s="23"/>
      <c r="M58" s="29"/>
      <c r="O58" s="23"/>
    </row>
    <row r="59" spans="1:15" ht="34.5" x14ac:dyDescent="0.25">
      <c r="A59" s="107"/>
      <c r="B59" s="25" t="s">
        <v>29</v>
      </c>
      <c r="C59" s="26">
        <f>D59+E59</f>
        <v>1320824.9999999998</v>
      </c>
      <c r="D59" s="27">
        <f>D54*G48</f>
        <v>60037.499999999993</v>
      </c>
      <c r="E59" s="27">
        <f>E54*H48</f>
        <v>1260787.4999999998</v>
      </c>
      <c r="G59" s="23"/>
      <c r="H59" s="23"/>
      <c r="J59" s="23"/>
      <c r="K59" s="28"/>
      <c r="L59" s="23"/>
    </row>
    <row r="60" spans="1:15" ht="23.25" x14ac:dyDescent="0.25">
      <c r="A60" s="107"/>
      <c r="B60" s="25" t="s">
        <v>104</v>
      </c>
      <c r="C60" s="26">
        <f>D60+E60</f>
        <v>2769525</v>
      </c>
      <c r="D60" s="27">
        <f>D55*G49</f>
        <v>125887.5</v>
      </c>
      <c r="E60" s="27">
        <f>E55*H49</f>
        <v>2643637.5</v>
      </c>
      <c r="G60" s="23"/>
      <c r="H60" s="23"/>
      <c r="J60" s="23"/>
      <c r="K60" s="28"/>
      <c r="L60" s="23"/>
    </row>
    <row r="61" spans="1:15" ht="15.75" x14ac:dyDescent="0.25">
      <c r="A61" s="107"/>
      <c r="B61" s="30" t="s">
        <v>35</v>
      </c>
      <c r="C61" s="35">
        <f>C58+C59+C60</f>
        <v>11431199.999999998</v>
      </c>
      <c r="D61" s="26">
        <f>D58+D59+D60</f>
        <v>519600</v>
      </c>
      <c r="E61" s="32">
        <f>E58+E59+E60</f>
        <v>10911600</v>
      </c>
      <c r="G61" s="22"/>
      <c r="H61" s="23"/>
      <c r="J61" s="23"/>
      <c r="K61" s="33"/>
      <c r="L61" s="23"/>
    </row>
    <row r="62" spans="1:15" x14ac:dyDescent="0.25">
      <c r="A62" s="1"/>
      <c r="B62" s="1"/>
      <c r="C62" s="1"/>
      <c r="D62" s="1"/>
      <c r="E62" s="1"/>
      <c r="G62" s="23"/>
      <c r="L62" s="23"/>
    </row>
    <row r="63" spans="1:15" x14ac:dyDescent="0.25">
      <c r="A63" s="99" t="s">
        <v>36</v>
      </c>
      <c r="C63" s="20" t="s">
        <v>34</v>
      </c>
      <c r="D63" s="24" t="s">
        <v>3</v>
      </c>
      <c r="E63" s="20" t="s">
        <v>4</v>
      </c>
      <c r="G63" s="23"/>
      <c r="L63" s="23"/>
    </row>
    <row r="64" spans="1:15" ht="34.5" x14ac:dyDescent="0.25">
      <c r="A64" s="99"/>
      <c r="B64" s="25" t="s">
        <v>28</v>
      </c>
      <c r="C64" s="26">
        <f>D64+E64</f>
        <v>3781650.0000000005</v>
      </c>
      <c r="D64" s="27">
        <f>D53*J47</f>
        <v>778574.99999999988</v>
      </c>
      <c r="E64" s="27">
        <f>E53*K47</f>
        <v>3003075.0000000005</v>
      </c>
      <c r="G64" s="29"/>
      <c r="H64" s="23"/>
      <c r="J64" s="29"/>
      <c r="L64" s="23"/>
      <c r="M64" s="23"/>
      <c r="O64" s="23"/>
    </row>
    <row r="65" spans="1:15" ht="34.5" x14ac:dyDescent="0.25">
      <c r="A65" s="99"/>
      <c r="B65" s="25" t="s">
        <v>29</v>
      </c>
      <c r="C65" s="26">
        <f>D65+E65</f>
        <v>680425.00000000023</v>
      </c>
      <c r="D65" s="27">
        <f>D54*J48</f>
        <v>140087.5</v>
      </c>
      <c r="E65" s="27">
        <f>E54*K48</f>
        <v>540337.50000000023</v>
      </c>
      <c r="G65" s="29"/>
      <c r="H65" s="23"/>
      <c r="J65" s="29"/>
      <c r="L65" s="29"/>
      <c r="M65" s="29"/>
      <c r="O65" s="23"/>
    </row>
    <row r="66" spans="1:15" ht="23.25" x14ac:dyDescent="0.25">
      <c r="A66" s="99"/>
      <c r="B66" s="25" t="s">
        <v>104</v>
      </c>
      <c r="C66" s="26">
        <f>D66+E66</f>
        <v>1426725</v>
      </c>
      <c r="D66" s="27">
        <f>D55*J49</f>
        <v>293737.5</v>
      </c>
      <c r="E66" s="27">
        <f>E55*K49</f>
        <v>1132987.5</v>
      </c>
      <c r="G66" s="29"/>
      <c r="H66" s="23"/>
      <c r="J66" s="29"/>
      <c r="L66" s="29"/>
      <c r="M66" s="29"/>
      <c r="O66" s="23"/>
    </row>
    <row r="67" spans="1:15" ht="23.25" x14ac:dyDescent="0.25">
      <c r="A67" s="99"/>
      <c r="B67" s="30" t="s">
        <v>37</v>
      </c>
      <c r="C67" s="31">
        <f>C64+C65+C66</f>
        <v>5888800.0000000009</v>
      </c>
      <c r="D67" s="32">
        <f>D64+D65+D66</f>
        <v>1212400</v>
      </c>
      <c r="E67" s="32">
        <f>E64+E65+E66</f>
        <v>4676400.0000000009</v>
      </c>
      <c r="F67" s="34"/>
      <c r="G67" s="29"/>
      <c r="H67" s="23"/>
      <c r="J67" s="29"/>
      <c r="K67" s="29"/>
      <c r="L67" s="23"/>
      <c r="M67" s="29"/>
    </row>
    <row r="68" spans="1:15" x14ac:dyDescent="0.25">
      <c r="A68" s="99"/>
      <c r="B68" s="30"/>
      <c r="C68" s="31"/>
      <c r="D68" s="26"/>
      <c r="E68" s="26"/>
      <c r="G68" s="29"/>
      <c r="H68" s="23"/>
      <c r="J68" s="29"/>
      <c r="K68" s="29"/>
      <c r="L68" s="23"/>
      <c r="M68" s="29"/>
      <c r="N68" s="23"/>
      <c r="O68" s="23"/>
    </row>
    <row r="69" spans="1:15" ht="23.25" x14ac:dyDescent="0.25">
      <c r="A69" s="99"/>
      <c r="B69" s="30" t="s">
        <v>38</v>
      </c>
      <c r="C69" s="31">
        <f>C52*50</f>
        <v>1250000</v>
      </c>
      <c r="D69" s="26"/>
      <c r="E69" s="26"/>
      <c r="G69" s="29"/>
      <c r="H69" s="23"/>
      <c r="J69" s="23"/>
      <c r="M69" s="29"/>
      <c r="O69" s="23"/>
    </row>
    <row r="70" spans="1:15" ht="15.75" x14ac:dyDescent="0.25">
      <c r="A70" s="99"/>
      <c r="B70" s="30" t="s">
        <v>35</v>
      </c>
      <c r="C70" s="35">
        <f>C67+C69+E73</f>
        <v>7570800.0000000009</v>
      </c>
      <c r="D70" s="26"/>
      <c r="E70" s="26"/>
      <c r="G70" s="29"/>
      <c r="H70" s="23"/>
      <c r="J70" s="22"/>
      <c r="K70" s="29"/>
      <c r="O70" s="23"/>
    </row>
    <row r="71" spans="1:15" x14ac:dyDescent="0.25">
      <c r="A71" s="1"/>
      <c r="B71" s="1"/>
      <c r="C71" s="1"/>
      <c r="D71" s="1"/>
      <c r="E71" s="1"/>
      <c r="G71" s="29"/>
      <c r="H71" s="23"/>
      <c r="J71" s="23"/>
      <c r="K71" s="29"/>
      <c r="L71" s="23"/>
      <c r="M71" s="23"/>
    </row>
    <row r="72" spans="1:15" x14ac:dyDescent="0.25">
      <c r="G72" s="29"/>
    </row>
    <row r="73" spans="1:15" ht="34.5" x14ac:dyDescent="0.25">
      <c r="A73" s="4"/>
      <c r="B73" s="126" t="s">
        <v>39</v>
      </c>
      <c r="C73" s="4">
        <v>7200</v>
      </c>
      <c r="D73" s="4">
        <v>60</v>
      </c>
      <c r="E73" s="4">
        <f>C73*D73</f>
        <v>432000</v>
      </c>
      <c r="H73" s="23"/>
      <c r="J73" s="23"/>
      <c r="K73" s="23"/>
      <c r="L73" s="23"/>
    </row>
    <row r="74" spans="1:15" x14ac:dyDescent="0.25">
      <c r="H74" s="23"/>
    </row>
    <row r="75" spans="1:15" ht="18.75" x14ac:dyDescent="0.3">
      <c r="B75" s="127" t="s">
        <v>40</v>
      </c>
      <c r="C75" s="37">
        <f>C61+C70+E73</f>
        <v>19434000</v>
      </c>
      <c r="D75" s="23"/>
      <c r="H75" s="23"/>
      <c r="J75" s="23"/>
    </row>
    <row r="76" spans="1:15" ht="27" x14ac:dyDescent="0.3">
      <c r="B76" s="36" t="s">
        <v>41</v>
      </c>
      <c r="C76" s="37">
        <f>C70+E73</f>
        <v>8002800.0000000009</v>
      </c>
      <c r="D76" s="23"/>
      <c r="G76" s="23"/>
      <c r="H76" s="23"/>
      <c r="J76" s="23"/>
      <c r="K76" s="23"/>
      <c r="L76" s="23"/>
      <c r="O76" s="23"/>
    </row>
    <row r="77" spans="1:15" x14ac:dyDescent="0.25">
      <c r="C77" s="23"/>
      <c r="H77" s="23"/>
      <c r="K77" s="23"/>
    </row>
    <row r="78" spans="1:15" x14ac:dyDescent="0.25">
      <c r="C78" s="23"/>
      <c r="D78" s="23"/>
      <c r="E78" s="23"/>
      <c r="G78" s="23"/>
      <c r="H78" s="23"/>
      <c r="J78" s="23"/>
      <c r="K78" s="23"/>
    </row>
    <row r="79" spans="1:15" x14ac:dyDescent="0.25">
      <c r="C79" s="29"/>
      <c r="D79" s="23"/>
      <c r="E79" s="23"/>
      <c r="H79" s="23"/>
      <c r="M79" s="23"/>
      <c r="O79" s="23"/>
    </row>
    <row r="80" spans="1:15" x14ac:dyDescent="0.25">
      <c r="C80" s="23"/>
      <c r="G80" s="23"/>
    </row>
    <row r="81" spans="3:13" x14ac:dyDescent="0.25">
      <c r="C81" s="23"/>
      <c r="G81" s="29"/>
      <c r="M81" s="23"/>
    </row>
    <row r="82" spans="3:13" x14ac:dyDescent="0.25">
      <c r="C82" s="23"/>
    </row>
    <row r="83" spans="3:13" x14ac:dyDescent="0.25">
      <c r="C83" s="23"/>
      <c r="G83" s="23"/>
    </row>
    <row r="84" spans="3:13" x14ac:dyDescent="0.25">
      <c r="G84" s="23"/>
      <c r="H84" s="23"/>
      <c r="K84" s="23"/>
    </row>
    <row r="85" spans="3:13" x14ac:dyDescent="0.25">
      <c r="C85" s="23"/>
    </row>
    <row r="86" spans="3:13" x14ac:dyDescent="0.25">
      <c r="K86" s="23"/>
    </row>
  </sheetData>
  <mergeCells count="70">
    <mergeCell ref="A57:A61"/>
    <mergeCell ref="A63:A70"/>
    <mergeCell ref="G45:H45"/>
    <mergeCell ref="J45:K45"/>
    <mergeCell ref="C47:D47"/>
    <mergeCell ref="C48:D48"/>
    <mergeCell ref="A47:A49"/>
    <mergeCell ref="C49:D49"/>
    <mergeCell ref="A51:A55"/>
    <mergeCell ref="K35:K36"/>
    <mergeCell ref="B38:B39"/>
    <mergeCell ref="E38:E39"/>
    <mergeCell ref="G38:G39"/>
    <mergeCell ref="H38:H39"/>
    <mergeCell ref="J38:J39"/>
    <mergeCell ref="K38:K39"/>
    <mergeCell ref="J35:J36"/>
    <mergeCell ref="A35:A43"/>
    <mergeCell ref="B35:B36"/>
    <mergeCell ref="E35:E36"/>
    <mergeCell ref="G35:G36"/>
    <mergeCell ref="H35:H36"/>
    <mergeCell ref="A24:A33"/>
    <mergeCell ref="B24:B25"/>
    <mergeCell ref="E24:E25"/>
    <mergeCell ref="G24:G25"/>
    <mergeCell ref="H24:H25"/>
    <mergeCell ref="B27:B28"/>
    <mergeCell ref="E27:E28"/>
    <mergeCell ref="G27:G28"/>
    <mergeCell ref="H27:H28"/>
    <mergeCell ref="K5:K7"/>
    <mergeCell ref="B10:B12"/>
    <mergeCell ref="E10:E12"/>
    <mergeCell ref="G10:G12"/>
    <mergeCell ref="H10:H12"/>
    <mergeCell ref="J10:J12"/>
    <mergeCell ref="K10:K12"/>
    <mergeCell ref="A1:K1"/>
    <mergeCell ref="G2:H2"/>
    <mergeCell ref="J2:K2"/>
    <mergeCell ref="D4:E4"/>
    <mergeCell ref="A5:A22"/>
    <mergeCell ref="B5:B7"/>
    <mergeCell ref="E5:E7"/>
    <mergeCell ref="G5:G7"/>
    <mergeCell ref="H5:H7"/>
    <mergeCell ref="J5:J7"/>
    <mergeCell ref="B15:B17"/>
    <mergeCell ref="E15:E17"/>
    <mergeCell ref="G15:G17"/>
    <mergeCell ref="H15:H17"/>
    <mergeCell ref="J15:J17"/>
    <mergeCell ref="K15:K17"/>
    <mergeCell ref="K20:K22"/>
    <mergeCell ref="B30:B31"/>
    <mergeCell ref="E30:E31"/>
    <mergeCell ref="G30:G31"/>
    <mergeCell ref="H30:H31"/>
    <mergeCell ref="J30:J31"/>
    <mergeCell ref="K30:K31"/>
    <mergeCell ref="B20:B22"/>
    <mergeCell ref="E20:E22"/>
    <mergeCell ref="G20:G22"/>
    <mergeCell ref="H20:H22"/>
    <mergeCell ref="J20:J22"/>
    <mergeCell ref="K24:K25"/>
    <mergeCell ref="J27:J28"/>
    <mergeCell ref="K27:K28"/>
    <mergeCell ref="J24:J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25"/>
  <sheetViews>
    <sheetView workbookViewId="0">
      <selection activeCell="J20" sqref="J20"/>
    </sheetView>
  </sheetViews>
  <sheetFormatPr defaultRowHeight="15" x14ac:dyDescent="0.25"/>
  <cols>
    <col min="3" max="3" width="3.28515625" bestFit="1" customWidth="1"/>
    <col min="4" max="4" width="34.7109375" bestFit="1" customWidth="1"/>
    <col min="8" max="8" width="33.42578125" customWidth="1"/>
    <col min="9" max="9" width="14.85546875" customWidth="1"/>
    <col min="11" max="11" width="13.7109375" customWidth="1"/>
  </cols>
  <sheetData>
    <row r="3" spans="3:11" ht="38.25" x14ac:dyDescent="0.25">
      <c r="C3" s="79" t="s">
        <v>86</v>
      </c>
      <c r="D3" s="79" t="s">
        <v>84</v>
      </c>
      <c r="E3" s="79" t="s">
        <v>85</v>
      </c>
      <c r="H3" s="81" t="s">
        <v>90</v>
      </c>
      <c r="I3" s="122" t="s">
        <v>114</v>
      </c>
      <c r="K3" s="122" t="s">
        <v>117</v>
      </c>
    </row>
    <row r="4" spans="3:11" x14ac:dyDescent="0.25">
      <c r="C4" s="64">
        <v>1</v>
      </c>
      <c r="D4" s="65" t="s">
        <v>51</v>
      </c>
      <c r="E4" s="66">
        <v>20</v>
      </c>
      <c r="H4" s="4" t="s">
        <v>7</v>
      </c>
      <c r="I4" s="4">
        <f>E5</f>
        <v>60</v>
      </c>
      <c r="K4" s="4"/>
    </row>
    <row r="5" spans="3:11" ht="15.75" thickBot="1" x14ac:dyDescent="0.3">
      <c r="C5" s="67">
        <v>2</v>
      </c>
      <c r="D5" s="68" t="s">
        <v>87</v>
      </c>
      <c r="E5" s="69">
        <v>60</v>
      </c>
      <c r="H5" s="4" t="s">
        <v>88</v>
      </c>
      <c r="I5" s="4">
        <f>E12</f>
        <v>140</v>
      </c>
      <c r="K5" s="4"/>
    </row>
    <row r="6" spans="3:11" ht="15.75" thickBot="1" x14ac:dyDescent="0.3">
      <c r="C6" s="67">
        <v>3</v>
      </c>
      <c r="D6" s="70" t="s">
        <v>69</v>
      </c>
      <c r="E6" s="71"/>
      <c r="H6" s="4" t="s">
        <v>89</v>
      </c>
      <c r="I6" s="4">
        <f>E4+E7+E8+E9+E10+E13+E14+E15+E16+E17+E18+E19+E20+E21+E22+E23+E24</f>
        <v>229</v>
      </c>
      <c r="K6" s="4"/>
    </row>
    <row r="7" spans="3:11" ht="15.75" thickBot="1" x14ac:dyDescent="0.3">
      <c r="C7" s="67"/>
      <c r="D7" s="72" t="s">
        <v>54</v>
      </c>
      <c r="E7" s="69">
        <v>5</v>
      </c>
      <c r="H7" s="83" t="s">
        <v>92</v>
      </c>
      <c r="I7" s="84">
        <f>I4+I5+I6</f>
        <v>429</v>
      </c>
      <c r="K7" s="123">
        <f>I6*70%</f>
        <v>160.29999999999998</v>
      </c>
    </row>
    <row r="8" spans="3:11" ht="15.75" thickBot="1" x14ac:dyDescent="0.3">
      <c r="C8" s="67"/>
      <c r="D8" s="72" t="s">
        <v>55</v>
      </c>
      <c r="E8" s="69">
        <v>5</v>
      </c>
    </row>
    <row r="9" spans="3:11" ht="15.75" thickBot="1" x14ac:dyDescent="0.3">
      <c r="C9" s="67"/>
      <c r="D9" s="72" t="s">
        <v>53</v>
      </c>
      <c r="E9" s="69">
        <v>9</v>
      </c>
    </row>
    <row r="10" spans="3:11" ht="15.75" thickBot="1" x14ac:dyDescent="0.3">
      <c r="C10" s="67">
        <v>4</v>
      </c>
      <c r="D10" s="68" t="s">
        <v>70</v>
      </c>
      <c r="E10" s="69">
        <v>80</v>
      </c>
    </row>
    <row r="11" spans="3:11" ht="39" thickBot="1" x14ac:dyDescent="0.3">
      <c r="C11" s="73"/>
      <c r="D11" s="74"/>
      <c r="E11" s="74"/>
      <c r="H11" s="81" t="s">
        <v>91</v>
      </c>
      <c r="I11" s="122" t="s">
        <v>114</v>
      </c>
      <c r="K11" s="122" t="s">
        <v>117</v>
      </c>
    </row>
    <row r="12" spans="3:11" ht="15.75" thickBot="1" x14ac:dyDescent="0.3">
      <c r="C12" s="67">
        <v>5</v>
      </c>
      <c r="D12" s="70" t="s">
        <v>71</v>
      </c>
      <c r="E12" s="69">
        <v>140</v>
      </c>
      <c r="H12" s="4" t="s">
        <v>7</v>
      </c>
      <c r="I12" s="4">
        <f>E5</f>
        <v>60</v>
      </c>
      <c r="K12" s="4"/>
    </row>
    <row r="13" spans="3:11" ht="15.75" thickBot="1" x14ac:dyDescent="0.3">
      <c r="C13" s="67">
        <v>6</v>
      </c>
      <c r="D13" s="70" t="s">
        <v>72</v>
      </c>
      <c r="E13" s="69">
        <v>8</v>
      </c>
      <c r="H13" s="4" t="s">
        <v>88</v>
      </c>
      <c r="I13" s="4">
        <f>E12</f>
        <v>140</v>
      </c>
      <c r="K13" s="4"/>
    </row>
    <row r="14" spans="3:11" ht="15.75" thickBot="1" x14ac:dyDescent="0.3">
      <c r="C14" s="67">
        <v>7</v>
      </c>
      <c r="D14" s="70" t="s">
        <v>73</v>
      </c>
      <c r="E14" s="69">
        <v>9</v>
      </c>
      <c r="H14" s="4" t="s">
        <v>89</v>
      </c>
      <c r="I14" s="4">
        <f>E4+E7+E8+E9+E13+E14+E15+E16+E17+E18+E19+E20+E21+E22+E23+E24</f>
        <v>149</v>
      </c>
      <c r="K14" s="4"/>
    </row>
    <row r="15" spans="3:11" ht="15.75" thickBot="1" x14ac:dyDescent="0.3">
      <c r="C15" s="67">
        <v>8</v>
      </c>
      <c r="D15" s="70" t="s">
        <v>74</v>
      </c>
      <c r="E15" s="69">
        <v>5</v>
      </c>
      <c r="H15" s="83" t="s">
        <v>92</v>
      </c>
      <c r="I15" s="84">
        <f>I12+I13+I14</f>
        <v>349</v>
      </c>
      <c r="K15" s="123">
        <f>I14*70%</f>
        <v>104.3</v>
      </c>
    </row>
    <row r="16" spans="3:11" ht="18.75" thickBot="1" x14ac:dyDescent="0.3">
      <c r="C16" s="67">
        <v>9</v>
      </c>
      <c r="D16" s="70" t="s">
        <v>75</v>
      </c>
      <c r="E16" s="69">
        <v>5</v>
      </c>
      <c r="H16" s="80"/>
    </row>
    <row r="17" spans="3:5" ht="15.75" thickBot="1" x14ac:dyDescent="0.3">
      <c r="C17" s="67">
        <v>10</v>
      </c>
      <c r="D17" s="70" t="s">
        <v>76</v>
      </c>
      <c r="E17" s="69">
        <v>5</v>
      </c>
    </row>
    <row r="18" spans="3:5" ht="15.75" thickBot="1" x14ac:dyDescent="0.3">
      <c r="C18" s="67">
        <v>11</v>
      </c>
      <c r="D18" s="70" t="s">
        <v>77</v>
      </c>
      <c r="E18" s="69">
        <v>5</v>
      </c>
    </row>
    <row r="19" spans="3:5" ht="15.75" thickBot="1" x14ac:dyDescent="0.3">
      <c r="C19" s="67">
        <v>12</v>
      </c>
      <c r="D19" s="70" t="s">
        <v>58</v>
      </c>
      <c r="E19" s="69">
        <v>5</v>
      </c>
    </row>
    <row r="20" spans="3:5" ht="15.75" thickBot="1" x14ac:dyDescent="0.3">
      <c r="C20" s="67">
        <v>13</v>
      </c>
      <c r="D20" s="70" t="s">
        <v>78</v>
      </c>
      <c r="E20" s="69">
        <v>5</v>
      </c>
    </row>
    <row r="21" spans="3:5" ht="15.75" thickBot="1" x14ac:dyDescent="0.3">
      <c r="C21" s="67">
        <v>14</v>
      </c>
      <c r="D21" s="70" t="s">
        <v>79</v>
      </c>
      <c r="E21" s="69">
        <v>5</v>
      </c>
    </row>
    <row r="22" spans="3:5" ht="15.75" thickBot="1" x14ac:dyDescent="0.3">
      <c r="C22" s="67">
        <v>15</v>
      </c>
      <c r="D22" s="70" t="s">
        <v>80</v>
      </c>
      <c r="E22" s="69">
        <v>8</v>
      </c>
    </row>
    <row r="23" spans="3:5" ht="15.75" thickBot="1" x14ac:dyDescent="0.3">
      <c r="C23" s="67">
        <v>17</v>
      </c>
      <c r="D23" s="75" t="s">
        <v>81</v>
      </c>
      <c r="E23" s="69">
        <v>30</v>
      </c>
    </row>
    <row r="24" spans="3:5" ht="15.75" thickBot="1" x14ac:dyDescent="0.3">
      <c r="C24" s="76">
        <v>18</v>
      </c>
      <c r="D24" s="75" t="s">
        <v>82</v>
      </c>
      <c r="E24" s="77">
        <v>20</v>
      </c>
    </row>
    <row r="25" spans="3:5" ht="15.75" thickBot="1" x14ac:dyDescent="0.3">
      <c r="C25" s="73"/>
      <c r="D25" s="74"/>
      <c r="E25" s="78" t="s">
        <v>83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D4" workbookViewId="0">
      <selection activeCell="S41" sqref="S41"/>
    </sheetView>
  </sheetViews>
  <sheetFormatPr defaultColWidth="8.85546875" defaultRowHeight="15" x14ac:dyDescent="0.25"/>
  <cols>
    <col min="1" max="1" width="6" style="56" customWidth="1"/>
    <col min="2" max="2" width="36.7109375" style="41" bestFit="1" customWidth="1"/>
    <col min="3" max="3" width="11.7109375" style="41" customWidth="1"/>
    <col min="4" max="5" width="8.42578125" style="58" bestFit="1" customWidth="1"/>
    <col min="6" max="6" width="10.28515625" style="59" customWidth="1"/>
    <col min="7" max="7" width="10.85546875" style="41" customWidth="1"/>
    <col min="8" max="8" width="11.28515625" style="41" customWidth="1"/>
    <col min="9" max="9" width="13.42578125" style="41" customWidth="1"/>
    <col min="10" max="10" width="11.140625" style="41" bestFit="1" customWidth="1"/>
    <col min="11" max="11" width="13.85546875" style="41" customWidth="1"/>
    <col min="12" max="12" width="10.28515625" style="41" customWidth="1"/>
    <col min="13" max="13" width="9.85546875" style="41" customWidth="1"/>
    <col min="14" max="15" width="8.85546875" style="41"/>
    <col min="16" max="16" width="17" style="41" customWidth="1"/>
    <col min="17" max="16384" width="8.85546875" style="41"/>
  </cols>
  <sheetData>
    <row r="1" spans="1:16" ht="12.75" customHeight="1" x14ac:dyDescent="0.25">
      <c r="A1" s="38"/>
      <c r="B1" s="39" t="s">
        <v>42</v>
      </c>
      <c r="C1" s="40" t="s">
        <v>43</v>
      </c>
      <c r="D1" s="121"/>
      <c r="E1" s="121"/>
      <c r="F1" s="41"/>
    </row>
    <row r="2" spans="1:16" ht="28.5" customHeight="1" x14ac:dyDescent="0.25">
      <c r="A2" s="42"/>
      <c r="B2" s="43"/>
      <c r="C2" s="44" t="s">
        <v>44</v>
      </c>
      <c r="D2" s="45" t="s">
        <v>45</v>
      </c>
      <c r="E2" s="45" t="s">
        <v>46</v>
      </c>
      <c r="F2" s="45" t="s">
        <v>47</v>
      </c>
      <c r="G2" s="45" t="s">
        <v>48</v>
      </c>
      <c r="H2" s="45" t="s">
        <v>49</v>
      </c>
      <c r="I2" s="45" t="s">
        <v>50</v>
      </c>
      <c r="P2" s="122" t="s">
        <v>118</v>
      </c>
    </row>
    <row r="3" spans="1:16" x14ac:dyDescent="0.25">
      <c r="A3" s="38">
        <v>1</v>
      </c>
      <c r="B3" s="46" t="s">
        <v>51</v>
      </c>
      <c r="C3" s="47">
        <v>20</v>
      </c>
      <c r="D3" s="48" t="s">
        <v>52</v>
      </c>
      <c r="E3" s="48" t="s">
        <v>52</v>
      </c>
      <c r="F3" s="48" t="s">
        <v>52</v>
      </c>
      <c r="G3" s="38">
        <v>3</v>
      </c>
      <c r="H3" s="49">
        <f>G3*C3</f>
        <v>60</v>
      </c>
      <c r="I3" s="50">
        <f>C3*1</f>
        <v>20</v>
      </c>
      <c r="P3" s="50"/>
    </row>
    <row r="4" spans="1:16" x14ac:dyDescent="0.25">
      <c r="A4" s="38">
        <v>2</v>
      </c>
      <c r="B4" s="51" t="s">
        <v>53</v>
      </c>
      <c r="C4" s="47">
        <v>9</v>
      </c>
      <c r="D4" s="48" t="s">
        <v>52</v>
      </c>
      <c r="E4" s="52" t="s">
        <v>52</v>
      </c>
      <c r="F4" s="48" t="s">
        <v>52</v>
      </c>
      <c r="G4" s="38">
        <v>3</v>
      </c>
      <c r="H4" s="49">
        <f>G4*C4</f>
        <v>27</v>
      </c>
      <c r="I4" s="50"/>
      <c r="P4" s="50"/>
    </row>
    <row r="5" spans="1:16" x14ac:dyDescent="0.25">
      <c r="A5" s="38">
        <v>3</v>
      </c>
      <c r="B5" s="51" t="s">
        <v>54</v>
      </c>
      <c r="C5" s="47">
        <v>5</v>
      </c>
      <c r="D5" s="48" t="s">
        <v>52</v>
      </c>
      <c r="E5" s="48" t="s">
        <v>52</v>
      </c>
      <c r="F5" s="48" t="s">
        <v>52</v>
      </c>
      <c r="G5" s="38">
        <v>3</v>
      </c>
      <c r="H5" s="49">
        <f>G5*C5</f>
        <v>15</v>
      </c>
      <c r="I5" s="50"/>
      <c r="P5" s="50"/>
    </row>
    <row r="6" spans="1:16" x14ac:dyDescent="0.25">
      <c r="A6" s="38">
        <v>4</v>
      </c>
      <c r="B6" s="51" t="s">
        <v>56</v>
      </c>
      <c r="C6" s="47">
        <v>5</v>
      </c>
      <c r="D6" s="48"/>
      <c r="E6" s="52"/>
      <c r="F6" s="48" t="s">
        <v>52</v>
      </c>
      <c r="G6" s="38">
        <v>1</v>
      </c>
      <c r="H6" s="49">
        <f>G6*C6</f>
        <v>5</v>
      </c>
      <c r="I6" s="50"/>
      <c r="P6" s="50"/>
    </row>
    <row r="7" spans="1:16" x14ac:dyDescent="0.25">
      <c r="A7" s="38">
        <v>5</v>
      </c>
      <c r="B7" s="51" t="s">
        <v>57</v>
      </c>
      <c r="C7" s="47">
        <v>5</v>
      </c>
      <c r="D7" s="48"/>
      <c r="E7" s="52"/>
      <c r="F7" s="48" t="s">
        <v>52</v>
      </c>
      <c r="G7" s="38">
        <v>1</v>
      </c>
      <c r="H7" s="49">
        <f>G7*C7</f>
        <v>5</v>
      </c>
      <c r="I7" s="50"/>
      <c r="P7" s="50"/>
    </row>
    <row r="8" spans="1:16" x14ac:dyDescent="0.25">
      <c r="A8" s="38">
        <v>6</v>
      </c>
      <c r="B8" s="51" t="s">
        <v>58</v>
      </c>
      <c r="C8" s="47">
        <v>5</v>
      </c>
      <c r="D8" s="48"/>
      <c r="E8" s="52"/>
      <c r="F8" s="48" t="s">
        <v>52</v>
      </c>
      <c r="G8" s="38">
        <v>1</v>
      </c>
      <c r="H8" s="49">
        <f>G8*C8</f>
        <v>5</v>
      </c>
      <c r="I8" s="50"/>
      <c r="P8" s="50"/>
    </row>
    <row r="9" spans="1:16" x14ac:dyDescent="0.25">
      <c r="A9" s="38">
        <v>7</v>
      </c>
      <c r="B9" s="46" t="s">
        <v>59</v>
      </c>
      <c r="C9" s="47">
        <v>110</v>
      </c>
      <c r="D9" s="48" t="s">
        <v>52</v>
      </c>
      <c r="E9" s="52"/>
      <c r="F9" s="48"/>
      <c r="G9" s="38">
        <v>1</v>
      </c>
      <c r="H9" s="49">
        <f>G9*C9</f>
        <v>110</v>
      </c>
      <c r="I9" s="50">
        <f>C9*1</f>
        <v>110</v>
      </c>
      <c r="P9" s="50"/>
    </row>
    <row r="10" spans="1:16" ht="15.75" x14ac:dyDescent="0.25">
      <c r="A10" s="38"/>
      <c r="B10" s="53" t="s">
        <v>60</v>
      </c>
      <c r="C10" s="54"/>
      <c r="D10" s="55"/>
      <c r="E10" s="55"/>
      <c r="F10" s="55"/>
      <c r="G10" s="38"/>
      <c r="H10" s="49">
        <f>H3+H4+H5+H6+H7+H8+H9</f>
        <v>227</v>
      </c>
      <c r="I10" s="50">
        <f>I3+I9</f>
        <v>130</v>
      </c>
      <c r="P10" s="124">
        <f>H10*70%</f>
        <v>158.89999999999998</v>
      </c>
    </row>
    <row r="13" spans="1:16" ht="12.75" customHeight="1" x14ac:dyDescent="0.25">
      <c r="A13" s="38"/>
      <c r="B13" s="39" t="s">
        <v>42</v>
      </c>
      <c r="C13" s="40" t="s">
        <v>61</v>
      </c>
      <c r="D13" s="121"/>
      <c r="E13" s="121"/>
      <c r="F13" s="41"/>
    </row>
    <row r="14" spans="1:16" ht="28.5" customHeight="1" x14ac:dyDescent="0.25">
      <c r="A14" s="42"/>
      <c r="B14" s="43"/>
      <c r="C14" s="44" t="s">
        <v>44</v>
      </c>
      <c r="D14" s="45" t="s">
        <v>45</v>
      </c>
      <c r="E14" s="45" t="s">
        <v>46</v>
      </c>
      <c r="F14" s="45" t="s">
        <v>47</v>
      </c>
      <c r="G14" s="45" t="s">
        <v>48</v>
      </c>
      <c r="H14" s="45" t="s">
        <v>49</v>
      </c>
      <c r="I14" s="45" t="s">
        <v>113</v>
      </c>
      <c r="P14" s="122" t="s">
        <v>118</v>
      </c>
    </row>
    <row r="15" spans="1:16" x14ac:dyDescent="0.25">
      <c r="A15" s="38">
        <v>1</v>
      </c>
      <c r="B15" s="46" t="s">
        <v>51</v>
      </c>
      <c r="C15" s="47">
        <v>20</v>
      </c>
      <c r="D15" s="48" t="s">
        <v>52</v>
      </c>
      <c r="E15" s="48" t="s">
        <v>52</v>
      </c>
      <c r="F15" s="48" t="s">
        <v>52</v>
      </c>
      <c r="G15" s="38">
        <v>3</v>
      </c>
      <c r="H15" s="49">
        <f>G15*C15</f>
        <v>60</v>
      </c>
      <c r="I15" s="50">
        <v>20</v>
      </c>
      <c r="P15" s="50"/>
    </row>
    <row r="16" spans="1:16" x14ac:dyDescent="0.25">
      <c r="A16" s="38">
        <v>2</v>
      </c>
      <c r="B16" s="51" t="s">
        <v>53</v>
      </c>
      <c r="C16" s="47">
        <v>9</v>
      </c>
      <c r="D16" s="48" t="s">
        <v>52</v>
      </c>
      <c r="E16" s="52"/>
      <c r="F16" s="48" t="s">
        <v>52</v>
      </c>
      <c r="G16" s="38">
        <v>2</v>
      </c>
      <c r="H16" s="49">
        <f>G16*C16</f>
        <v>18</v>
      </c>
      <c r="I16" s="50"/>
      <c r="P16" s="50"/>
    </row>
    <row r="17" spans="1:16" x14ac:dyDescent="0.25">
      <c r="A17" s="38">
        <v>3</v>
      </c>
      <c r="B17" s="51" t="s">
        <v>54</v>
      </c>
      <c r="C17" s="47">
        <v>5</v>
      </c>
      <c r="D17" s="48" t="s">
        <v>52</v>
      </c>
      <c r="E17" s="48" t="s">
        <v>52</v>
      </c>
      <c r="F17" s="48" t="s">
        <v>52</v>
      </c>
      <c r="G17" s="38">
        <v>3</v>
      </c>
      <c r="H17" s="49">
        <f>G17*C17</f>
        <v>15</v>
      </c>
      <c r="I17" s="50"/>
      <c r="P17" s="50"/>
    </row>
    <row r="18" spans="1:16" x14ac:dyDescent="0.25">
      <c r="A18" s="38">
        <v>4</v>
      </c>
      <c r="B18" s="51" t="s">
        <v>56</v>
      </c>
      <c r="C18" s="47">
        <v>5</v>
      </c>
      <c r="D18" s="48"/>
      <c r="E18" s="52"/>
      <c r="F18" s="48" t="s">
        <v>52</v>
      </c>
      <c r="G18" s="38">
        <v>1</v>
      </c>
      <c r="H18" s="49">
        <f>G18*C18</f>
        <v>5</v>
      </c>
      <c r="I18" s="50"/>
      <c r="P18" s="50"/>
    </row>
    <row r="19" spans="1:16" x14ac:dyDescent="0.25">
      <c r="A19" s="38">
        <v>5</v>
      </c>
      <c r="B19" s="51" t="s">
        <v>57</v>
      </c>
      <c r="C19" s="47">
        <v>5</v>
      </c>
      <c r="D19" s="48"/>
      <c r="E19" s="52"/>
      <c r="F19" s="48" t="s">
        <v>52</v>
      </c>
      <c r="G19" s="38">
        <v>1</v>
      </c>
      <c r="H19" s="49">
        <f>G19*C19</f>
        <v>5</v>
      </c>
      <c r="I19" s="50"/>
      <c r="P19" s="50"/>
    </row>
    <row r="20" spans="1:16" x14ac:dyDescent="0.25">
      <c r="A20" s="38">
        <v>6</v>
      </c>
      <c r="B20" s="51" t="s">
        <v>58</v>
      </c>
      <c r="C20" s="47">
        <v>25</v>
      </c>
      <c r="D20" s="48"/>
      <c r="E20" s="52"/>
      <c r="F20" s="48" t="s">
        <v>52</v>
      </c>
      <c r="G20" s="38">
        <v>1</v>
      </c>
      <c r="H20" s="49">
        <v>5</v>
      </c>
      <c r="I20" s="50"/>
      <c r="P20" s="50"/>
    </row>
    <row r="21" spans="1:16" x14ac:dyDescent="0.25">
      <c r="A21" s="38">
        <v>7</v>
      </c>
      <c r="B21" s="46" t="s">
        <v>59</v>
      </c>
      <c r="C21" s="47">
        <v>110</v>
      </c>
      <c r="D21" s="48" t="s">
        <v>52</v>
      </c>
      <c r="E21" s="52"/>
      <c r="F21" s="48"/>
      <c r="G21" s="38">
        <v>1</v>
      </c>
      <c r="H21" s="49">
        <f>G21*C21</f>
        <v>110</v>
      </c>
      <c r="I21" s="50">
        <v>110</v>
      </c>
      <c r="P21" s="50"/>
    </row>
    <row r="22" spans="1:16" ht="15.75" x14ac:dyDescent="0.25">
      <c r="A22" s="38"/>
      <c r="B22" s="53" t="s">
        <v>60</v>
      </c>
      <c r="C22" s="54"/>
      <c r="D22" s="55"/>
      <c r="E22" s="55"/>
      <c r="F22" s="55"/>
      <c r="G22" s="38"/>
      <c r="H22" s="49">
        <f>H15+H16+H17+H18+H19+H20+H21</f>
        <v>218</v>
      </c>
      <c r="I22" s="50">
        <f>I15+I21</f>
        <v>130</v>
      </c>
      <c r="P22" s="125">
        <f>H22*70%</f>
        <v>152.6</v>
      </c>
    </row>
    <row r="27" spans="1:16" x14ac:dyDescent="0.25">
      <c r="B27" s="39" t="s">
        <v>62</v>
      </c>
      <c r="C27" s="57" t="s">
        <v>63</v>
      </c>
    </row>
    <row r="28" spans="1:16" ht="28.5" customHeight="1" x14ac:dyDescent="0.25">
      <c r="A28" s="42"/>
      <c r="B28" s="43"/>
      <c r="C28" s="44" t="s">
        <v>64</v>
      </c>
      <c r="D28" s="45" t="s">
        <v>45</v>
      </c>
      <c r="E28" s="45" t="s">
        <v>46</v>
      </c>
      <c r="F28" s="45" t="s">
        <v>47</v>
      </c>
      <c r="G28" s="45" t="s">
        <v>65</v>
      </c>
      <c r="H28" s="45" t="s">
        <v>66</v>
      </c>
      <c r="I28" s="45" t="s">
        <v>67</v>
      </c>
      <c r="J28" s="45" t="s">
        <v>48</v>
      </c>
      <c r="K28" s="45" t="s">
        <v>49</v>
      </c>
      <c r="L28" s="45" t="s">
        <v>50</v>
      </c>
      <c r="P28" s="122" t="s">
        <v>118</v>
      </c>
    </row>
    <row r="29" spans="1:16" x14ac:dyDescent="0.25">
      <c r="A29" s="38">
        <v>1</v>
      </c>
      <c r="B29" s="46" t="s">
        <v>51</v>
      </c>
      <c r="C29" s="47">
        <v>20</v>
      </c>
      <c r="D29" s="48" t="s">
        <v>52</v>
      </c>
      <c r="E29" s="48" t="s">
        <v>52</v>
      </c>
      <c r="F29" s="48" t="s">
        <v>52</v>
      </c>
      <c r="G29" s="48"/>
      <c r="H29" s="48"/>
      <c r="I29" s="48" t="s">
        <v>52</v>
      </c>
      <c r="J29" s="50">
        <v>4</v>
      </c>
      <c r="K29" s="49">
        <f t="shared" ref="K29:K35" si="0">J29*C29</f>
        <v>80</v>
      </c>
      <c r="L29" s="50">
        <f>C29*1</f>
        <v>20</v>
      </c>
      <c r="P29" s="50"/>
    </row>
    <row r="30" spans="1:16" x14ac:dyDescent="0.25">
      <c r="A30" s="38">
        <v>2</v>
      </c>
      <c r="B30" s="51" t="s">
        <v>53</v>
      </c>
      <c r="C30" s="47">
        <v>9</v>
      </c>
      <c r="D30" s="48" t="s">
        <v>52</v>
      </c>
      <c r="E30" s="48" t="s">
        <v>52</v>
      </c>
      <c r="F30" s="48" t="s">
        <v>52</v>
      </c>
      <c r="G30" s="48"/>
      <c r="H30" s="48"/>
      <c r="I30" s="48" t="s">
        <v>52</v>
      </c>
      <c r="J30" s="50">
        <v>4</v>
      </c>
      <c r="K30" s="49">
        <f t="shared" si="0"/>
        <v>36</v>
      </c>
      <c r="L30" s="50"/>
      <c r="P30" s="50"/>
    </row>
    <row r="31" spans="1:16" x14ac:dyDescent="0.25">
      <c r="A31" s="38">
        <v>3</v>
      </c>
      <c r="B31" s="51" t="s">
        <v>54</v>
      </c>
      <c r="C31" s="47">
        <v>5</v>
      </c>
      <c r="D31" s="48" t="s">
        <v>52</v>
      </c>
      <c r="E31" s="48" t="s">
        <v>52</v>
      </c>
      <c r="F31" s="48" t="s">
        <v>52</v>
      </c>
      <c r="G31" s="48"/>
      <c r="H31" s="48"/>
      <c r="I31" s="48" t="s">
        <v>52</v>
      </c>
      <c r="J31" s="50">
        <v>4</v>
      </c>
      <c r="K31" s="49">
        <f t="shared" si="0"/>
        <v>20</v>
      </c>
      <c r="L31" s="50"/>
      <c r="P31" s="50"/>
    </row>
    <row r="32" spans="1:16" x14ac:dyDescent="0.25">
      <c r="A32" s="38">
        <v>4</v>
      </c>
      <c r="B32" s="51" t="s">
        <v>56</v>
      </c>
      <c r="C32" s="47">
        <v>5</v>
      </c>
      <c r="D32" s="48"/>
      <c r="E32" s="52"/>
      <c r="F32" s="48" t="s">
        <v>52</v>
      </c>
      <c r="G32" s="48"/>
      <c r="H32" s="48"/>
      <c r="I32" s="48" t="s">
        <v>52</v>
      </c>
      <c r="J32" s="50">
        <v>2</v>
      </c>
      <c r="K32" s="49">
        <f t="shared" si="0"/>
        <v>10</v>
      </c>
      <c r="L32" s="50"/>
      <c r="P32" s="50"/>
    </row>
    <row r="33" spans="1:16" x14ac:dyDescent="0.25">
      <c r="A33" s="38">
        <v>5</v>
      </c>
      <c r="B33" s="51" t="s">
        <v>57</v>
      </c>
      <c r="C33" s="47">
        <v>5</v>
      </c>
      <c r="D33" s="48"/>
      <c r="E33" s="52"/>
      <c r="F33" s="48" t="s">
        <v>52</v>
      </c>
      <c r="G33" s="48"/>
      <c r="H33" s="48"/>
      <c r="I33" s="48" t="s">
        <v>52</v>
      </c>
      <c r="J33" s="50">
        <v>2</v>
      </c>
      <c r="K33" s="49">
        <f t="shared" si="0"/>
        <v>10</v>
      </c>
      <c r="L33" s="50"/>
      <c r="P33" s="50"/>
    </row>
    <row r="34" spans="1:16" x14ac:dyDescent="0.25">
      <c r="A34" s="38">
        <v>6</v>
      </c>
      <c r="B34" s="51" t="s">
        <v>58</v>
      </c>
      <c r="C34" s="47">
        <v>5</v>
      </c>
      <c r="D34" s="48"/>
      <c r="E34" s="52"/>
      <c r="F34" s="48" t="s">
        <v>52</v>
      </c>
      <c r="G34" s="48" t="s">
        <v>52</v>
      </c>
      <c r="H34" s="48" t="s">
        <v>52</v>
      </c>
      <c r="I34" s="48" t="s">
        <v>52</v>
      </c>
      <c r="J34" s="50">
        <v>4</v>
      </c>
      <c r="K34" s="49">
        <f t="shared" si="0"/>
        <v>20</v>
      </c>
      <c r="L34" s="50"/>
      <c r="P34" s="50"/>
    </row>
    <row r="35" spans="1:16" x14ac:dyDescent="0.25">
      <c r="A35" s="38">
        <v>7</v>
      </c>
      <c r="B35" s="46" t="s">
        <v>59</v>
      </c>
      <c r="C35" s="47">
        <v>110</v>
      </c>
      <c r="D35" s="48" t="s">
        <v>52</v>
      </c>
      <c r="E35" s="52"/>
      <c r="F35" s="48"/>
      <c r="G35" s="48"/>
      <c r="H35" s="48"/>
      <c r="I35" s="48"/>
      <c r="J35" s="50">
        <v>1</v>
      </c>
      <c r="K35" s="49">
        <f t="shared" si="0"/>
        <v>110</v>
      </c>
      <c r="L35" s="50">
        <f>C35*1</f>
        <v>110</v>
      </c>
      <c r="P35" s="50"/>
    </row>
    <row r="36" spans="1:16" ht="15.75" x14ac:dyDescent="0.25">
      <c r="A36" s="38"/>
      <c r="B36" s="53" t="s">
        <v>60</v>
      </c>
      <c r="C36" s="60"/>
      <c r="D36" s="55"/>
      <c r="E36" s="55"/>
      <c r="F36" s="55"/>
      <c r="G36" s="55"/>
      <c r="H36" s="55"/>
      <c r="I36" s="48"/>
      <c r="J36" s="50"/>
      <c r="K36" s="49">
        <f>K29+K30+K31+K32+K33+K34+K35</f>
        <v>286</v>
      </c>
      <c r="L36" s="50">
        <f>L29+L35</f>
        <v>130</v>
      </c>
      <c r="P36" s="125">
        <f>K36*70%</f>
        <v>200.2</v>
      </c>
    </row>
    <row r="40" spans="1:16" x14ac:dyDescent="0.25">
      <c r="B40" s="39" t="s">
        <v>62</v>
      </c>
      <c r="C40" s="57" t="s">
        <v>61</v>
      </c>
    </row>
    <row r="41" spans="1:16" ht="28.5" customHeight="1" x14ac:dyDescent="0.25">
      <c r="A41" s="42"/>
      <c r="B41" s="43"/>
      <c r="C41" s="44" t="s">
        <v>64</v>
      </c>
      <c r="D41" s="45" t="s">
        <v>45</v>
      </c>
      <c r="E41" s="45" t="s">
        <v>46</v>
      </c>
      <c r="F41" s="45" t="s">
        <v>47</v>
      </c>
      <c r="G41" s="45" t="s">
        <v>65</v>
      </c>
      <c r="H41" s="45" t="s">
        <v>66</v>
      </c>
      <c r="I41" s="45" t="s">
        <v>67</v>
      </c>
      <c r="J41" s="45" t="s">
        <v>48</v>
      </c>
      <c r="K41" s="45" t="s">
        <v>49</v>
      </c>
      <c r="L41" s="45" t="s">
        <v>50</v>
      </c>
      <c r="P41" s="122" t="s">
        <v>118</v>
      </c>
    </row>
    <row r="42" spans="1:16" x14ac:dyDescent="0.25">
      <c r="A42" s="38">
        <v>1</v>
      </c>
      <c r="B42" s="46" t="s">
        <v>51</v>
      </c>
      <c r="C42" s="47">
        <v>20</v>
      </c>
      <c r="D42" s="48" t="s">
        <v>52</v>
      </c>
      <c r="E42" s="48" t="s">
        <v>52</v>
      </c>
      <c r="F42" s="48" t="s">
        <v>52</v>
      </c>
      <c r="G42" s="48"/>
      <c r="H42" s="48"/>
      <c r="I42" s="48" t="s">
        <v>52</v>
      </c>
      <c r="J42" s="50">
        <v>4</v>
      </c>
      <c r="K42" s="49">
        <f t="shared" ref="K42:K48" si="1">J42*C42</f>
        <v>80</v>
      </c>
      <c r="L42" s="50">
        <f>C42*1</f>
        <v>20</v>
      </c>
      <c r="P42" s="50"/>
    </row>
    <row r="43" spans="1:16" x14ac:dyDescent="0.25">
      <c r="A43" s="38">
        <v>2</v>
      </c>
      <c r="B43" s="51" t="s">
        <v>53</v>
      </c>
      <c r="C43" s="47">
        <v>9</v>
      </c>
      <c r="D43" s="48" t="s">
        <v>52</v>
      </c>
      <c r="E43" s="52"/>
      <c r="F43" s="48" t="s">
        <v>52</v>
      </c>
      <c r="G43" s="48"/>
      <c r="H43" s="48"/>
      <c r="I43" s="48" t="s">
        <v>52</v>
      </c>
      <c r="J43" s="50">
        <v>3</v>
      </c>
      <c r="K43" s="49">
        <f t="shared" si="1"/>
        <v>27</v>
      </c>
      <c r="L43" s="50"/>
      <c r="P43" s="50"/>
    </row>
    <row r="44" spans="1:16" x14ac:dyDescent="0.25">
      <c r="A44" s="38">
        <v>3</v>
      </c>
      <c r="B44" s="51" t="s">
        <v>54</v>
      </c>
      <c r="C44" s="47">
        <v>5</v>
      </c>
      <c r="D44" s="48" t="s">
        <v>52</v>
      </c>
      <c r="E44" s="48" t="s">
        <v>52</v>
      </c>
      <c r="F44" s="48" t="s">
        <v>52</v>
      </c>
      <c r="G44" s="48" t="s">
        <v>52</v>
      </c>
      <c r="H44" s="48" t="s">
        <v>52</v>
      </c>
      <c r="I44" s="48" t="s">
        <v>52</v>
      </c>
      <c r="J44" s="50">
        <v>6</v>
      </c>
      <c r="K44" s="49">
        <f t="shared" si="1"/>
        <v>30</v>
      </c>
      <c r="L44" s="50"/>
      <c r="P44" s="50"/>
    </row>
    <row r="45" spans="1:16" x14ac:dyDescent="0.25">
      <c r="A45" s="38">
        <v>4</v>
      </c>
      <c r="B45" s="51" t="s">
        <v>56</v>
      </c>
      <c r="C45" s="47">
        <v>5</v>
      </c>
      <c r="D45" s="48"/>
      <c r="E45" s="52"/>
      <c r="F45" s="48" t="s">
        <v>52</v>
      </c>
      <c r="G45" s="48"/>
      <c r="H45" s="48"/>
      <c r="I45" s="48" t="s">
        <v>52</v>
      </c>
      <c r="J45" s="50">
        <v>2</v>
      </c>
      <c r="K45" s="49">
        <f t="shared" si="1"/>
        <v>10</v>
      </c>
      <c r="L45" s="50"/>
      <c r="P45" s="50"/>
    </row>
    <row r="46" spans="1:16" x14ac:dyDescent="0.25">
      <c r="A46" s="38">
        <v>5</v>
      </c>
      <c r="B46" s="51" t="s">
        <v>57</v>
      </c>
      <c r="C46" s="47">
        <v>5</v>
      </c>
      <c r="D46" s="48"/>
      <c r="E46" s="52"/>
      <c r="F46" s="48" t="s">
        <v>52</v>
      </c>
      <c r="G46" s="48"/>
      <c r="H46" s="48"/>
      <c r="I46" s="48" t="s">
        <v>52</v>
      </c>
      <c r="J46" s="50">
        <v>2</v>
      </c>
      <c r="K46" s="49">
        <f t="shared" si="1"/>
        <v>10</v>
      </c>
      <c r="L46" s="50"/>
      <c r="P46" s="50"/>
    </row>
    <row r="47" spans="1:16" x14ac:dyDescent="0.25">
      <c r="A47" s="38">
        <v>6</v>
      </c>
      <c r="B47" s="51" t="s">
        <v>58</v>
      </c>
      <c r="C47" s="47">
        <v>5</v>
      </c>
      <c r="D47" s="48"/>
      <c r="E47" s="52"/>
      <c r="F47" s="48" t="s">
        <v>52</v>
      </c>
      <c r="G47" s="48"/>
      <c r="H47" s="48"/>
      <c r="I47" s="48" t="s">
        <v>52</v>
      </c>
      <c r="J47" s="50">
        <v>2</v>
      </c>
      <c r="K47" s="49">
        <f t="shared" si="1"/>
        <v>10</v>
      </c>
      <c r="L47" s="50"/>
      <c r="P47" s="50"/>
    </row>
    <row r="48" spans="1:16" x14ac:dyDescent="0.25">
      <c r="A48" s="38">
        <v>7</v>
      </c>
      <c r="B48" s="46" t="s">
        <v>59</v>
      </c>
      <c r="C48" s="47">
        <v>110</v>
      </c>
      <c r="D48" s="48" t="s">
        <v>52</v>
      </c>
      <c r="E48" s="52"/>
      <c r="F48" s="48"/>
      <c r="G48" s="48"/>
      <c r="H48" s="48"/>
      <c r="I48" s="48"/>
      <c r="J48" s="50">
        <v>1</v>
      </c>
      <c r="K48" s="49">
        <f t="shared" si="1"/>
        <v>110</v>
      </c>
      <c r="L48" s="50">
        <f>C48*1</f>
        <v>110</v>
      </c>
      <c r="P48" s="50"/>
    </row>
    <row r="49" spans="1:16" ht="15.75" x14ac:dyDescent="0.25">
      <c r="A49" s="61"/>
      <c r="B49" s="53" t="s">
        <v>60</v>
      </c>
      <c r="C49" s="60"/>
      <c r="D49" s="55"/>
      <c r="E49" s="55"/>
      <c r="F49" s="55"/>
      <c r="G49" s="55"/>
      <c r="H49" s="55"/>
      <c r="I49" s="48"/>
      <c r="J49" s="50"/>
      <c r="K49" s="49">
        <f>K42+K43+K44+K45+K46+K47+K48</f>
        <v>277</v>
      </c>
      <c r="L49" s="50">
        <f>L42+L48</f>
        <v>130</v>
      </c>
      <c r="P49" s="124">
        <f>K49*70%</f>
        <v>193.89999999999998</v>
      </c>
    </row>
  </sheetData>
  <mergeCells count="2">
    <mergeCell ref="D1:E1"/>
    <mergeCell ref="D13:E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23"/>
  <sheetViews>
    <sheetView workbookViewId="0">
      <selection activeCell="K15" sqref="K15"/>
    </sheetView>
  </sheetViews>
  <sheetFormatPr defaultRowHeight="15" x14ac:dyDescent="0.25"/>
  <cols>
    <col min="3" max="3" width="3.28515625" bestFit="1" customWidth="1"/>
    <col min="4" max="4" width="34.7109375" bestFit="1" customWidth="1"/>
    <col min="8" max="8" width="33.42578125" customWidth="1"/>
    <col min="9" max="9" width="14.28515625" customWidth="1"/>
    <col min="11" max="11" width="13.28515625" customWidth="1"/>
  </cols>
  <sheetData>
    <row r="3" spans="3:11" ht="63.75" x14ac:dyDescent="0.25">
      <c r="C3" s="79" t="s">
        <v>86</v>
      </c>
      <c r="D3" s="79" t="s">
        <v>84</v>
      </c>
      <c r="E3" s="79" t="s">
        <v>85</v>
      </c>
      <c r="H3" s="81" t="s">
        <v>90</v>
      </c>
      <c r="I3" s="122" t="s">
        <v>114</v>
      </c>
      <c r="K3" s="122" t="s">
        <v>118</v>
      </c>
    </row>
    <row r="4" spans="3:11" x14ac:dyDescent="0.25">
      <c r="C4" s="64">
        <v>1</v>
      </c>
      <c r="D4" s="65" t="s">
        <v>51</v>
      </c>
      <c r="E4" s="66">
        <v>20</v>
      </c>
      <c r="H4" s="4" t="s">
        <v>7</v>
      </c>
      <c r="I4" s="4">
        <f>E5</f>
        <v>60</v>
      </c>
      <c r="K4" s="4"/>
    </row>
    <row r="5" spans="3:11" ht="15.75" thickBot="1" x14ac:dyDescent="0.3">
      <c r="C5" s="67">
        <v>2</v>
      </c>
      <c r="D5" s="68" t="s">
        <v>87</v>
      </c>
      <c r="E5" s="69">
        <v>60</v>
      </c>
      <c r="H5" s="4" t="s">
        <v>88</v>
      </c>
      <c r="I5" s="4">
        <f>E12</f>
        <v>140</v>
      </c>
      <c r="K5" s="4"/>
    </row>
    <row r="6" spans="3:11" ht="15.75" thickBot="1" x14ac:dyDescent="0.3">
      <c r="C6" s="67">
        <v>3</v>
      </c>
      <c r="D6" s="70" t="s">
        <v>69</v>
      </c>
      <c r="E6" s="71"/>
      <c r="H6" s="4" t="s">
        <v>89</v>
      </c>
      <c r="I6" s="4">
        <f>E4+E7+E8+E9+E10+E13+E14+E15+E16+E17+E18+E19+E20</f>
        <v>181</v>
      </c>
      <c r="K6" s="4"/>
    </row>
    <row r="7" spans="3:11" ht="15.75" thickBot="1" x14ac:dyDescent="0.3">
      <c r="C7" s="67"/>
      <c r="D7" s="72" t="s">
        <v>54</v>
      </c>
      <c r="E7" s="69">
        <v>5</v>
      </c>
      <c r="H7" s="83" t="s">
        <v>92</v>
      </c>
      <c r="I7" s="84">
        <f>I4+I5+I6</f>
        <v>381</v>
      </c>
      <c r="K7" s="123">
        <f>I6*70%</f>
        <v>126.69999999999999</v>
      </c>
    </row>
    <row r="8" spans="3:11" ht="15.75" thickBot="1" x14ac:dyDescent="0.3">
      <c r="C8" s="67"/>
      <c r="D8" s="72" t="s">
        <v>55</v>
      </c>
      <c r="E8" s="69">
        <v>5</v>
      </c>
    </row>
    <row r="9" spans="3:11" ht="15.75" thickBot="1" x14ac:dyDescent="0.3">
      <c r="C9" s="67"/>
      <c r="D9" s="72" t="s">
        <v>53</v>
      </c>
      <c r="E9" s="69">
        <v>9</v>
      </c>
    </row>
    <row r="10" spans="3:11" ht="15.75" thickBot="1" x14ac:dyDescent="0.3">
      <c r="C10" s="67">
        <v>4</v>
      </c>
      <c r="D10" s="68" t="s">
        <v>70</v>
      </c>
      <c r="E10" s="69">
        <v>80</v>
      </c>
    </row>
    <row r="11" spans="3:11" ht="39" thickBot="1" x14ac:dyDescent="0.3">
      <c r="C11" s="73"/>
      <c r="D11" s="74"/>
      <c r="E11" s="74"/>
      <c r="H11" s="81" t="s">
        <v>91</v>
      </c>
      <c r="I11" s="122" t="s">
        <v>114</v>
      </c>
      <c r="K11" s="122" t="s">
        <v>118</v>
      </c>
    </row>
    <row r="12" spans="3:11" ht="15.75" thickBot="1" x14ac:dyDescent="0.3">
      <c r="C12" s="67">
        <v>5</v>
      </c>
      <c r="D12" s="70" t="s">
        <v>71</v>
      </c>
      <c r="E12" s="69">
        <v>140</v>
      </c>
      <c r="H12" s="4" t="s">
        <v>7</v>
      </c>
      <c r="I12" s="4">
        <f>E5</f>
        <v>60</v>
      </c>
      <c r="K12" s="4"/>
    </row>
    <row r="13" spans="3:11" ht="15.75" thickBot="1" x14ac:dyDescent="0.3">
      <c r="C13" s="67">
        <v>6</v>
      </c>
      <c r="D13" s="70" t="s">
        <v>72</v>
      </c>
      <c r="E13" s="69">
        <v>8</v>
      </c>
      <c r="H13" s="4" t="s">
        <v>88</v>
      </c>
      <c r="I13" s="4">
        <f>E12</f>
        <v>140</v>
      </c>
      <c r="K13" s="4"/>
    </row>
    <row r="14" spans="3:11" ht="15.75" thickBot="1" x14ac:dyDescent="0.3">
      <c r="C14" s="67">
        <v>7</v>
      </c>
      <c r="D14" s="70" t="s">
        <v>94</v>
      </c>
      <c r="E14" s="69">
        <v>9</v>
      </c>
      <c r="H14" s="4" t="s">
        <v>89</v>
      </c>
      <c r="I14" s="4">
        <f>E4+E7+E8+E9+E13+E14+E15+E16+E17+E18+E19+E20</f>
        <v>101</v>
      </c>
      <c r="K14" s="4"/>
    </row>
    <row r="15" spans="3:11" ht="15.75" thickBot="1" x14ac:dyDescent="0.3">
      <c r="C15" s="67">
        <v>8</v>
      </c>
      <c r="D15" s="70" t="s">
        <v>76</v>
      </c>
      <c r="E15" s="69">
        <v>5</v>
      </c>
      <c r="H15" s="83" t="s">
        <v>92</v>
      </c>
      <c r="I15" s="84">
        <f>I12+I13+I14</f>
        <v>301</v>
      </c>
      <c r="K15" s="123">
        <f>I14*70%</f>
        <v>70.699999999999989</v>
      </c>
    </row>
    <row r="16" spans="3:11" ht="15.75" thickBot="1" x14ac:dyDescent="0.3">
      <c r="C16" s="67">
        <v>9</v>
      </c>
      <c r="D16" s="70" t="s">
        <v>77</v>
      </c>
      <c r="E16" s="69">
        <v>5</v>
      </c>
    </row>
    <row r="17" spans="3:8" ht="15.75" thickBot="1" x14ac:dyDescent="0.3">
      <c r="C17" s="67">
        <v>10</v>
      </c>
      <c r="D17" s="70" t="s">
        <v>58</v>
      </c>
      <c r="E17" s="69">
        <v>5</v>
      </c>
    </row>
    <row r="18" spans="3:8" ht="15.75" thickBot="1" x14ac:dyDescent="0.3">
      <c r="C18" s="67">
        <v>11</v>
      </c>
      <c r="D18" s="70" t="s">
        <v>78</v>
      </c>
      <c r="E18" s="69">
        <v>5</v>
      </c>
    </row>
    <row r="19" spans="3:8" ht="15.75" thickBot="1" x14ac:dyDescent="0.3">
      <c r="C19" s="67">
        <v>12</v>
      </c>
      <c r="D19" s="70" t="s">
        <v>79</v>
      </c>
      <c r="E19" s="69">
        <v>5</v>
      </c>
    </row>
    <row r="20" spans="3:8" ht="15.75" thickBot="1" x14ac:dyDescent="0.3">
      <c r="C20" s="76">
        <v>13</v>
      </c>
      <c r="D20" s="75" t="s">
        <v>82</v>
      </c>
      <c r="E20" s="77">
        <v>20</v>
      </c>
    </row>
    <row r="21" spans="3:8" ht="15.75" thickBot="1" x14ac:dyDescent="0.3">
      <c r="C21" s="73"/>
      <c r="D21" s="74"/>
      <c r="E21" s="78" t="s">
        <v>83</v>
      </c>
    </row>
    <row r="23" spans="3:8" ht="18" x14ac:dyDescent="0.35">
      <c r="H23" s="8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K2" sqref="K2"/>
    </sheetView>
  </sheetViews>
  <sheetFormatPr defaultColWidth="8.85546875" defaultRowHeight="15" x14ac:dyDescent="0.25"/>
  <cols>
    <col min="1" max="1" width="6" style="56" customWidth="1"/>
    <col min="2" max="2" width="36.7109375" style="41" bestFit="1" customWidth="1"/>
    <col min="3" max="3" width="11.7109375" style="41" customWidth="1"/>
    <col min="4" max="5" width="8.42578125" style="58" bestFit="1" customWidth="1"/>
    <col min="6" max="6" width="10.28515625" style="59" customWidth="1"/>
    <col min="7" max="7" width="10" style="41" customWidth="1"/>
    <col min="8" max="8" width="13.42578125" style="41" customWidth="1"/>
    <col min="9" max="9" width="16.28515625" style="41" customWidth="1"/>
    <col min="10" max="10" width="13.85546875" style="41" customWidth="1"/>
    <col min="11" max="11" width="15" style="41" customWidth="1"/>
    <col min="12" max="12" width="9.85546875" style="41" customWidth="1"/>
    <col min="13" max="16384" width="8.85546875" style="41"/>
  </cols>
  <sheetData>
    <row r="1" spans="1:11" ht="12.75" customHeight="1" x14ac:dyDescent="0.25">
      <c r="A1" s="38"/>
      <c r="B1" s="39" t="s">
        <v>42</v>
      </c>
      <c r="C1" s="40" t="s">
        <v>43</v>
      </c>
      <c r="D1" s="121"/>
      <c r="E1" s="121"/>
      <c r="F1" s="41"/>
    </row>
    <row r="2" spans="1:11" ht="42.75" customHeight="1" x14ac:dyDescent="0.25">
      <c r="A2" s="42"/>
      <c r="B2" s="43"/>
      <c r="C2" s="44" t="s">
        <v>44</v>
      </c>
      <c r="D2" s="45" t="s">
        <v>45</v>
      </c>
      <c r="E2" s="45" t="s">
        <v>46</v>
      </c>
      <c r="F2" s="45" t="s">
        <v>47</v>
      </c>
      <c r="G2" s="45" t="s">
        <v>48</v>
      </c>
      <c r="H2" s="45" t="s">
        <v>115</v>
      </c>
      <c r="I2" s="45" t="s">
        <v>116</v>
      </c>
      <c r="K2" s="122" t="s">
        <v>118</v>
      </c>
    </row>
    <row r="3" spans="1:11" x14ac:dyDescent="0.25">
      <c r="A3" s="38">
        <v>1</v>
      </c>
      <c r="B3" s="46" t="s">
        <v>51</v>
      </c>
      <c r="C3" s="47">
        <v>20</v>
      </c>
      <c r="D3" s="48" t="s">
        <v>52</v>
      </c>
      <c r="E3" s="48" t="s">
        <v>52</v>
      </c>
      <c r="F3" s="48" t="s">
        <v>52</v>
      </c>
      <c r="G3" s="38">
        <v>3</v>
      </c>
      <c r="H3" s="49">
        <f>G3*C3</f>
        <v>60</v>
      </c>
      <c r="I3" s="50">
        <f>C3*1</f>
        <v>20</v>
      </c>
      <c r="K3" s="50"/>
    </row>
    <row r="4" spans="1:11" x14ac:dyDescent="0.25">
      <c r="A4" s="38">
        <v>2</v>
      </c>
      <c r="B4" s="51" t="s">
        <v>53</v>
      </c>
      <c r="C4" s="47">
        <v>9</v>
      </c>
      <c r="D4" s="48" t="s">
        <v>52</v>
      </c>
      <c r="E4" s="48" t="s">
        <v>52</v>
      </c>
      <c r="F4" s="48" t="s">
        <v>52</v>
      </c>
      <c r="G4" s="38">
        <v>3</v>
      </c>
      <c r="H4" s="49">
        <f>G4*C4</f>
        <v>27</v>
      </c>
      <c r="I4" s="50"/>
      <c r="K4" s="50"/>
    </row>
    <row r="5" spans="1:11" x14ac:dyDescent="0.25">
      <c r="A5" s="38">
        <v>3</v>
      </c>
      <c r="B5" s="51" t="s">
        <v>54</v>
      </c>
      <c r="C5" s="47">
        <v>5</v>
      </c>
      <c r="D5" s="48" t="s">
        <v>52</v>
      </c>
      <c r="E5" s="48" t="s">
        <v>52</v>
      </c>
      <c r="F5" s="48" t="s">
        <v>52</v>
      </c>
      <c r="G5" s="38">
        <v>3</v>
      </c>
      <c r="H5" s="49">
        <f>G5*C5</f>
        <v>15</v>
      </c>
      <c r="I5" s="50"/>
      <c r="K5" s="50"/>
    </row>
    <row r="6" spans="1:11" x14ac:dyDescent="0.25">
      <c r="A6" s="38">
        <v>8</v>
      </c>
      <c r="B6" s="62" t="s">
        <v>93</v>
      </c>
      <c r="C6" s="47">
        <v>110</v>
      </c>
      <c r="D6" s="48"/>
      <c r="E6" s="52"/>
      <c r="F6" s="48"/>
      <c r="G6" s="38">
        <v>1</v>
      </c>
      <c r="H6" s="49">
        <v>0</v>
      </c>
      <c r="I6" s="50">
        <f>C6*1</f>
        <v>110</v>
      </c>
      <c r="K6" s="50"/>
    </row>
    <row r="7" spans="1:11" ht="15.75" x14ac:dyDescent="0.25">
      <c r="A7" s="38"/>
      <c r="B7" s="53" t="s">
        <v>60</v>
      </c>
      <c r="C7" s="54"/>
      <c r="D7" s="55"/>
      <c r="E7" s="55"/>
      <c r="F7" s="55"/>
      <c r="G7" s="38"/>
      <c r="H7" s="49">
        <f>H3+H4+H5+H6</f>
        <v>102</v>
      </c>
      <c r="I7" s="50">
        <f>I3+I6</f>
        <v>130</v>
      </c>
      <c r="K7" s="124">
        <f>H7*70%</f>
        <v>71.399999999999991</v>
      </c>
    </row>
    <row r="10" spans="1:11" ht="12.75" customHeight="1" x14ac:dyDescent="0.25">
      <c r="A10" s="38"/>
      <c r="B10" s="39" t="s">
        <v>42</v>
      </c>
      <c r="C10" s="40" t="s">
        <v>61</v>
      </c>
      <c r="D10" s="121"/>
      <c r="E10" s="121"/>
      <c r="F10" s="41"/>
    </row>
    <row r="11" spans="1:11" ht="43.5" customHeight="1" x14ac:dyDescent="0.25">
      <c r="A11" s="42"/>
      <c r="B11" s="43"/>
      <c r="C11" s="44" t="s">
        <v>44</v>
      </c>
      <c r="D11" s="45" t="s">
        <v>45</v>
      </c>
      <c r="E11" s="45" t="s">
        <v>46</v>
      </c>
      <c r="F11" s="45" t="s">
        <v>47</v>
      </c>
      <c r="G11" s="45" t="s">
        <v>48</v>
      </c>
      <c r="H11" s="45" t="s">
        <v>115</v>
      </c>
      <c r="I11" s="45" t="s">
        <v>116</v>
      </c>
      <c r="K11" s="122" t="s">
        <v>118</v>
      </c>
    </row>
    <row r="12" spans="1:11" x14ac:dyDescent="0.25">
      <c r="A12" s="38">
        <v>1</v>
      </c>
      <c r="B12" s="46" t="s">
        <v>51</v>
      </c>
      <c r="C12" s="47">
        <v>20</v>
      </c>
      <c r="D12" s="48" t="s">
        <v>52</v>
      </c>
      <c r="E12" s="48" t="s">
        <v>52</v>
      </c>
      <c r="F12" s="48" t="s">
        <v>52</v>
      </c>
      <c r="G12" s="38">
        <v>3</v>
      </c>
      <c r="H12" s="49">
        <f>G12*C12</f>
        <v>60</v>
      </c>
      <c r="I12" s="50">
        <f>C12*1</f>
        <v>20</v>
      </c>
      <c r="K12" s="50"/>
    </row>
    <row r="13" spans="1:11" x14ac:dyDescent="0.25">
      <c r="A13" s="38">
        <v>2</v>
      </c>
      <c r="B13" s="51" t="s">
        <v>53</v>
      </c>
      <c r="C13" s="47">
        <v>9</v>
      </c>
      <c r="D13" s="41"/>
      <c r="E13" s="48"/>
      <c r="F13" s="48"/>
      <c r="G13" s="38">
        <v>0</v>
      </c>
      <c r="H13" s="49">
        <f>G13*C13</f>
        <v>0</v>
      </c>
      <c r="I13" s="50"/>
      <c r="K13" s="50"/>
    </row>
    <row r="14" spans="1:11" x14ac:dyDescent="0.25">
      <c r="A14" s="38">
        <v>3</v>
      </c>
      <c r="B14" s="51" t="s">
        <v>54</v>
      </c>
      <c r="C14" s="47">
        <v>5</v>
      </c>
      <c r="D14" s="48" t="s">
        <v>52</v>
      </c>
      <c r="E14" s="48" t="s">
        <v>52</v>
      </c>
      <c r="F14" s="48" t="s">
        <v>52</v>
      </c>
      <c r="G14" s="38">
        <v>3</v>
      </c>
      <c r="H14" s="49">
        <f>G14*C14</f>
        <v>15</v>
      </c>
      <c r="I14" s="50"/>
      <c r="K14" s="50"/>
    </row>
    <row r="15" spans="1:11" x14ac:dyDescent="0.25">
      <c r="A15" s="38">
        <v>8</v>
      </c>
      <c r="B15" s="62" t="s">
        <v>93</v>
      </c>
      <c r="C15" s="47">
        <v>110</v>
      </c>
      <c r="D15" s="48"/>
      <c r="E15" s="52"/>
      <c r="F15" s="48"/>
      <c r="G15" s="38">
        <v>1</v>
      </c>
      <c r="H15" s="49">
        <v>0</v>
      </c>
      <c r="I15" s="50">
        <f>C15*1</f>
        <v>110</v>
      </c>
      <c r="K15" s="50"/>
    </row>
    <row r="16" spans="1:11" ht="15.75" x14ac:dyDescent="0.25">
      <c r="A16" s="38"/>
      <c r="B16" s="53" t="s">
        <v>60</v>
      </c>
      <c r="C16" s="54"/>
      <c r="D16" s="55"/>
      <c r="E16" s="55"/>
      <c r="F16" s="55"/>
      <c r="G16" s="38"/>
      <c r="H16" s="49">
        <f>H12+H13+H14+H15</f>
        <v>75</v>
      </c>
      <c r="I16" s="50">
        <f>I12+I15</f>
        <v>130</v>
      </c>
      <c r="K16" s="124">
        <f>H16*70%</f>
        <v>52.5</v>
      </c>
    </row>
    <row r="17" spans="5:5" x14ac:dyDescent="0.25">
      <c r="E17" s="63" t="s">
        <v>68</v>
      </c>
    </row>
  </sheetData>
  <mergeCells count="2">
    <mergeCell ref="D1:E1"/>
    <mergeCell ref="D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ბიუჯეტი-2019</vt:lpstr>
      <vt:lpstr>დიაგნოსტიკა თანაგადახდის გარეშე</vt:lpstr>
      <vt:lpstr>დიაგნოსტიკა თანაგადახდით</vt:lpstr>
      <vt:lpstr>მკურნალობაში ჩართვა-სტანდარტული</vt:lpstr>
      <vt:lpstr>მონიტორინგი-სტანდარტული</vt:lpstr>
      <vt:lpstr>მკურნალობაში ჩართვა-პჯდ</vt:lpstr>
      <vt:lpstr>მონიტორინგი-პჯდ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2019-04-24T07:49:39Z</dcterms:modified>
</cp:coreProperties>
</file>