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66"/>
  <workbookPr filterPrivacy="1" defaultThemeVersion="124226"/>
  <bookViews>
    <workbookView xWindow="0" yWindow="0" windowWidth="20490" windowHeight="7155" tabRatio="937"/>
  </bookViews>
  <sheets>
    <sheet name="Project Components" sheetId="1" r:id="rId1"/>
    <sheet name="PrevaleceIncidence" sheetId="10" r:id="rId2"/>
    <sheet name="Medications_doses" sheetId="3" r:id="rId3"/>
    <sheet name="ASTHMA" sheetId="5" r:id="rId4"/>
    <sheet name="COPD" sheetId="9" r:id="rId5"/>
    <sheet name="Combined_ASTHMA_COPD" sheetId="11" r:id="rId6"/>
  </sheets>
  <calcPr calcId="162913" iterate="1"/>
</workbook>
</file>

<file path=xl/calcChain.xml><?xml version="1.0" encoding="utf-8"?>
<calcChain xmlns="http://schemas.openxmlformats.org/spreadsheetml/2006/main">
  <c r="E31" i="11" l="1"/>
  <c r="E12" i="11"/>
  <c r="K17" i="3" l="1"/>
  <c r="H9" i="3"/>
  <c r="K9" i="3" s="1"/>
  <c r="C3" i="10"/>
  <c r="H14" i="5" l="1"/>
  <c r="C8" i="5"/>
  <c r="H6" i="5"/>
  <c r="H10" i="3"/>
  <c r="H11" i="9"/>
  <c r="E11" i="9"/>
  <c r="H9" i="9"/>
  <c r="I13" i="3"/>
  <c r="H7" i="9" s="1"/>
  <c r="H13" i="3"/>
  <c r="H11" i="3"/>
  <c r="I9" i="3"/>
  <c r="H7" i="3"/>
  <c r="H15" i="3"/>
  <c r="H5" i="3"/>
  <c r="K5" i="3" s="1"/>
  <c r="H3" i="3"/>
  <c r="E6" i="5" l="1"/>
  <c r="K3" i="3"/>
  <c r="E7" i="9"/>
  <c r="K13" i="3"/>
  <c r="E10" i="5"/>
  <c r="K7" i="3"/>
  <c r="E14" i="5"/>
  <c r="I14" i="5" s="1"/>
  <c r="K10" i="3"/>
  <c r="E5" i="9"/>
  <c r="K11" i="3"/>
  <c r="E9" i="9"/>
  <c r="K15" i="3"/>
  <c r="J10" i="3"/>
  <c r="J13" i="3" l="1"/>
  <c r="J17" i="3"/>
  <c r="I11" i="9"/>
  <c r="C11" i="9"/>
  <c r="C9" i="9"/>
  <c r="C7" i="9"/>
  <c r="J11" i="3"/>
  <c r="C12" i="5"/>
  <c r="C10" i="5"/>
  <c r="C6" i="5"/>
  <c r="D2" i="10"/>
  <c r="I9" i="9"/>
  <c r="I7" i="9"/>
  <c r="I5" i="9"/>
  <c r="J15" i="3" l="1"/>
  <c r="H12" i="5" l="1"/>
  <c r="H10" i="5"/>
  <c r="H8" i="5"/>
  <c r="E8" i="5" l="1"/>
  <c r="I8" i="5" s="1"/>
  <c r="J5" i="3"/>
  <c r="I10" i="5"/>
  <c r="J7" i="3"/>
  <c r="I6" i="5"/>
  <c r="J3" i="3"/>
  <c r="E12" i="5"/>
  <c r="I12" i="5" s="1"/>
  <c r="J9" i="3"/>
  <c r="D3" i="10" l="1"/>
  <c r="D7" i="10" s="1"/>
  <c r="D6" i="10" l="1"/>
  <c r="D8" i="10"/>
  <c r="J6" i="5" l="1"/>
  <c r="L6" i="5" s="1"/>
  <c r="D4" i="1"/>
  <c r="J5" i="9"/>
  <c r="D5" i="1"/>
  <c r="J7" i="9" l="1"/>
  <c r="L5" i="9"/>
  <c r="K5" i="9"/>
  <c r="J9" i="9"/>
  <c r="J11" i="9"/>
  <c r="J8" i="5"/>
  <c r="L8" i="5" s="1"/>
  <c r="K6" i="5"/>
  <c r="D6" i="1"/>
  <c r="K11" i="9" l="1"/>
  <c r="L11" i="9"/>
  <c r="K7" i="9"/>
  <c r="L7" i="9"/>
  <c r="K9" i="9"/>
  <c r="L9" i="9"/>
  <c r="J10" i="5"/>
  <c r="L10" i="5" s="1"/>
  <c r="K8" i="5"/>
  <c r="K14" i="9" l="1"/>
  <c r="C5" i="1" s="1"/>
  <c r="E5" i="1" s="1"/>
  <c r="J12" i="5"/>
  <c r="L12" i="5" s="1"/>
  <c r="K10" i="5"/>
  <c r="J14" i="5" l="1"/>
  <c r="K12" i="5"/>
  <c r="K14" i="5" l="1"/>
  <c r="K16" i="5" s="1"/>
  <c r="C4" i="1" s="1"/>
  <c r="L14" i="5"/>
  <c r="C6" i="1" l="1"/>
  <c r="E4" i="1"/>
  <c r="E6" i="1"/>
</calcChain>
</file>

<file path=xl/sharedStrings.xml><?xml version="1.0" encoding="utf-8"?>
<sst xmlns="http://schemas.openxmlformats.org/spreadsheetml/2006/main" count="204" uniqueCount="118">
  <si>
    <t>#</t>
  </si>
  <si>
    <t>7.</t>
  </si>
  <si>
    <t xml:space="preserve">გადათვლის ინდექსი </t>
  </si>
  <si>
    <t>8.</t>
  </si>
  <si>
    <t>9.</t>
  </si>
  <si>
    <t>ფორმულების შემცველი ველები</t>
  </si>
  <si>
    <t>მედიკამენტი</t>
  </si>
  <si>
    <t>დოზა</t>
  </si>
  <si>
    <t>დღეში</t>
  </si>
  <si>
    <r>
      <t>/</t>
    </r>
    <r>
      <rPr>
        <sz val="10"/>
        <color theme="1"/>
        <rFont val="Sylfaen"/>
        <family val="1"/>
        <charset val="204"/>
      </rPr>
      <t>დღეში</t>
    </r>
  </si>
  <si>
    <r>
      <t>სულ:</t>
    </r>
    <r>
      <rPr>
        <b/>
        <sz val="10"/>
        <color theme="1"/>
        <rFont val="Calibri"/>
        <family val="2"/>
        <charset val="204"/>
        <scheme val="minor"/>
      </rPr>
      <t xml:space="preserve"> </t>
    </r>
    <r>
      <rPr>
        <b/>
        <sz val="10"/>
        <color theme="1"/>
        <rFont val="Sylfaen"/>
        <family val="1"/>
        <charset val="204"/>
      </rPr>
      <t>პროგრამის</t>
    </r>
    <r>
      <rPr>
        <b/>
        <sz val="10"/>
        <color theme="1"/>
        <rFont val="Calibri"/>
        <family val="2"/>
        <charset val="204"/>
        <scheme val="minor"/>
      </rPr>
      <t xml:space="preserve"> </t>
    </r>
    <r>
      <rPr>
        <b/>
        <sz val="10"/>
        <color theme="1"/>
        <rFont val="Sylfaen"/>
        <family val="1"/>
        <charset val="204"/>
      </rPr>
      <t>ბიუჯეტი</t>
    </r>
  </si>
  <si>
    <r>
      <t>ბიუჯეტირებადი</t>
    </r>
    <r>
      <rPr>
        <b/>
        <sz val="11"/>
        <color theme="1"/>
        <rFont val="Calibri"/>
        <family val="2"/>
        <charset val="204"/>
        <scheme val="minor"/>
      </rPr>
      <t xml:space="preserve"> </t>
    </r>
    <r>
      <rPr>
        <b/>
        <sz val="11"/>
        <color theme="1"/>
        <rFont val="Sylfaen"/>
        <family val="1"/>
        <charset val="204"/>
      </rPr>
      <t>ერთეული</t>
    </r>
  </si>
  <si>
    <r>
      <t>ერთეულის</t>
    </r>
    <r>
      <rPr>
        <b/>
        <sz val="11"/>
        <color theme="1"/>
        <rFont val="Calibri"/>
        <family val="2"/>
        <charset val="204"/>
        <scheme val="minor"/>
      </rPr>
      <t xml:space="preserve"> </t>
    </r>
    <r>
      <rPr>
        <b/>
        <sz val="11"/>
        <color theme="1"/>
        <rFont val="Sylfaen"/>
        <family val="1"/>
        <charset val="204"/>
      </rPr>
      <t>საბაზრო</t>
    </r>
    <r>
      <rPr>
        <b/>
        <sz val="11"/>
        <color theme="1"/>
        <rFont val="Calibri"/>
        <family val="2"/>
        <charset val="204"/>
        <scheme val="minor"/>
      </rPr>
      <t xml:space="preserve"> </t>
    </r>
    <r>
      <rPr>
        <b/>
        <sz val="11"/>
        <color theme="1"/>
        <rFont val="Sylfaen"/>
        <family val="1"/>
        <charset val="204"/>
      </rPr>
      <t>ფასი</t>
    </r>
  </si>
  <si>
    <r>
      <t>წლიური</t>
    </r>
    <r>
      <rPr>
        <b/>
        <sz val="11"/>
        <color theme="1"/>
        <rFont val="Calibri"/>
        <family val="2"/>
        <charset val="204"/>
        <scheme val="minor"/>
      </rPr>
      <t xml:space="preserve"> </t>
    </r>
    <r>
      <rPr>
        <b/>
        <sz val="11"/>
        <color theme="1"/>
        <rFont val="Sylfaen"/>
        <family val="1"/>
        <charset val="204"/>
      </rPr>
      <t>თანხა</t>
    </r>
    <r>
      <rPr>
        <b/>
        <sz val="11"/>
        <color theme="1"/>
        <rFont val="Calibri"/>
        <family val="2"/>
        <charset val="204"/>
        <scheme val="minor"/>
      </rPr>
      <t xml:space="preserve"> </t>
    </r>
    <r>
      <rPr>
        <b/>
        <sz val="11"/>
        <color theme="1"/>
        <rFont val="Sylfaen"/>
        <family val="1"/>
        <charset val="204"/>
      </rPr>
      <t>ერთ</t>
    </r>
    <r>
      <rPr>
        <b/>
        <sz val="11"/>
        <color theme="1"/>
        <rFont val="Calibri"/>
        <family val="2"/>
        <charset val="204"/>
        <scheme val="minor"/>
      </rPr>
      <t xml:space="preserve"> </t>
    </r>
    <r>
      <rPr>
        <b/>
        <sz val="11"/>
        <color theme="1"/>
        <rFont val="Sylfaen"/>
        <family val="1"/>
        <charset val="204"/>
      </rPr>
      <t>ბენეფიციარზე</t>
    </r>
  </si>
  <si>
    <r>
      <t>წლიური</t>
    </r>
    <r>
      <rPr>
        <b/>
        <sz val="11"/>
        <color theme="1"/>
        <rFont val="Calibri"/>
        <family val="2"/>
        <charset val="204"/>
        <scheme val="minor"/>
      </rPr>
      <t xml:space="preserve"> </t>
    </r>
    <r>
      <rPr>
        <b/>
        <sz val="11"/>
        <color theme="1"/>
        <rFont val="Sylfaen"/>
        <family val="1"/>
        <charset val="204"/>
      </rPr>
      <t>ბიუჯეტი ლარში</t>
    </r>
  </si>
  <si>
    <t>მგ/დღეში</t>
  </si>
  <si>
    <r>
      <t>ერთეულის</t>
    </r>
    <r>
      <rPr>
        <b/>
        <sz val="11"/>
        <color theme="1"/>
        <rFont val="Calibri"/>
        <family val="2"/>
        <charset val="204"/>
        <scheme val="minor"/>
      </rPr>
      <t xml:space="preserve"> </t>
    </r>
    <r>
      <rPr>
        <b/>
        <sz val="11"/>
        <color theme="1"/>
        <rFont val="Sylfaen"/>
        <family val="1"/>
        <charset val="204"/>
      </rPr>
      <t>საბაზრო</t>
    </r>
    <r>
      <rPr>
        <b/>
        <sz val="11"/>
        <color theme="1"/>
        <rFont val="Calibri"/>
        <family val="2"/>
        <charset val="204"/>
        <scheme val="minor"/>
      </rPr>
      <t xml:space="preserve"> </t>
    </r>
    <r>
      <rPr>
        <b/>
        <sz val="11"/>
        <color theme="1"/>
        <rFont val="Sylfaen"/>
        <family val="1"/>
        <charset val="204"/>
      </rPr>
      <t>ფასი (ლარი)</t>
    </r>
  </si>
  <si>
    <t>დოზის განზ.-ბა</t>
  </si>
  <si>
    <t>საშუალო დღიური დოზა</t>
  </si>
  <si>
    <r>
      <t>ბიუჯეტირებადი</t>
    </r>
    <r>
      <rPr>
        <b/>
        <sz val="11"/>
        <color theme="1"/>
        <rFont val="Calibri"/>
        <family val="2"/>
        <charset val="204"/>
        <scheme val="minor"/>
      </rPr>
      <t xml:space="preserve"> </t>
    </r>
    <r>
      <rPr>
        <b/>
        <sz val="11"/>
        <color theme="1"/>
        <rFont val="Sylfaen"/>
        <family val="1"/>
        <charset val="204"/>
      </rPr>
      <t>ერთეულის განზ.-ბა</t>
    </r>
  </si>
  <si>
    <t>კომპონენტი</t>
  </si>
  <si>
    <t>ბიუჯეტი (ლარი)</t>
  </si>
  <si>
    <t>ბენეფიცართა რაოდენობა (n)</t>
  </si>
  <si>
    <t>ბიუჯეტი ერთ ბენეფიციარზე (ლარი)</t>
  </si>
  <si>
    <t>ბრონქული ასთმა</t>
  </si>
  <si>
    <r>
      <t xml:space="preserve">ბუდენოზიდი,     </t>
    </r>
    <r>
      <rPr>
        <sz val="9"/>
        <color theme="1"/>
        <rFont val="Sylfaen"/>
        <family val="1"/>
        <charset val="204"/>
      </rPr>
      <t xml:space="preserve">სუსპენზია ნებულაიზერისათვის </t>
    </r>
  </si>
  <si>
    <r>
      <t xml:space="preserve">სალბუტამოლი,        </t>
    </r>
    <r>
      <rPr>
        <sz val="9"/>
        <color theme="1"/>
        <rFont val="Sylfaen"/>
        <family val="1"/>
        <charset val="204"/>
      </rPr>
      <t>საინჰალაციო აეროზოლი</t>
    </r>
  </si>
  <si>
    <t>მკგ/დღეში</t>
  </si>
  <si>
    <t>მკგ-იანი ამპულა</t>
  </si>
  <si>
    <t>მგ-იანი ამპულა</t>
  </si>
  <si>
    <t>მკგ-იანი დოზა</t>
  </si>
  <si>
    <r>
      <t>2,5</t>
    </r>
    <r>
      <rPr>
        <sz val="10"/>
        <color theme="1"/>
        <rFont val="Sylfaen"/>
        <family val="1"/>
        <charset val="204"/>
      </rPr>
      <t>მგ</t>
    </r>
    <r>
      <rPr>
        <sz val="10"/>
        <color theme="1"/>
        <rFont val="Calibri"/>
        <family val="2"/>
        <charset val="204"/>
        <scheme val="minor"/>
      </rPr>
      <t>-</t>
    </r>
    <r>
      <rPr>
        <sz val="10"/>
        <color theme="1"/>
        <rFont val="Sylfaen"/>
        <family val="1"/>
        <charset val="204"/>
      </rPr>
      <t>იანი</t>
    </r>
    <r>
      <rPr>
        <sz val="10"/>
        <color theme="1"/>
        <rFont val="Calibri"/>
        <family val="2"/>
        <charset val="204"/>
        <scheme val="minor"/>
      </rPr>
      <t xml:space="preserve"> </t>
    </r>
    <r>
      <rPr>
        <sz val="10"/>
        <color theme="1"/>
        <rFont val="Sylfaen"/>
        <family val="1"/>
        <charset val="204"/>
      </rPr>
      <t>ამპულა</t>
    </r>
  </si>
  <si>
    <t>სალბუტამოლი,                  საინჰალაციო აეროზოლი</t>
  </si>
  <si>
    <r>
      <t>100მკ</t>
    </r>
    <r>
      <rPr>
        <sz val="10"/>
        <color theme="1"/>
        <rFont val="Sylfaen"/>
        <family val="1"/>
        <charset val="204"/>
      </rPr>
      <t>გ</t>
    </r>
    <r>
      <rPr>
        <sz val="10"/>
        <color theme="1"/>
        <rFont val="Calibri"/>
        <family val="2"/>
        <charset val="204"/>
        <scheme val="minor"/>
      </rPr>
      <t>-</t>
    </r>
    <r>
      <rPr>
        <sz val="10"/>
        <color theme="1"/>
        <rFont val="Sylfaen"/>
        <family val="1"/>
        <charset val="204"/>
      </rPr>
      <t>იანი</t>
    </r>
    <r>
      <rPr>
        <sz val="10"/>
        <color theme="1"/>
        <rFont val="Calibri"/>
        <family val="2"/>
        <charset val="204"/>
        <scheme val="minor"/>
      </rPr>
      <t xml:space="preserve"> </t>
    </r>
    <r>
      <rPr>
        <sz val="10"/>
        <color theme="1"/>
        <rFont val="Sylfaen"/>
        <family val="1"/>
        <charset val="204"/>
      </rPr>
      <t>დოზა</t>
    </r>
  </si>
  <si>
    <t>ფილტვის ქრ. ობსტრუქციული დაავადება</t>
  </si>
  <si>
    <t xml:space="preserve">ბუდეზონიდი,                          სუსპენზია ნებულაიზერისათვის </t>
  </si>
  <si>
    <t>დამყოლობის პროცენტი</t>
  </si>
  <si>
    <t>ერთეულისჯერადობა წლის განმავლობაში</t>
  </si>
  <si>
    <t>ერთეულის ჯერადობა წლის განმავლობაში</t>
  </si>
  <si>
    <r>
      <t>ბიუჯეტირებადი</t>
    </r>
    <r>
      <rPr>
        <b/>
        <sz val="10"/>
        <color theme="1"/>
        <rFont val="Calibri"/>
        <family val="2"/>
        <charset val="204"/>
        <scheme val="minor"/>
      </rPr>
      <t xml:space="preserve"> </t>
    </r>
    <r>
      <rPr>
        <b/>
        <sz val="10"/>
        <color theme="1"/>
        <rFont val="Sylfaen"/>
        <family val="1"/>
        <charset val="204"/>
      </rPr>
      <t>ერთეული</t>
    </r>
  </si>
  <si>
    <r>
      <t>წლიური</t>
    </r>
    <r>
      <rPr>
        <b/>
        <sz val="10"/>
        <color theme="1"/>
        <rFont val="Calibri"/>
        <family val="2"/>
        <charset val="204"/>
        <scheme val="minor"/>
      </rPr>
      <t xml:space="preserve"> </t>
    </r>
    <r>
      <rPr>
        <b/>
        <sz val="10"/>
        <color theme="1"/>
        <rFont val="Sylfaen"/>
        <family val="1"/>
        <charset val="204"/>
      </rPr>
      <t>თანხა</t>
    </r>
    <r>
      <rPr>
        <b/>
        <sz val="10"/>
        <color theme="1"/>
        <rFont val="Calibri"/>
        <family val="2"/>
        <charset val="204"/>
        <scheme val="minor"/>
      </rPr>
      <t xml:space="preserve"> </t>
    </r>
    <r>
      <rPr>
        <b/>
        <sz val="10"/>
        <color theme="1"/>
        <rFont val="Sylfaen"/>
        <family val="1"/>
        <charset val="204"/>
      </rPr>
      <t>ერთ</t>
    </r>
    <r>
      <rPr>
        <b/>
        <sz val="10"/>
        <color theme="1"/>
        <rFont val="Calibri"/>
        <family val="2"/>
        <charset val="204"/>
        <scheme val="minor"/>
      </rPr>
      <t xml:space="preserve"> </t>
    </r>
    <r>
      <rPr>
        <b/>
        <sz val="10"/>
        <color theme="1"/>
        <rFont val="Sylfaen"/>
        <family val="1"/>
        <charset val="204"/>
      </rPr>
      <t>ბენეფიციარზე</t>
    </r>
  </si>
  <si>
    <r>
      <t>წლიური</t>
    </r>
    <r>
      <rPr>
        <b/>
        <sz val="10"/>
        <color theme="1"/>
        <rFont val="Calibri"/>
        <family val="2"/>
        <charset val="204"/>
        <scheme val="minor"/>
      </rPr>
      <t xml:space="preserve"> </t>
    </r>
    <r>
      <rPr>
        <b/>
        <sz val="10"/>
        <color theme="1"/>
        <rFont val="Sylfaen"/>
        <family val="1"/>
        <charset val="204"/>
      </rPr>
      <t>ბიუჯეტი ლარში</t>
    </r>
  </si>
  <si>
    <t>პროგრამის კომპონენტის ბიუჯეტი ფქოდ-ით დაავადებული პაციენტებისათვის</t>
  </si>
  <si>
    <r>
      <t>ერთეულის</t>
    </r>
    <r>
      <rPr>
        <b/>
        <sz val="10"/>
        <color theme="1"/>
        <rFont val="Calibri"/>
        <family val="2"/>
        <charset val="204"/>
        <scheme val="minor"/>
      </rPr>
      <t xml:space="preserve"> </t>
    </r>
    <r>
      <rPr>
        <b/>
        <sz val="10"/>
        <color theme="1"/>
        <rFont val="Sylfaen"/>
        <family val="1"/>
        <charset val="204"/>
      </rPr>
      <t>საბაზრო</t>
    </r>
    <r>
      <rPr>
        <b/>
        <sz val="10"/>
        <color theme="1"/>
        <rFont val="Calibri"/>
        <family val="2"/>
        <charset val="204"/>
        <scheme val="minor"/>
      </rPr>
      <t xml:space="preserve"> </t>
    </r>
    <r>
      <rPr>
        <b/>
        <sz val="10"/>
        <color theme="1"/>
        <rFont val="Sylfaen"/>
        <family val="1"/>
        <charset val="204"/>
      </rPr>
      <t>ფასი, GEL</t>
    </r>
  </si>
  <si>
    <t>სალბუტამოლი, დოზირებული ინჰალატორი 100მკგ/200 დოზა</t>
  </si>
  <si>
    <t>თიოტროპიუმის ბრომიდი 18მკგ საინჰალაციო ფხვნილი, 90 კაფსულა</t>
  </si>
  <si>
    <t>მეთილპრედნიზოლონი</t>
  </si>
  <si>
    <t>14 ტაბლეტიანი შეფუთვა</t>
  </si>
  <si>
    <t>2)სხვადასხვა საერთაშორისო კვლევაზე დაყრდნობით სავარაუდოა, რომ ასთმით დიაგნოსტირებული ბავშვების დაახლოებით 45%  და მოზრდილების 60%  საჭიროებს ასთმის რეგულარულ მედიკამენტურ მართვას (თუმცა,  ასთმის მართვის დაბალი ხარისხის პირობებში, საქართველოში რეგულარულ მედიკამენტურ მართვას დაქვემდებარებული პაციენტების წილი შესაძლოა უფრო მაღალი იყოს).</t>
  </si>
  <si>
    <t>3) სალბუტამოლის ინჰალაცია გათვალისწინებულია შემთხვევათა 95%-ში დანარჩენ 5%-ში შესაძლებელია აღინიშნის გვერდითი ეფექტების  და უკუჩვენბების არსებობა</t>
  </si>
  <si>
    <t>2)სხვადასხვა საერთაშორისო კვლევაზე დაყრდნობით სავარაუდოა, რომ ფქოდ-ის რეგულარული მედიკამენტური თერაპია მაკონტროლებელი პრეპარატებით ესაჭიროება პაციენტთა დაახლოებით 60%-ს, რომელთაც დაავადების საშუალო ან მძიმე ფორმა აქვთ. ამავე რაოდენობას ასევე შესაძლებელია აღენიშნებოდეს წელიწადში საშუალოდ ორი გამწვავება, რაც გათვალისწინებულია მეთილპრედნიზოლონის ბიუჯეტის გათვლისას.</t>
  </si>
  <si>
    <t>მეთილპრედნიზოლონი ტაბლეტი</t>
  </si>
  <si>
    <t>კაფსულებიანი შეფუთვა</t>
  </si>
  <si>
    <t>ტაბლეტიანი ბლისტერი</t>
  </si>
  <si>
    <t>ჯერადობა წლის განმავლობაში</t>
  </si>
  <si>
    <t>ცალკეული მედიკამენტის უტილიზაციის %</t>
  </si>
  <si>
    <t>ბენეფიციართა რაოდენობა სპირომეტრიულად დადასტურებული დიაგნოზით</t>
  </si>
  <si>
    <t>მაჩვენებელი 100,000 მოსახლეზე</t>
  </si>
  <si>
    <t>მოსახლეობის რაოდენობა</t>
  </si>
  <si>
    <t>3) სალბუტამოლის ინჰალაცია გათვალისწინებულია შემთხვევათა 95%-ში დანარჩენ 5%-ში შესაძლებელია აღინიშნის გვერდითი ეფექტების  და უკუჩვენებების არსებობა</t>
  </si>
  <si>
    <t>წლიური დოზის ფასი საქართველოში</t>
  </si>
  <si>
    <t xml:space="preserve">გავრცელების მაჩვენებელი ( (წლიური ფორმის მიხედვით) </t>
  </si>
  <si>
    <t>ბიუჯეტირების პროცესში ასახული დაშვებები</t>
  </si>
  <si>
    <t>სულ, პროგრამის ბიუჯეტი</t>
  </si>
  <si>
    <t>30 კაფსულიანი შეფუთვა</t>
  </si>
  <si>
    <t>200 დოზიანი ინჰალატორი</t>
  </si>
  <si>
    <t>50/200მკ-იანი 60 დოზიანი დისკუსი</t>
  </si>
  <si>
    <t>0,5მგ/მლ 2 მლ-იანი ნებულა</t>
  </si>
  <si>
    <r>
      <t xml:space="preserve">ალბუტეროლი,        </t>
    </r>
    <r>
      <rPr>
        <sz val="9"/>
        <color theme="1"/>
        <rFont val="Sylfaen"/>
        <family val="1"/>
        <charset val="204"/>
      </rPr>
      <t>ხსნარი ნებულაიზერისათვის</t>
    </r>
  </si>
  <si>
    <t>ბუდესონიდი, საინჰალაციო აეროზოლი</t>
  </si>
  <si>
    <t>მკგ-იანი დოზირებული ინჰალატორი 60 დოზა</t>
  </si>
  <si>
    <t>50/250მკგ 60 დოზა</t>
  </si>
  <si>
    <t>დისკჰალერი</t>
  </si>
  <si>
    <t>200 მკგ დოზა</t>
  </si>
  <si>
    <t>ალბუტეროლი,                           ხსნარი ნებულაიზერისათვის</t>
  </si>
  <si>
    <t>ბუდეზონიდი,                           საინჰალაციო აეროზოლი</t>
  </si>
  <si>
    <t>200მკგ დოზირებული ინჰალატორი</t>
  </si>
  <si>
    <t>/დღეში</t>
  </si>
  <si>
    <t>50/250მკგ 60 დოზიანი დისკუსი</t>
  </si>
  <si>
    <t>წლიური რაოდენობა</t>
  </si>
  <si>
    <t>მედიკამენტის ფორმა</t>
  </si>
  <si>
    <t>0,5მგ/მლ საინჰალაციო სუსპენზია 2 მლ ერთჯერადი კონტეინერი</t>
  </si>
  <si>
    <t>0,5%-იანი საინჰალაციო ხსნარი 0,5მლ ფლაკონი</t>
  </si>
  <si>
    <t>200მკგ-იანი საინჰალაციო აეროზოლი 60 დოზა</t>
  </si>
  <si>
    <t>100მკგ 200 დოზიანი საინჰალაციო აეროზოლი</t>
  </si>
  <si>
    <t>სალმეტეროლ/ფლუტიკაზონი</t>
  </si>
  <si>
    <t>50/250მკგ 60-დოზიანი დისკჰალერი</t>
  </si>
  <si>
    <t>18მკგ საინჰალაციო ფხვნილი 30 კაფსულა აპარატით</t>
  </si>
  <si>
    <t>16მგ-იანი 14 ტაბლეტიანი ბლისტერი</t>
  </si>
  <si>
    <r>
      <t>წლიური</t>
    </r>
    <r>
      <rPr>
        <b/>
        <sz val="11"/>
        <color theme="1"/>
        <rFont val="Calibri"/>
        <family val="2"/>
        <charset val="204"/>
        <scheme val="minor"/>
      </rPr>
      <t xml:space="preserve"> </t>
    </r>
    <r>
      <rPr>
        <b/>
        <sz val="11"/>
        <color theme="1"/>
        <rFont val="Sylfaen"/>
        <family val="1"/>
        <charset val="204"/>
      </rPr>
      <t>რაოდენობა</t>
    </r>
  </si>
  <si>
    <t>სალმეტეროლ/ფლუტიკაზონი 50/250</t>
  </si>
  <si>
    <t>თიოტროპიუმის ბრომიდი 18მკგ საინჰალაციო ფხვნილი, 30 კაფსულა</t>
  </si>
  <si>
    <t>3) ბუდესონიდის სუსპენზია და ალბუტეროლის ხსნარი ნებულაიზერისთვის გამოიყენება ძირითადად ასთმის გამწვავების სამკურნალოდ. შესაბამისად, გამწვავებების საშუალო რაოდენობად აღებული იქნა წელიწადში 2  გამწვავება, როდესაც ნებულაიზეროთერაპიის საჭიროება შესაძლებელია დადგეს მთლიანობაში 20 დღის განმავლობაში.</t>
  </si>
  <si>
    <t>პროგრამის კომპონენტის ბიუჯეტი ასთმით დაავადებული პაციენტებისათვის</t>
  </si>
  <si>
    <t>სამიზნე ბენეფიციართა საშუალო წლიური რაოდენობა</t>
  </si>
  <si>
    <t>მათ შორის &lt;15 წლამდე ასაკის  საშუალო წლიური მოსახლეობა</t>
  </si>
  <si>
    <t>მედიკამენტების დოზირების გათვლა ერთ ბენეფიციარზე გადაანგარიშებით</t>
  </si>
  <si>
    <t>ბენეფიციართა რაოდენობა ასთმის პრევალენტობის მიხედვით</t>
  </si>
  <si>
    <t>1) ასთმის პროგრამის ბენეფიციართა რაოდენობად განისაზღვრა პაციენტთა რიცხვი, საქართველოს ჯანდაცვის სტატისტიკური ცნობარის 2015 წლის ასთმის პრევალენტობის მაჩვენებლის მიხედვით</t>
  </si>
  <si>
    <t>1) ფქოდ-ის პროგრამის ბენეფიციართა რაოდენობად განისაზღვრა პაციენტთა რიცხვი, რომელთაც სპირომეტრიულად აქვთ დადასტურებული ფქოდ-ის დიაგნოზი (40%). მონაცემები ეყრდნობა USAID-ის ჯანდაცვის გაუმჯობესების პროექტის კვლევისა და საერთაშორისო კვლევების მონაცემებს. საბაზისო მაჩვენებლად აღებული იქნა საქართველოს ჯანმრთელობი დაცვის 2015 წლის სტატისტიკური ცნობარის პრევალენტობის მაჩვენებელი ქრონიკული და დაუზუსტებელი ბრონქიტის, ემფიზემის და ფილტვის სხვა ქრონიკული ობსტრუქციული ავადმყოფობების მიხედვით.</t>
  </si>
  <si>
    <t>ბენეფიციართა რაოდენობა პრევალენტობის მიხედვით</t>
  </si>
  <si>
    <t>ასთმით დაავადებულ პაციენტთა წამლით უზრუნველყოფის კომპონენტისთვის საჭირო მედიკამენტების წლიური რაოდენობა</t>
  </si>
  <si>
    <r>
      <t>100</t>
    </r>
    <r>
      <rPr>
        <b/>
        <sz val="11"/>
        <color rgb="FF000099"/>
        <rFont val="Sylfaen"/>
        <family val="1"/>
      </rPr>
      <t>მკგ</t>
    </r>
    <r>
      <rPr>
        <b/>
        <sz val="11"/>
        <color rgb="FF000099"/>
        <rFont val="Calibri"/>
        <family val="2"/>
        <scheme val="minor"/>
      </rPr>
      <t xml:space="preserve"> 200 </t>
    </r>
    <r>
      <rPr>
        <b/>
        <sz val="11"/>
        <color rgb="FF000099"/>
        <rFont val="Sylfaen"/>
        <family val="1"/>
      </rPr>
      <t>დოზიანი</t>
    </r>
    <r>
      <rPr>
        <b/>
        <sz val="11"/>
        <color rgb="FF000099"/>
        <rFont val="Calibri"/>
        <family val="2"/>
        <scheme val="minor"/>
      </rPr>
      <t xml:space="preserve"> </t>
    </r>
    <r>
      <rPr>
        <b/>
        <sz val="11"/>
        <color rgb="FF000099"/>
        <rFont val="Sylfaen"/>
        <family val="1"/>
      </rPr>
      <t>საინჰალაციო</t>
    </r>
    <r>
      <rPr>
        <b/>
        <sz val="11"/>
        <color rgb="FF000099"/>
        <rFont val="Calibri"/>
        <family val="2"/>
        <scheme val="minor"/>
      </rPr>
      <t xml:space="preserve"> </t>
    </r>
    <r>
      <rPr>
        <b/>
        <sz val="11"/>
        <color rgb="FF000099"/>
        <rFont val="Sylfaen"/>
        <family val="1"/>
      </rPr>
      <t>აეროზოლი</t>
    </r>
  </si>
  <si>
    <r>
      <t>50/250</t>
    </r>
    <r>
      <rPr>
        <b/>
        <sz val="11"/>
        <color rgb="FF000099"/>
        <rFont val="Sylfaen"/>
        <family val="1"/>
      </rPr>
      <t>მკგ</t>
    </r>
    <r>
      <rPr>
        <b/>
        <sz val="11"/>
        <color rgb="FF000099"/>
        <rFont val="Calibri"/>
        <family val="2"/>
        <scheme val="minor"/>
      </rPr>
      <t xml:space="preserve"> 60-</t>
    </r>
    <r>
      <rPr>
        <b/>
        <sz val="11"/>
        <color rgb="FF000099"/>
        <rFont val="Sylfaen"/>
        <family val="1"/>
      </rPr>
      <t>დოზიანი</t>
    </r>
    <r>
      <rPr>
        <b/>
        <sz val="11"/>
        <color rgb="FF000099"/>
        <rFont val="Calibri"/>
        <family val="2"/>
        <scheme val="minor"/>
      </rPr>
      <t xml:space="preserve"> </t>
    </r>
    <r>
      <rPr>
        <b/>
        <sz val="11"/>
        <color rgb="FF000099"/>
        <rFont val="Sylfaen"/>
        <family val="1"/>
      </rPr>
      <t>დისკჰალერი</t>
    </r>
  </si>
  <si>
    <t>ფქოდ-ით დაავადებულ პაციენტთა წამლით უზრუნველყოფის კომპონენტისთვის საჭირო მედიკამენტების წლიური რაოდენობა</t>
  </si>
  <si>
    <t>ბრონქული ასთმის პრევალენტობა &lt;15 წლის მოსახლეობაში 100 000 მოსახლეზე (NCDC, 2015)</t>
  </si>
  <si>
    <t>ფილტვის ქრონიკული ობსტრუქციული დაავადება პრევალენტობა 100 000 მოსახლეზე (NCDC, 2015)</t>
  </si>
  <si>
    <t>ბრონქული ასთმის პრევალენტობა 100 000 მოსახლეზე (NCDC, 2015)</t>
  </si>
  <si>
    <t>ბუდეზონიდი,                          სუსპენზია ნებულაიზერისათვის (ასთმის გამწვავების სამკურნალო)</t>
  </si>
  <si>
    <t>ალბუტეროლი,                           ხსნარი ნებულაიზერისათვის (ასთმის გამწვავების სამკურნალო)</t>
  </si>
  <si>
    <t>ბუდეზონიდი,                           საინჰალაციო აეროზოლი (ასთმის მაკონტროლებელი)</t>
  </si>
  <si>
    <t>სალბუტამოლის საინჰალაციო აეროზოლი (სიმპტომების შემამსუბუქებელი)</t>
  </si>
  <si>
    <t>სალმეტეროლ/ფლუტიკაზონი (ასთმის მაკონტროლებელი)</t>
  </si>
  <si>
    <t>სალმეტეროლ/ფლუტიკაზონი 50/250 (ფქოდ-ის გრძელვადიანი კონტროლისთვის)</t>
  </si>
  <si>
    <t>სალბუტამოლი, დოზირებული ინჰალატორი 100მკგ/200 დოზა (სიმპტომების შემამსუბუქებელი)</t>
  </si>
  <si>
    <t>თიოტროპიუმის ბრომიდი 18მკგ საინჰალაციო ფხვნილი, 30 კაფსულა (ფქოდ-ის გრძელვადიანი კონტროლი)</t>
  </si>
  <si>
    <t>მეთილპრედნიზოლონი (ფქოდ-ის გამწვავების სამკურნალო)</t>
  </si>
  <si>
    <r>
      <t>მედიკამენტის წლიური</t>
    </r>
    <r>
      <rPr>
        <b/>
        <sz val="11"/>
        <color theme="1"/>
        <rFont val="Calibri"/>
        <family val="2"/>
        <charset val="204"/>
        <scheme val="minor"/>
      </rPr>
      <t xml:space="preserve"> </t>
    </r>
    <r>
      <rPr>
        <b/>
        <sz val="11"/>
        <color theme="1"/>
        <rFont val="Sylfaen"/>
        <family val="1"/>
        <charset val="204"/>
      </rPr>
      <t>რაოდენობა (ცალი)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</si>
</sst>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family val="2"/>
      <scheme val="minor"/>
    </font>
    <font>
      <sz val="11"/>
      <color theme="1"/>
      <name val="Calibri"/>
      <family val="2"/>
      <charset val="204"/>
      <scheme val="minor"/>
    </font>
    <font>
      <sz val="12"/>
      <color theme="1"/>
      <name val="Calibri"/>
      <family val="2"/>
      <scheme val="minor"/>
    </font>
    <font>
      <b/>
      <sz val="14"/>
      <color theme="1"/>
      <name val="Calibri"/>
      <family val="2"/>
      <charset val="204"/>
      <scheme val="minor"/>
    </font>
    <font>
      <sz val="11"/>
      <color theme="1"/>
      <name val="Calibri"/>
      <family val="2"/>
      <charset val="204"/>
      <scheme val="minor"/>
    </font>
    <font>
      <b/>
      <sz val="11"/>
      <name val="Calibri"/>
      <family val="2"/>
      <charset val="204"/>
      <scheme val="minor"/>
    </font>
    <font>
      <b/>
      <sz val="12"/>
      <color rgb="FF000099"/>
      <name val="Calibri"/>
      <family val="2"/>
      <charset val="204"/>
      <scheme val="minor"/>
    </font>
    <font>
      <sz val="11"/>
      <name val="Calibri"/>
      <family val="2"/>
      <charset val="204"/>
      <scheme val="minor"/>
    </font>
    <font>
      <b/>
      <sz val="11"/>
      <color theme="1"/>
      <name val="Calibri"/>
      <family val="2"/>
      <charset val="204"/>
      <scheme val="minor"/>
    </font>
    <font>
      <b/>
      <sz val="12"/>
      <color theme="1"/>
      <name val="Calibri"/>
      <family val="2"/>
      <charset val="204"/>
      <scheme val="minor"/>
    </font>
    <font>
      <b/>
      <sz val="11"/>
      <color theme="1"/>
      <name val="Calibri"/>
      <family val="2"/>
      <scheme val="minor"/>
    </font>
    <font>
      <sz val="11"/>
      <name val="Arial"/>
      <family val="2"/>
      <charset val="204"/>
    </font>
    <font>
      <b/>
      <sz val="10"/>
      <color theme="1"/>
      <name val="Calibri"/>
      <family val="2"/>
      <charset val="204"/>
      <scheme val="minor"/>
    </font>
    <font>
      <sz val="10"/>
      <color theme="1"/>
      <name val="Calibri"/>
      <family val="2"/>
      <charset val="204"/>
      <scheme val="minor"/>
    </font>
    <font>
      <b/>
      <sz val="14"/>
      <color rgb="FF000099"/>
      <name val="Calibri"/>
      <family val="2"/>
      <charset val="204"/>
      <scheme val="minor"/>
    </font>
    <font>
      <sz val="10"/>
      <color theme="1"/>
      <name val="Sylfaen"/>
      <family val="1"/>
      <charset val="204"/>
    </font>
    <font>
      <b/>
      <sz val="10"/>
      <color theme="1"/>
      <name val="Sylfaen"/>
      <family val="1"/>
      <charset val="204"/>
    </font>
    <font>
      <sz val="11"/>
      <color theme="1"/>
      <name val="Sylfaen"/>
      <family val="1"/>
      <charset val="204"/>
    </font>
    <font>
      <b/>
      <sz val="11"/>
      <color theme="1"/>
      <name val="Sylfaen"/>
      <family val="1"/>
      <charset val="204"/>
    </font>
    <font>
      <sz val="9"/>
      <color theme="1"/>
      <name val="Sylfaen"/>
      <family val="1"/>
      <charset val="204"/>
    </font>
    <font>
      <b/>
      <sz val="12"/>
      <name val="Calibri"/>
      <family val="2"/>
      <charset val="204"/>
      <scheme val="minor"/>
    </font>
    <font>
      <sz val="11"/>
      <color theme="1"/>
      <name val="Calibri"/>
      <family val="2"/>
      <scheme val="minor"/>
    </font>
    <font>
      <b/>
      <sz val="11"/>
      <color rgb="FFFF0000"/>
      <name val="Calibri"/>
      <family val="2"/>
      <scheme val="minor"/>
    </font>
    <font>
      <sz val="11"/>
      <color rgb="FF000099"/>
      <name val="Sylfaen"/>
      <family val="1"/>
      <charset val="204"/>
    </font>
    <font>
      <b/>
      <sz val="10"/>
      <color theme="1"/>
      <name val="Sylfaen"/>
      <family val="1"/>
    </font>
    <font>
      <b/>
      <sz val="14"/>
      <color theme="1"/>
      <name val="Calibri"/>
      <family val="2"/>
      <scheme val="minor"/>
    </font>
    <font>
      <b/>
      <sz val="11"/>
      <color rgb="FF000099"/>
      <name val="Calibri"/>
      <family val="2"/>
      <charset val="204"/>
      <scheme val="minor"/>
    </font>
    <font>
      <b/>
      <sz val="11"/>
      <color rgb="FF000099"/>
      <name val="Sylfaen"/>
      <family val="1"/>
      <charset val="204"/>
    </font>
    <font>
      <b/>
      <sz val="12"/>
      <color rgb="FF000099"/>
      <name val="Sylfaen"/>
      <family val="1"/>
      <charset val="204"/>
    </font>
    <font>
      <sz val="10"/>
      <color rgb="FF000000"/>
      <name val="Calibri"/>
      <family val="2"/>
      <scheme val="minor"/>
    </font>
    <font>
      <sz val="11"/>
      <color rgb="FF000000"/>
      <name val="Calibri"/>
      <family val="2"/>
      <scheme val="minor"/>
    </font>
    <font>
      <b/>
      <sz val="12"/>
      <color rgb="FF000099"/>
      <name val="Calibri"/>
      <family val="2"/>
      <scheme val="minor"/>
    </font>
    <font>
      <b/>
      <sz val="11"/>
      <color rgb="FF000099"/>
      <name val="Sylfaen"/>
      <family val="1"/>
    </font>
    <font>
      <b/>
      <sz val="11"/>
      <color rgb="FF000099"/>
      <name val="Calibri"/>
      <family val="2"/>
      <scheme val="minor"/>
    </font>
  </fonts>
  <fills count="13">
    <fill>
      <patternFill patternType="none"/>
    </fill>
    <fill>
      <patternFill patternType="gray125"/>
    </fill>
    <fill>
      <patternFill patternType="solid">
        <fgColor theme="3" tint="0.39997558519241921"/>
        <bgColor indexed="64"/>
      </patternFill>
    </fill>
    <fill>
      <patternFill patternType="solid">
        <fgColor rgb="FF00B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rgb="FFFF9900"/>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CD5B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21" fillId="0" borderId="0" applyFont="0" applyFill="0" applyBorder="0" applyAlignment="0" applyProtection="0"/>
  </cellStyleXfs>
  <cellXfs count="159">
    <xf numFmtId="0" fontId="0" fillId="0" borderId="0" xfId="0"/>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0" fillId="4" borderId="1" xfId="0" applyFill="1" applyBorder="1"/>
    <xf numFmtId="0" fontId="18"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0" fillId="5" borderId="1" xfId="0" applyFill="1" applyBorder="1"/>
    <xf numFmtId="0" fontId="8" fillId="6" borderId="1" xfId="0" applyFont="1" applyFill="1" applyBorder="1" applyAlignment="1">
      <alignment horizontal="center" vertical="center" wrapText="1"/>
    </xf>
    <xf numFmtId="0" fontId="0" fillId="7" borderId="1" xfId="0" applyFill="1" applyBorder="1"/>
    <xf numFmtId="1" fontId="3" fillId="7" borderId="1" xfId="0" applyNumberFormat="1" applyFont="1" applyFill="1" applyBorder="1" applyAlignment="1">
      <alignment horizontal="center" vertical="center"/>
    </xf>
    <xf numFmtId="2" fontId="3" fillId="7" borderId="1" xfId="0" applyNumberFormat="1" applyFont="1" applyFill="1" applyBorder="1" applyAlignment="1">
      <alignment horizontal="center" vertical="center"/>
    </xf>
    <xf numFmtId="0" fontId="0" fillId="0" borderId="0" xfId="0" applyFill="1" applyBorder="1"/>
    <xf numFmtId="0" fontId="13" fillId="0" borderId="1" xfId="0" applyFont="1" applyFill="1" applyBorder="1" applyAlignment="1">
      <alignment horizontal="center" vertical="top" wrapText="1"/>
    </xf>
    <xf numFmtId="0" fontId="15" fillId="0" borderId="1" xfId="0" applyFont="1" applyFill="1" applyBorder="1" applyAlignment="1">
      <alignment horizontal="center" vertical="top" wrapText="1"/>
    </xf>
    <xf numFmtId="1" fontId="8" fillId="5"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1" fontId="0" fillId="0" borderId="0" xfId="0" applyNumberFormat="1"/>
    <xf numFmtId="0" fontId="22" fillId="0" borderId="0" xfId="0" applyFont="1"/>
    <xf numFmtId="0" fontId="0" fillId="0" borderId="0" xfId="0" applyAlignment="1">
      <alignment wrapText="1"/>
    </xf>
    <xf numFmtId="9" fontId="13" fillId="5" borderId="2" xfId="1" applyFont="1" applyFill="1" applyBorder="1" applyAlignment="1">
      <alignment horizontal="center" vertical="center" wrapText="1"/>
    </xf>
    <xf numFmtId="9" fontId="13" fillId="5" borderId="3" xfId="1" applyFont="1" applyFill="1" applyBorder="1" applyAlignment="1">
      <alignment horizontal="center" vertical="center" wrapText="1"/>
    </xf>
    <xf numFmtId="0" fontId="18" fillId="6" borderId="7" xfId="0" applyFont="1" applyFill="1" applyBorder="1" applyAlignment="1">
      <alignment horizontal="center" vertical="center" wrapText="1"/>
    </xf>
    <xf numFmtId="9" fontId="0" fillId="0" borderId="0" xfId="1" applyFont="1"/>
    <xf numFmtId="1" fontId="14" fillId="10" borderId="1" xfId="0" applyNumberFormat="1" applyFont="1" applyFill="1" applyBorder="1" applyAlignment="1">
      <alignment horizontal="center" vertical="center"/>
    </xf>
    <xf numFmtId="2" fontId="14" fillId="10" borderId="1" xfId="0" applyNumberFormat="1" applyFont="1" applyFill="1" applyBorder="1" applyAlignment="1">
      <alignment horizontal="center" vertical="center"/>
    </xf>
    <xf numFmtId="0" fontId="0" fillId="0" borderId="0" xfId="0" applyAlignment="1">
      <alignment vertical="top" wrapText="1"/>
    </xf>
    <xf numFmtId="0" fontId="10" fillId="0" borderId="0" xfId="0" applyFont="1" applyAlignment="1">
      <alignment horizontal="center" vertical="top" wrapText="1"/>
    </xf>
    <xf numFmtId="0" fontId="8" fillId="0" borderId="1" xfId="0" applyFont="1" applyBorder="1" applyAlignment="1">
      <alignment horizontal="center" vertical="top" wrapText="1"/>
    </xf>
    <xf numFmtId="0" fontId="0" fillId="0" borderId="2" xfId="0" applyBorder="1" applyAlignment="1">
      <alignment vertical="top" wrapText="1"/>
    </xf>
    <xf numFmtId="1" fontId="7" fillId="0" borderId="2" xfId="0" applyNumberFormat="1" applyFont="1" applyBorder="1" applyAlignment="1">
      <alignment horizontal="center" vertical="top" wrapText="1"/>
    </xf>
    <xf numFmtId="2" fontId="6" fillId="0" borderId="2" xfId="0" applyNumberFormat="1" applyFont="1" applyBorder="1" applyAlignment="1">
      <alignment horizontal="center" vertical="top" wrapText="1"/>
    </xf>
    <xf numFmtId="0" fontId="0" fillId="0" borderId="1" xfId="0" applyBorder="1" applyAlignment="1">
      <alignment vertical="top" wrapText="1"/>
    </xf>
    <xf numFmtId="2" fontId="6" fillId="0" borderId="1" xfId="0" applyNumberFormat="1" applyFont="1" applyBorder="1" applyAlignment="1">
      <alignment horizontal="center" vertical="top" wrapText="1"/>
    </xf>
    <xf numFmtId="0" fontId="12"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2" fillId="0" borderId="1" xfId="0" applyFont="1" applyBorder="1" applyAlignment="1">
      <alignment horizontal="center" vertical="top" wrapText="1"/>
    </xf>
    <xf numFmtId="1" fontId="6" fillId="4" borderId="1" xfId="0" applyNumberFormat="1" applyFont="1" applyFill="1" applyBorder="1" applyAlignment="1">
      <alignment horizontal="center" vertical="top" wrapText="1"/>
    </xf>
    <xf numFmtId="0" fontId="0" fillId="6" borderId="1" xfId="0" applyFill="1" applyBorder="1" applyAlignment="1">
      <alignment vertical="top" wrapText="1"/>
    </xf>
    <xf numFmtId="0" fontId="0" fillId="9" borderId="1" xfId="0" applyFill="1" applyBorder="1" applyAlignment="1">
      <alignment vertical="top" wrapText="1"/>
    </xf>
    <xf numFmtId="0" fontId="15"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2" fontId="13" fillId="5" borderId="1" xfId="0" applyNumberFormat="1" applyFont="1" applyFill="1" applyBorder="1" applyAlignment="1">
      <alignment horizontal="center" vertical="center" wrapText="1"/>
    </xf>
    <xf numFmtId="9" fontId="13" fillId="5" borderId="3" xfId="1"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2" fontId="4" fillId="9"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64" fontId="4" fillId="9"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2" fontId="17" fillId="9"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23" fillId="9" borderId="1" xfId="0" applyNumberFormat="1" applyFont="1" applyFill="1" applyBorder="1" applyAlignment="1">
      <alignment horizontal="center" vertical="center" wrapText="1"/>
    </xf>
    <xf numFmtId="9" fontId="23" fillId="9" borderId="1" xfId="1" applyFont="1" applyFill="1" applyBorder="1" applyAlignment="1">
      <alignment horizontal="center" vertical="top" wrapText="1"/>
    </xf>
    <xf numFmtId="0" fontId="0" fillId="9" borderId="1" xfId="0" applyFill="1" applyBorder="1"/>
    <xf numFmtId="0" fontId="20" fillId="8" borderId="1" xfId="0" applyFont="1" applyFill="1" applyBorder="1" applyAlignment="1">
      <alignment horizontal="center" vertical="top"/>
    </xf>
    <xf numFmtId="0" fontId="20" fillId="3" borderId="0" xfId="0" applyFont="1" applyFill="1" applyBorder="1" applyAlignment="1">
      <alignment horizontal="center" vertical="top" wrapText="1"/>
    </xf>
    <xf numFmtId="0" fontId="20" fillId="10" borderId="1" xfId="0" applyFont="1" applyFill="1" applyBorder="1" applyAlignment="1">
      <alignment horizontal="center" vertical="top"/>
    </xf>
    <xf numFmtId="1" fontId="11" fillId="0" borderId="1" xfId="0" applyNumberFormat="1" applyFont="1" applyBorder="1" applyAlignment="1">
      <alignment horizontal="center" vertical="top" wrapText="1"/>
    </xf>
    <xf numFmtId="0" fontId="9" fillId="6" borderId="3" xfId="0" applyFont="1" applyFill="1" applyBorder="1" applyAlignment="1">
      <alignment horizontal="center" vertical="center"/>
    </xf>
    <xf numFmtId="0" fontId="18" fillId="6" borderId="3"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18" fillId="6" borderId="1" xfId="0" applyFont="1" applyFill="1" applyBorder="1" applyAlignment="1">
      <alignment horizontal="center" vertical="top" wrapText="1"/>
    </xf>
    <xf numFmtId="0" fontId="10" fillId="5" borderId="1" xfId="0" applyFont="1" applyFill="1" applyBorder="1" applyAlignment="1">
      <alignment vertical="top" wrapText="1"/>
    </xf>
    <xf numFmtId="0" fontId="30"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3" fillId="12" borderId="1" xfId="0" applyFont="1" applyFill="1" applyBorder="1" applyAlignment="1">
      <alignment horizontal="center" vertical="center" wrapText="1"/>
    </xf>
    <xf numFmtId="0" fontId="16" fillId="0" borderId="1" xfId="0" applyFont="1" applyFill="1" applyBorder="1" applyAlignment="1">
      <alignment vertical="top" wrapText="1"/>
    </xf>
    <xf numFmtId="1" fontId="8" fillId="9"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top" wrapText="1"/>
    </xf>
    <xf numFmtId="0" fontId="25" fillId="11" borderId="5" xfId="0" applyFont="1" applyFill="1" applyBorder="1" applyAlignment="1">
      <alignment horizontal="center" vertical="center"/>
    </xf>
    <xf numFmtId="0" fontId="25" fillId="11" borderId="6" xfId="0" applyFont="1" applyFill="1" applyBorder="1" applyAlignment="1">
      <alignment horizontal="center" vertical="center"/>
    </xf>
    <xf numFmtId="0" fontId="25" fillId="11" borderId="4" xfId="0" applyFont="1" applyFill="1" applyBorder="1" applyAlignment="1">
      <alignment horizontal="center" vertical="center"/>
    </xf>
    <xf numFmtId="164" fontId="13" fillId="9" borderId="0" xfId="0" applyNumberFormat="1" applyFont="1" applyFill="1" applyBorder="1" applyAlignment="1">
      <alignment horizontal="center" vertical="center" wrapText="1"/>
    </xf>
    <xf numFmtId="2" fontId="4" fillId="9" borderId="0" xfId="0" applyNumberFormat="1" applyFont="1" applyFill="1" applyBorder="1" applyAlignment="1">
      <alignment horizontal="center" vertical="center" wrapText="1"/>
    </xf>
    <xf numFmtId="2" fontId="13" fillId="9" borderId="0" xfId="0" applyNumberFormat="1" applyFont="1" applyFill="1" applyBorder="1" applyAlignment="1">
      <alignment horizontal="center" vertical="center" wrapText="1"/>
    </xf>
    <xf numFmtId="0" fontId="13" fillId="9" borderId="0" xfId="0" applyFont="1" applyFill="1" applyBorder="1" applyAlignment="1">
      <alignment horizontal="center" vertical="center" wrapText="1"/>
    </xf>
    <xf numFmtId="9" fontId="23" fillId="9" borderId="1" xfId="1" applyFont="1" applyFill="1" applyBorder="1" applyAlignment="1">
      <alignment horizontal="center" vertical="top" wrapText="1"/>
    </xf>
    <xf numFmtId="9" fontId="23" fillId="9" borderId="1" xfId="1" applyFont="1" applyFill="1" applyBorder="1" applyAlignment="1">
      <alignment horizontal="center" vertical="center" wrapText="1"/>
    </xf>
    <xf numFmtId="2" fontId="17" fillId="9" borderId="2" xfId="0" applyNumberFormat="1" applyFont="1" applyFill="1" applyBorder="1" applyAlignment="1">
      <alignment horizontal="center" vertical="center" wrapText="1"/>
    </xf>
    <xf numFmtId="2" fontId="17" fillId="9" borderId="3" xfId="0" applyNumberFormat="1" applyFont="1" applyFill="1" applyBorder="1" applyAlignment="1">
      <alignment horizontal="center" vertical="center" wrapText="1"/>
    </xf>
    <xf numFmtId="1" fontId="23" fillId="9" borderId="2" xfId="0" applyNumberFormat="1" applyFont="1" applyFill="1" applyBorder="1" applyAlignment="1">
      <alignment horizontal="center" vertical="center" wrapText="1"/>
    </xf>
    <xf numFmtId="1" fontId="23" fillId="9" borderId="3" xfId="0" applyNumberFormat="1" applyFont="1" applyFill="1" applyBorder="1" applyAlignment="1">
      <alignment horizontal="center" vertical="center" wrapText="1"/>
    </xf>
    <xf numFmtId="2" fontId="17" fillId="9" borderId="7" xfId="0" applyNumberFormat="1" applyFont="1" applyFill="1" applyBorder="1" applyAlignment="1">
      <alignment horizontal="center" vertical="center" wrapText="1"/>
    </xf>
    <xf numFmtId="1" fontId="23" fillId="9" borderId="7"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vertical="center"/>
    </xf>
    <xf numFmtId="164" fontId="13" fillId="9" borderId="2" xfId="0" applyNumberFormat="1" applyFont="1" applyFill="1" applyBorder="1" applyAlignment="1">
      <alignment horizontal="center" vertical="center" wrapText="1"/>
    </xf>
    <xf numFmtId="164" fontId="13" fillId="9" borderId="3"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0"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5" fillId="8"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64" fontId="4" fillId="9" borderId="1" xfId="0" applyNumberFormat="1" applyFont="1" applyFill="1" applyBorder="1" applyAlignment="1">
      <alignment horizontal="center" vertical="center" wrapText="1"/>
    </xf>
    <xf numFmtId="2" fontId="4" fillId="9"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3" fillId="9" borderId="1" xfId="0" applyNumberFormat="1" applyFont="1" applyFill="1" applyBorder="1" applyAlignment="1">
      <alignment horizontal="center" vertical="center" wrapText="1"/>
    </xf>
    <xf numFmtId="2" fontId="13" fillId="9" borderId="3" xfId="0" applyNumberFormat="1"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2" fontId="13" fillId="9" borderId="1"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Border="1" applyAlignment="1">
      <alignment vertical="center"/>
    </xf>
    <xf numFmtId="0" fontId="1" fillId="0" borderId="3" xfId="0" applyFont="1" applyFill="1" applyBorder="1" applyAlignment="1">
      <alignment horizontal="center" vertical="center" wrapText="1"/>
    </xf>
    <xf numFmtId="1" fontId="6" fillId="5" borderId="1" xfId="0" applyNumberFormat="1" applyFont="1" applyFill="1" applyBorder="1" applyAlignment="1">
      <alignment horizontal="center" vertical="center" wrapText="1"/>
    </xf>
    <xf numFmtId="1" fontId="26" fillId="5" borderId="2" xfId="0" applyNumberFormat="1" applyFont="1" applyFill="1" applyBorder="1" applyAlignment="1">
      <alignment horizontal="center" vertical="top" wrapText="1"/>
    </xf>
    <xf numFmtId="1" fontId="26" fillId="5" borderId="3" xfId="0" applyNumberFormat="1" applyFont="1" applyFill="1" applyBorder="1" applyAlignment="1">
      <alignment horizontal="center" vertical="top" wrapText="1"/>
    </xf>
    <xf numFmtId="1" fontId="26" fillId="5" borderId="1" xfId="0" applyNumberFormat="1"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9" fontId="27" fillId="5" borderId="1" xfId="1" applyFont="1" applyFill="1" applyBorder="1" applyAlignment="1">
      <alignment horizontal="center" vertical="top" wrapText="1"/>
    </xf>
    <xf numFmtId="1" fontId="4" fillId="5" borderId="1" xfId="0" applyNumberFormat="1" applyFont="1" applyFill="1" applyBorder="1" applyAlignment="1">
      <alignment horizontal="center" vertical="center" wrapText="1"/>
    </xf>
    <xf numFmtId="164" fontId="13" fillId="5" borderId="2" xfId="0" applyNumberFormat="1" applyFont="1" applyFill="1" applyBorder="1" applyAlignment="1">
      <alignment horizontal="center" vertical="center" wrapText="1"/>
    </xf>
    <xf numFmtId="164" fontId="13" fillId="5" borderId="3" xfId="0" applyNumberFormat="1" applyFont="1" applyFill="1" applyBorder="1" applyAlignment="1">
      <alignment horizontal="center" vertical="center" wrapText="1"/>
    </xf>
    <xf numFmtId="2" fontId="13" fillId="5" borderId="1" xfId="0" applyNumberFormat="1" applyFont="1" applyFill="1" applyBorder="1" applyAlignment="1">
      <alignment horizontal="center" vertical="center" wrapText="1"/>
    </xf>
    <xf numFmtId="1" fontId="13" fillId="5" borderId="2" xfId="0" applyNumberFormat="1" applyFont="1" applyFill="1" applyBorder="1" applyAlignment="1">
      <alignment horizontal="center" vertical="center" wrapText="1"/>
    </xf>
    <xf numFmtId="1" fontId="13" fillId="5" borderId="3" xfId="0" applyNumberFormat="1" applyFont="1" applyFill="1" applyBorder="1" applyAlignment="1">
      <alignment horizontal="center" vertical="center" wrapText="1"/>
    </xf>
    <xf numFmtId="0" fontId="0" fillId="0" borderId="6" xfId="0" applyBorder="1" applyAlignment="1">
      <alignment horizontal="left" vertical="top" wrapText="1"/>
    </xf>
    <xf numFmtId="0" fontId="16" fillId="0" borderId="1" xfId="0" applyFont="1" applyFill="1" applyBorder="1" applyAlignment="1">
      <alignment horizontal="center" vertical="top" wrapText="1"/>
    </xf>
    <xf numFmtId="1" fontId="13" fillId="5" borderId="1" xfId="0" applyNumberFormat="1" applyFont="1" applyFill="1" applyBorder="1" applyAlignment="1">
      <alignment horizontal="center" vertical="center" wrapText="1"/>
    </xf>
    <xf numFmtId="9" fontId="13" fillId="5" borderId="2" xfId="1" applyFont="1" applyFill="1" applyBorder="1" applyAlignment="1">
      <alignment horizontal="center" vertical="center" wrapText="1"/>
    </xf>
    <xf numFmtId="9" fontId="13" fillId="5" borderId="3" xfId="1" applyFont="1" applyFill="1" applyBorder="1" applyAlignment="1">
      <alignment horizontal="center" vertical="center" wrapText="1"/>
    </xf>
    <xf numFmtId="9" fontId="13" fillId="5" borderId="1" xfId="1" applyFont="1" applyFill="1" applyBorder="1" applyAlignment="1">
      <alignment horizontal="center" vertical="center" wrapText="1"/>
    </xf>
    <xf numFmtId="0" fontId="0" fillId="0" borderId="0" xfId="0" applyAlignment="1">
      <alignment horizontal="left" vertical="top" wrapText="1"/>
    </xf>
    <xf numFmtId="0" fontId="4"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9" fontId="28" fillId="5" borderId="1" xfId="1" applyFont="1" applyFill="1" applyBorder="1" applyAlignment="1">
      <alignment horizontal="center" vertical="center" wrapText="1"/>
    </xf>
    <xf numFmtId="9" fontId="28" fillId="5" borderId="1" xfId="1" applyFont="1" applyFill="1" applyBorder="1" applyAlignment="1">
      <alignment horizontal="center" vertical="top" wrapText="1"/>
    </xf>
    <xf numFmtId="1" fontId="4" fillId="5" borderId="2" xfId="0" applyNumberFormat="1"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16" fillId="0" borderId="1" xfId="0" applyFont="1" applyFill="1" applyBorder="1" applyAlignment="1">
      <alignment horizontal="left" vertical="top" wrapText="1"/>
    </xf>
    <xf numFmtId="0" fontId="29" fillId="12"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top" wrapText="1"/>
    </xf>
    <xf numFmtId="0" fontId="10" fillId="11" borderId="12" xfId="0" applyFont="1" applyFill="1" applyBorder="1" applyAlignment="1">
      <alignment horizontal="center" wrapText="1"/>
    </xf>
    <xf numFmtId="0" fontId="10" fillId="11" borderId="8" xfId="0" applyFont="1" applyFill="1" applyBorder="1" applyAlignment="1">
      <alignment horizontal="center" wrapText="1"/>
    </xf>
    <xf numFmtId="0" fontId="10" fillId="11" borderId="9" xfId="0" applyFont="1" applyFill="1" applyBorder="1" applyAlignment="1">
      <alignment horizontal="center" wrapText="1"/>
    </xf>
    <xf numFmtId="0" fontId="10" fillId="11" borderId="10" xfId="0" applyFont="1" applyFill="1" applyBorder="1" applyAlignment="1">
      <alignment horizontal="center" wrapText="1"/>
    </xf>
    <xf numFmtId="0" fontId="10" fillId="11" borderId="11" xfId="0" applyFont="1" applyFill="1" applyBorder="1" applyAlignment="1">
      <alignment horizontal="center" wrapText="1"/>
    </xf>
    <xf numFmtId="0" fontId="10" fillId="11" borderId="13" xfId="0" applyFont="1" applyFill="1" applyBorder="1" applyAlignment="1">
      <alignment horizontal="center" wrapText="1"/>
    </xf>
    <xf numFmtId="0" fontId="32" fillId="12" borderId="1"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000099"/>
      <color rgb="FFFF9900"/>
      <color rgb="FF6633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7"/>
  <sheetViews>
    <sheetView tabSelected="1" workbookViewId="0">
      <selection activeCell="A7" sqref="A7:XFD8"/>
    </sheetView>
  </sheetViews>
  <sheetFormatPr defaultRowHeight="15" x14ac:dyDescent="0.25"/>
  <cols>
    <col min="2" max="2" width="44.42578125" customWidth="1"/>
    <col min="3" max="3" width="16.7109375" customWidth="1"/>
    <col min="4" max="4" width="20.7109375" customWidth="1"/>
    <col min="5" max="5" width="18.140625" customWidth="1"/>
    <col min="6" max="6" width="11.85546875" customWidth="1"/>
  </cols>
  <sheetData>
    <row r="3" spans="1:6" ht="45" x14ac:dyDescent="0.25">
      <c r="B3" s="5" t="s">
        <v>20</v>
      </c>
      <c r="C3" s="4" t="s">
        <v>21</v>
      </c>
      <c r="D3" s="4" t="s">
        <v>22</v>
      </c>
      <c r="E3" s="7" t="s">
        <v>23</v>
      </c>
      <c r="F3" s="18"/>
    </row>
    <row r="4" spans="1:6" ht="27.75" customHeight="1" x14ac:dyDescent="0.25">
      <c r="B4" s="57" t="s">
        <v>24</v>
      </c>
      <c r="C4" s="9">
        <f>ASTHMA!K16</f>
        <v>879664.30020132568</v>
      </c>
      <c r="D4" s="9">
        <f>PrevaleceIncidence!D6</f>
        <v>1030.1043520000001</v>
      </c>
      <c r="E4" s="10">
        <f t="shared" ref="E4:E6" si="0">C4/D4</f>
        <v>853.95649333333336</v>
      </c>
    </row>
    <row r="5" spans="1:6" ht="37.5" customHeight="1" x14ac:dyDescent="0.25">
      <c r="B5" s="58" t="s">
        <v>34</v>
      </c>
      <c r="C5" s="9">
        <f>COPD!K14</f>
        <v>818603.83940301614</v>
      </c>
      <c r="D5" s="9">
        <f>PrevaleceIncidence!D8</f>
        <v>2369.7459840000001</v>
      </c>
      <c r="E5" s="10">
        <f t="shared" si="0"/>
        <v>345.43948799999998</v>
      </c>
    </row>
    <row r="6" spans="1:6" ht="30.75" customHeight="1" x14ac:dyDescent="0.25">
      <c r="B6" s="59" t="s">
        <v>63</v>
      </c>
      <c r="C6" s="23">
        <f>SUM(C4:C5)</f>
        <v>1698268.1396043417</v>
      </c>
      <c r="D6" s="23">
        <f>SUM(D4:D5)</f>
        <v>3399.8503360000004</v>
      </c>
      <c r="E6" s="24">
        <f t="shared" si="0"/>
        <v>499.51261725314413</v>
      </c>
    </row>
    <row r="7" spans="1:6" x14ac:dyDescent="0.25">
      <c r="A7" s="8"/>
      <c r="B7" t="s">
        <v>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9" zoomScaleNormal="79" workbookViewId="0">
      <selection activeCell="C2" sqref="C2"/>
    </sheetView>
  </sheetViews>
  <sheetFormatPr defaultRowHeight="15" x14ac:dyDescent="0.25"/>
  <cols>
    <col min="1" max="1" width="5.85546875" customWidth="1"/>
    <col min="2" max="2" width="72" customWidth="1"/>
    <col min="3" max="3" width="20.85546875" customWidth="1"/>
    <col min="4" max="4" width="27" customWidth="1"/>
  </cols>
  <sheetData>
    <row r="1" spans="1:4" ht="30" x14ac:dyDescent="0.25">
      <c r="B1" s="25"/>
      <c r="C1" s="26" t="s">
        <v>58</v>
      </c>
      <c r="D1" s="27" t="s">
        <v>2</v>
      </c>
    </row>
    <row r="2" spans="1:4" ht="15.75" x14ac:dyDescent="0.25">
      <c r="B2" s="28" t="s">
        <v>94</v>
      </c>
      <c r="C2" s="29">
        <v>297632</v>
      </c>
      <c r="D2" s="30">
        <f>C2/100000</f>
        <v>2.9763199999999999</v>
      </c>
    </row>
    <row r="3" spans="1:4" ht="15.75" x14ac:dyDescent="0.25">
      <c r="B3" s="31" t="s">
        <v>95</v>
      </c>
      <c r="C3" s="60">
        <f>C2*17%</f>
        <v>50597.440000000002</v>
      </c>
      <c r="D3" s="32">
        <f>C3/100000</f>
        <v>0.50597440000000005</v>
      </c>
    </row>
    <row r="4" spans="1:4" x14ac:dyDescent="0.25">
      <c r="B4" s="25"/>
      <c r="C4" s="25"/>
      <c r="D4" s="25"/>
    </row>
    <row r="5" spans="1:4" ht="26.25" customHeight="1" x14ac:dyDescent="0.25">
      <c r="A5" s="2" t="s">
        <v>0</v>
      </c>
      <c r="B5" s="33"/>
      <c r="C5" s="33" t="s">
        <v>57</v>
      </c>
      <c r="D5" s="34" t="s">
        <v>61</v>
      </c>
    </row>
    <row r="6" spans="1:4" ht="15.75" x14ac:dyDescent="0.25">
      <c r="A6" s="1" t="s">
        <v>1</v>
      </c>
      <c r="B6" s="38" t="s">
        <v>107</v>
      </c>
      <c r="C6" s="35">
        <v>346.1</v>
      </c>
      <c r="D6" s="36">
        <f>C6*D2</f>
        <v>1030.1043520000001</v>
      </c>
    </row>
    <row r="7" spans="1:4" ht="30" x14ac:dyDescent="0.25">
      <c r="A7" s="1" t="s">
        <v>3</v>
      </c>
      <c r="B7" s="37" t="s">
        <v>105</v>
      </c>
      <c r="C7" s="35">
        <v>178.7</v>
      </c>
      <c r="D7" s="36">
        <f>C7*D3</f>
        <v>90.417625279999996</v>
      </c>
    </row>
    <row r="8" spans="1:4" ht="30" x14ac:dyDescent="0.25">
      <c r="A8" s="1" t="s">
        <v>4</v>
      </c>
      <c r="B8" s="38" t="s">
        <v>106</v>
      </c>
      <c r="C8" s="35">
        <v>796.2</v>
      </c>
      <c r="D8" s="36">
        <f>C8*D2</f>
        <v>2369.7459840000001</v>
      </c>
    </row>
    <row r="10" spans="1:4" x14ac:dyDescent="0.25">
      <c r="A10" s="3"/>
      <c r="B10" t="s">
        <v>5</v>
      </c>
    </row>
    <row r="11" spans="1:4" x14ac:dyDescent="0.25">
      <c r="B11" s="18"/>
    </row>
  </sheetData>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65" zoomScaleNormal="65" workbookViewId="0">
      <pane ySplit="2" topLeftCell="A9" activePane="bottomLeft" state="frozen"/>
      <selection pane="bottomLeft" activeCell="K15" sqref="K15:K16"/>
    </sheetView>
  </sheetViews>
  <sheetFormatPr defaultRowHeight="15" x14ac:dyDescent="0.25"/>
  <cols>
    <col min="2" max="2" width="48.42578125" customWidth="1"/>
    <col min="3" max="3" width="25.42578125" customWidth="1"/>
    <col min="4" max="4" width="13.85546875" customWidth="1"/>
    <col min="5" max="5" width="15.140625" customWidth="1"/>
    <col min="6" max="6" width="14.7109375" customWidth="1"/>
    <col min="7" max="7" width="16.42578125" customWidth="1"/>
    <col min="8" max="8" width="13.42578125" customWidth="1"/>
    <col min="9" max="9" width="15" customWidth="1"/>
    <col min="10" max="10" width="17" customWidth="1"/>
    <col min="11" max="11" width="22.42578125" customWidth="1"/>
    <col min="12" max="12" width="24.140625" customWidth="1"/>
  </cols>
  <sheetData>
    <row r="1" spans="1:13" ht="42.75" customHeight="1" x14ac:dyDescent="0.25">
      <c r="B1" s="74" t="s">
        <v>96</v>
      </c>
      <c r="C1" s="75"/>
      <c r="D1" s="75"/>
      <c r="E1" s="75"/>
      <c r="F1" s="75"/>
      <c r="G1" s="75"/>
      <c r="H1" s="75"/>
      <c r="I1" s="75"/>
      <c r="J1" s="75"/>
      <c r="K1" s="75"/>
      <c r="L1" s="76"/>
    </row>
    <row r="2" spans="1:13" ht="83.45" customHeight="1" x14ac:dyDescent="0.25">
      <c r="B2" s="61" t="s">
        <v>20</v>
      </c>
      <c r="C2" s="62" t="s">
        <v>6</v>
      </c>
      <c r="D2" s="62" t="s">
        <v>18</v>
      </c>
      <c r="E2" s="62" t="s">
        <v>17</v>
      </c>
      <c r="F2" s="62" t="s">
        <v>11</v>
      </c>
      <c r="G2" s="62" t="s">
        <v>19</v>
      </c>
      <c r="H2" s="62" t="s">
        <v>54</v>
      </c>
      <c r="I2" s="62" t="s">
        <v>16</v>
      </c>
      <c r="J2" s="21" t="s">
        <v>60</v>
      </c>
      <c r="K2" s="21" t="s">
        <v>79</v>
      </c>
      <c r="L2" s="21" t="s">
        <v>80</v>
      </c>
    </row>
    <row r="3" spans="1:13" x14ac:dyDescent="0.25">
      <c r="A3" s="11"/>
      <c r="B3" s="101" t="s">
        <v>24</v>
      </c>
      <c r="C3" s="102" t="s">
        <v>25</v>
      </c>
      <c r="D3" s="89">
        <v>1000</v>
      </c>
      <c r="E3" s="89" t="s">
        <v>27</v>
      </c>
      <c r="F3" s="89">
        <v>500</v>
      </c>
      <c r="G3" s="89" t="s">
        <v>28</v>
      </c>
      <c r="H3" s="103">
        <f>D3/F3*20</f>
        <v>40</v>
      </c>
      <c r="I3" s="104">
        <v>3.75</v>
      </c>
      <c r="J3" s="83">
        <f t="shared" ref="J3" si="0">H3*I3</f>
        <v>150</v>
      </c>
      <c r="K3" s="85">
        <f>H3</f>
        <v>40</v>
      </c>
      <c r="L3" s="81" t="s">
        <v>81</v>
      </c>
      <c r="M3" s="78"/>
    </row>
    <row r="4" spans="1:13" ht="30" customHeight="1" x14ac:dyDescent="0.25">
      <c r="A4" s="11"/>
      <c r="B4" s="101"/>
      <c r="C4" s="102"/>
      <c r="D4" s="96"/>
      <c r="E4" s="96"/>
      <c r="F4" s="90"/>
      <c r="G4" s="90"/>
      <c r="H4" s="103"/>
      <c r="I4" s="104"/>
      <c r="J4" s="84"/>
      <c r="K4" s="86"/>
      <c r="L4" s="81"/>
      <c r="M4" s="78"/>
    </row>
    <row r="5" spans="1:13" x14ac:dyDescent="0.25">
      <c r="A5" s="11"/>
      <c r="B5" s="101" t="s">
        <v>24</v>
      </c>
      <c r="C5" s="102" t="s">
        <v>68</v>
      </c>
      <c r="D5" s="89">
        <v>10</v>
      </c>
      <c r="E5" s="89" t="s">
        <v>15</v>
      </c>
      <c r="F5" s="89">
        <v>2.5</v>
      </c>
      <c r="G5" s="89" t="s">
        <v>29</v>
      </c>
      <c r="H5" s="103">
        <f>D5/F5*20</f>
        <v>80</v>
      </c>
      <c r="I5" s="104">
        <v>2.25</v>
      </c>
      <c r="J5" s="83">
        <f t="shared" ref="J5" si="1">H5*I5</f>
        <v>180</v>
      </c>
      <c r="K5" s="85">
        <f>H5</f>
        <v>80</v>
      </c>
      <c r="L5" s="81" t="s">
        <v>82</v>
      </c>
      <c r="M5" s="78"/>
    </row>
    <row r="6" spans="1:13" ht="51" customHeight="1" x14ac:dyDescent="0.25">
      <c r="A6" s="11"/>
      <c r="B6" s="101"/>
      <c r="C6" s="102"/>
      <c r="D6" s="96"/>
      <c r="E6" s="96"/>
      <c r="F6" s="90"/>
      <c r="G6" s="90"/>
      <c r="H6" s="103"/>
      <c r="I6" s="104"/>
      <c r="J6" s="84"/>
      <c r="K6" s="86"/>
      <c r="L6" s="81"/>
      <c r="M6" s="78"/>
    </row>
    <row r="7" spans="1:13" x14ac:dyDescent="0.25">
      <c r="A7" s="11"/>
      <c r="B7" s="101" t="s">
        <v>24</v>
      </c>
      <c r="C7" s="102" t="s">
        <v>69</v>
      </c>
      <c r="D7" s="89">
        <v>600</v>
      </c>
      <c r="E7" s="89" t="s">
        <v>27</v>
      </c>
      <c r="F7" s="89">
        <v>200</v>
      </c>
      <c r="G7" s="105" t="s">
        <v>70</v>
      </c>
      <c r="H7" s="103">
        <f>365/(60/(D7/F7))</f>
        <v>18.25</v>
      </c>
      <c r="I7" s="104">
        <v>27.5</v>
      </c>
      <c r="J7" s="83">
        <f t="shared" ref="J7" si="2">H7*I7</f>
        <v>501.875</v>
      </c>
      <c r="K7" s="85">
        <f>H7</f>
        <v>18.25</v>
      </c>
      <c r="L7" s="81" t="s">
        <v>83</v>
      </c>
      <c r="M7" s="78"/>
    </row>
    <row r="8" spans="1:13" ht="49.5" customHeight="1" x14ac:dyDescent="0.25">
      <c r="A8" s="11"/>
      <c r="B8" s="101"/>
      <c r="C8" s="102"/>
      <c r="D8" s="96"/>
      <c r="E8" s="96"/>
      <c r="F8" s="90"/>
      <c r="G8" s="90"/>
      <c r="H8" s="103"/>
      <c r="I8" s="104"/>
      <c r="J8" s="84"/>
      <c r="K8" s="86"/>
      <c r="L8" s="81"/>
      <c r="M8" s="78"/>
    </row>
    <row r="9" spans="1:13" ht="45.75" customHeight="1" x14ac:dyDescent="0.25">
      <c r="A9" s="11"/>
      <c r="B9" s="50" t="s">
        <v>24</v>
      </c>
      <c r="C9" s="48" t="s">
        <v>26</v>
      </c>
      <c r="D9" s="47">
        <v>400</v>
      </c>
      <c r="E9" s="47" t="s">
        <v>27</v>
      </c>
      <c r="F9" s="47">
        <v>100</v>
      </c>
      <c r="G9" s="47" t="s">
        <v>30</v>
      </c>
      <c r="H9" s="49">
        <f>D9/F9*365</f>
        <v>1460</v>
      </c>
      <c r="I9" s="46">
        <f>9.04/200</f>
        <v>4.5199999999999997E-2</v>
      </c>
      <c r="J9" s="51">
        <f t="shared" ref="J9" si="3">H9*I9</f>
        <v>65.99199999999999</v>
      </c>
      <c r="K9" s="54">
        <f>H9/4/200</f>
        <v>1.825</v>
      </c>
      <c r="L9" s="55" t="s">
        <v>84</v>
      </c>
      <c r="M9" s="78"/>
    </row>
    <row r="10" spans="1:13" ht="43.5" customHeight="1" x14ac:dyDescent="0.25">
      <c r="A10" s="11"/>
      <c r="B10" s="50" t="s">
        <v>24</v>
      </c>
      <c r="C10" s="48" t="s">
        <v>85</v>
      </c>
      <c r="D10" s="47">
        <v>500</v>
      </c>
      <c r="E10" s="52" t="s">
        <v>27</v>
      </c>
      <c r="F10" s="52" t="s">
        <v>71</v>
      </c>
      <c r="G10" s="52" t="s">
        <v>72</v>
      </c>
      <c r="H10" s="49">
        <f>365/(60/2)</f>
        <v>12.166666666666666</v>
      </c>
      <c r="I10" s="46">
        <v>54.71</v>
      </c>
      <c r="J10" s="51">
        <f>I10*H10</f>
        <v>665.63833333333332</v>
      </c>
      <c r="K10" s="54">
        <f>H10</f>
        <v>12.166666666666666</v>
      </c>
      <c r="L10" s="55" t="s">
        <v>86</v>
      </c>
      <c r="M10" s="78"/>
    </row>
    <row r="11" spans="1:13" x14ac:dyDescent="0.25">
      <c r="A11" s="11"/>
      <c r="B11" s="111" t="s">
        <v>34</v>
      </c>
      <c r="C11" s="95" t="s">
        <v>85</v>
      </c>
      <c r="D11" s="113">
        <v>500</v>
      </c>
      <c r="E11" s="113" t="s">
        <v>27</v>
      </c>
      <c r="F11" s="98" t="s">
        <v>71</v>
      </c>
      <c r="G11" s="115" t="s">
        <v>72</v>
      </c>
      <c r="H11" s="92">
        <f>365/(60/2)</f>
        <v>12.166666666666666</v>
      </c>
      <c r="I11" s="107">
        <v>54.71</v>
      </c>
      <c r="J11" s="87">
        <f t="shared" ref="J11" si="4">H11*I11</f>
        <v>665.63833333333332</v>
      </c>
      <c r="K11" s="88">
        <f>H11</f>
        <v>12.166666666666666</v>
      </c>
      <c r="L11" s="81" t="s">
        <v>86</v>
      </c>
      <c r="M11" s="79"/>
    </row>
    <row r="12" spans="1:13" ht="34.5" customHeight="1" x14ac:dyDescent="0.25">
      <c r="A12" s="11"/>
      <c r="B12" s="93"/>
      <c r="C12" s="112"/>
      <c r="D12" s="96"/>
      <c r="E12" s="96"/>
      <c r="F12" s="114"/>
      <c r="G12" s="90"/>
      <c r="H12" s="106"/>
      <c r="I12" s="108"/>
      <c r="J12" s="84"/>
      <c r="K12" s="86"/>
      <c r="L12" s="81"/>
      <c r="M12" s="80"/>
    </row>
    <row r="13" spans="1:13" x14ac:dyDescent="0.25">
      <c r="A13" s="11"/>
      <c r="B13" s="93" t="s">
        <v>34</v>
      </c>
      <c r="C13" s="99" t="s">
        <v>44</v>
      </c>
      <c r="D13" s="89">
        <v>200</v>
      </c>
      <c r="E13" s="89" t="s">
        <v>27</v>
      </c>
      <c r="F13" s="109">
        <v>100</v>
      </c>
      <c r="G13" s="105" t="s">
        <v>73</v>
      </c>
      <c r="H13" s="106">
        <f>(D13/F13)*365</f>
        <v>730</v>
      </c>
      <c r="I13" s="110">
        <f>9.04/200</f>
        <v>4.5199999999999997E-2</v>
      </c>
      <c r="J13" s="83">
        <f t="shared" ref="J13" si="5">H13*I13</f>
        <v>32.995999999999995</v>
      </c>
      <c r="K13" s="85">
        <f>H13/2/200</f>
        <v>1.825</v>
      </c>
      <c r="L13" s="81" t="s">
        <v>84</v>
      </c>
      <c r="M13" s="79"/>
    </row>
    <row r="14" spans="1:13" ht="36" customHeight="1" x14ac:dyDescent="0.25">
      <c r="A14" s="11"/>
      <c r="B14" s="93"/>
      <c r="C14" s="100"/>
      <c r="D14" s="96"/>
      <c r="E14" s="96"/>
      <c r="F14" s="109"/>
      <c r="G14" s="90"/>
      <c r="H14" s="106"/>
      <c r="I14" s="110"/>
      <c r="J14" s="84"/>
      <c r="K14" s="86"/>
      <c r="L14" s="81"/>
      <c r="M14" s="79"/>
    </row>
    <row r="15" spans="1:13" ht="15" customHeight="1" x14ac:dyDescent="0.25">
      <c r="A15" s="11"/>
      <c r="B15" s="93" t="s">
        <v>34</v>
      </c>
      <c r="C15" s="99" t="s">
        <v>45</v>
      </c>
      <c r="D15" s="89">
        <v>18</v>
      </c>
      <c r="E15" s="89" t="s">
        <v>27</v>
      </c>
      <c r="F15" s="97">
        <v>30</v>
      </c>
      <c r="G15" s="89" t="s">
        <v>52</v>
      </c>
      <c r="H15" s="91">
        <f>365/30</f>
        <v>12.166666666666666</v>
      </c>
      <c r="I15" s="91">
        <v>137.30000000000001</v>
      </c>
      <c r="J15" s="83">
        <f t="shared" ref="J15" si="6">H15*I15</f>
        <v>1670.4833333333333</v>
      </c>
      <c r="K15" s="85">
        <f>H15</f>
        <v>12.166666666666666</v>
      </c>
      <c r="L15" s="81" t="s">
        <v>87</v>
      </c>
      <c r="M15" s="77"/>
    </row>
    <row r="16" spans="1:13" ht="49.5" customHeight="1" x14ac:dyDescent="0.25">
      <c r="A16" s="11"/>
      <c r="B16" s="93"/>
      <c r="C16" s="100"/>
      <c r="D16" s="96"/>
      <c r="E16" s="96"/>
      <c r="F16" s="98"/>
      <c r="G16" s="90"/>
      <c r="H16" s="92"/>
      <c r="I16" s="92"/>
      <c r="J16" s="84"/>
      <c r="K16" s="86"/>
      <c r="L16" s="81"/>
      <c r="M16" s="77"/>
    </row>
    <row r="17" spans="1:13" x14ac:dyDescent="0.25">
      <c r="A17" s="56"/>
      <c r="B17" s="93" t="s">
        <v>34</v>
      </c>
      <c r="C17" s="94" t="s">
        <v>51</v>
      </c>
      <c r="D17" s="89">
        <v>16</v>
      </c>
      <c r="E17" s="89" t="s">
        <v>15</v>
      </c>
      <c r="F17" s="97" t="s">
        <v>47</v>
      </c>
      <c r="G17" s="89" t="s">
        <v>53</v>
      </c>
      <c r="H17" s="91">
        <v>2</v>
      </c>
      <c r="I17" s="91">
        <v>5.26</v>
      </c>
      <c r="J17" s="83">
        <f t="shared" ref="J17" si="7">H17*I17</f>
        <v>10.52</v>
      </c>
      <c r="K17" s="85">
        <f>H17</f>
        <v>2</v>
      </c>
      <c r="L17" s="82" t="s">
        <v>88</v>
      </c>
      <c r="M17" s="77"/>
    </row>
    <row r="18" spans="1:13" ht="47.25" customHeight="1" x14ac:dyDescent="0.25">
      <c r="B18" s="93"/>
      <c r="C18" s="95"/>
      <c r="D18" s="96"/>
      <c r="E18" s="96"/>
      <c r="F18" s="98"/>
      <c r="G18" s="90"/>
      <c r="H18" s="92"/>
      <c r="I18" s="92"/>
      <c r="J18" s="84"/>
      <c r="K18" s="86"/>
      <c r="L18" s="82"/>
      <c r="M18" s="77"/>
    </row>
    <row r="19" spans="1:13" x14ac:dyDescent="0.25">
      <c r="L19" s="22"/>
    </row>
  </sheetData>
  <mergeCells count="86">
    <mergeCell ref="F13:F14"/>
    <mergeCell ref="G13:G14"/>
    <mergeCell ref="H13:H14"/>
    <mergeCell ref="I13:I14"/>
    <mergeCell ref="B11:B12"/>
    <mergeCell ref="C11:C12"/>
    <mergeCell ref="D11:D12"/>
    <mergeCell ref="E11:E12"/>
    <mergeCell ref="F11:F12"/>
    <mergeCell ref="G11:G12"/>
    <mergeCell ref="C13:C14"/>
    <mergeCell ref="F7:F8"/>
    <mergeCell ref="G7:G8"/>
    <mergeCell ref="H7:H8"/>
    <mergeCell ref="I7:I8"/>
    <mergeCell ref="H11:H12"/>
    <mergeCell ref="I11:I12"/>
    <mergeCell ref="F3:F4"/>
    <mergeCell ref="G3:G4"/>
    <mergeCell ref="H3:H4"/>
    <mergeCell ref="I3:I4"/>
    <mergeCell ref="H5:H6"/>
    <mergeCell ref="I5:I6"/>
    <mergeCell ref="F5:F6"/>
    <mergeCell ref="G5:G6"/>
    <mergeCell ref="B3:B4"/>
    <mergeCell ref="C3:C4"/>
    <mergeCell ref="D3:D4"/>
    <mergeCell ref="E3:E4"/>
    <mergeCell ref="B5:B6"/>
    <mergeCell ref="C5:C6"/>
    <mergeCell ref="D5:D6"/>
    <mergeCell ref="E5:E6"/>
    <mergeCell ref="B7:B8"/>
    <mergeCell ref="C7:C8"/>
    <mergeCell ref="D7:D8"/>
    <mergeCell ref="E7:E8"/>
    <mergeCell ref="B13:B14"/>
    <mergeCell ref="D13:D14"/>
    <mergeCell ref="E13:E14"/>
    <mergeCell ref="G15:G16"/>
    <mergeCell ref="H15:H16"/>
    <mergeCell ref="I15:I16"/>
    <mergeCell ref="B17:B18"/>
    <mergeCell ref="C17:C18"/>
    <mergeCell ref="D17:D18"/>
    <mergeCell ref="E17:E18"/>
    <mergeCell ref="F17:F18"/>
    <mergeCell ref="G17:G18"/>
    <mergeCell ref="H17:H18"/>
    <mergeCell ref="I17:I18"/>
    <mergeCell ref="B15:B16"/>
    <mergeCell ref="C15:C16"/>
    <mergeCell ref="D15:D16"/>
    <mergeCell ref="E15:E16"/>
    <mergeCell ref="F15:F16"/>
    <mergeCell ref="M15:M16"/>
    <mergeCell ref="L3:L4"/>
    <mergeCell ref="L5:L6"/>
    <mergeCell ref="L7:L8"/>
    <mergeCell ref="J17:J18"/>
    <mergeCell ref="K17:K18"/>
    <mergeCell ref="J5:J6"/>
    <mergeCell ref="K5:K6"/>
    <mergeCell ref="J7:J8"/>
    <mergeCell ref="K7:K8"/>
    <mergeCell ref="J11:J12"/>
    <mergeCell ref="K11:K12"/>
    <mergeCell ref="J13:J14"/>
    <mergeCell ref="K13:K14"/>
    <mergeCell ref="B1:L1"/>
    <mergeCell ref="M17:M18"/>
    <mergeCell ref="M9:M10"/>
    <mergeCell ref="M11:M12"/>
    <mergeCell ref="M13:M14"/>
    <mergeCell ref="L11:L12"/>
    <mergeCell ref="L13:L14"/>
    <mergeCell ref="L15:L16"/>
    <mergeCell ref="L17:L18"/>
    <mergeCell ref="M3:M4"/>
    <mergeCell ref="M5:M6"/>
    <mergeCell ref="M7:M8"/>
    <mergeCell ref="J15:J16"/>
    <mergeCell ref="K15:K16"/>
    <mergeCell ref="J3:J4"/>
    <mergeCell ref="K3:K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6"/>
  <sheetViews>
    <sheetView topLeftCell="A4" zoomScale="67" zoomScaleNormal="67" workbookViewId="0">
      <selection activeCell="B4" sqref="B4:M4"/>
    </sheetView>
  </sheetViews>
  <sheetFormatPr defaultRowHeight="15" x14ac:dyDescent="0.25"/>
  <cols>
    <col min="2" max="2" width="30" customWidth="1"/>
    <col min="3" max="3" width="13.42578125" customWidth="1"/>
    <col min="4" max="4" width="20.42578125" customWidth="1"/>
    <col min="5" max="5" width="16.5703125" customWidth="1"/>
    <col min="6" max="6" width="19" customWidth="1"/>
    <col min="7" max="7" width="12.42578125" customWidth="1"/>
    <col min="8" max="8" width="14.42578125" customWidth="1"/>
    <col min="9" max="10" width="18.42578125" customWidth="1"/>
    <col min="11" max="11" width="13.42578125" customWidth="1"/>
    <col min="12" max="12" width="15.7109375" customWidth="1"/>
    <col min="13" max="13" width="26.85546875" customWidth="1"/>
  </cols>
  <sheetData>
    <row r="3" spans="2:13" ht="81" customHeight="1" x14ac:dyDescent="0.25">
      <c r="B3" s="4" t="s">
        <v>6</v>
      </c>
      <c r="C3" s="4" t="s">
        <v>7</v>
      </c>
      <c r="D3" s="4" t="s">
        <v>11</v>
      </c>
      <c r="E3" s="4" t="s">
        <v>37</v>
      </c>
      <c r="F3" s="4" t="s">
        <v>55</v>
      </c>
      <c r="G3" s="4" t="s">
        <v>36</v>
      </c>
      <c r="H3" s="4" t="s">
        <v>12</v>
      </c>
      <c r="I3" s="4" t="s">
        <v>13</v>
      </c>
      <c r="J3" s="4" t="s">
        <v>97</v>
      </c>
      <c r="K3" s="4" t="s">
        <v>14</v>
      </c>
      <c r="L3" s="4" t="s">
        <v>89</v>
      </c>
      <c r="M3" s="4" t="s">
        <v>80</v>
      </c>
    </row>
    <row r="4" spans="2:13" ht="29.25" customHeight="1" x14ac:dyDescent="0.25">
      <c r="B4" s="120" t="s">
        <v>93</v>
      </c>
      <c r="C4" s="121"/>
      <c r="D4" s="121"/>
      <c r="E4" s="121"/>
      <c r="F4" s="121"/>
      <c r="G4" s="121"/>
      <c r="H4" s="121"/>
      <c r="I4" s="121"/>
      <c r="J4" s="121"/>
      <c r="K4" s="121"/>
      <c r="L4" s="121"/>
      <c r="M4" s="122"/>
    </row>
    <row r="5" spans="2:13" ht="65.25" customHeight="1" x14ac:dyDescent="0.25">
      <c r="B5" s="4" t="s">
        <v>6</v>
      </c>
      <c r="C5" s="4" t="s">
        <v>7</v>
      </c>
      <c r="D5" s="4" t="s">
        <v>11</v>
      </c>
      <c r="E5" s="4" t="s">
        <v>38</v>
      </c>
      <c r="F5" s="4" t="s">
        <v>55</v>
      </c>
      <c r="G5" s="4" t="s">
        <v>36</v>
      </c>
      <c r="H5" s="4" t="s">
        <v>12</v>
      </c>
      <c r="I5" s="4" t="s">
        <v>13</v>
      </c>
      <c r="J5" s="4" t="s">
        <v>100</v>
      </c>
      <c r="K5" s="4" t="s">
        <v>14</v>
      </c>
      <c r="L5" s="4" t="s">
        <v>89</v>
      </c>
      <c r="M5" s="4" t="s">
        <v>80</v>
      </c>
    </row>
    <row r="6" spans="2:13" ht="15" customHeight="1" x14ac:dyDescent="0.25">
      <c r="B6" s="112" t="s">
        <v>35</v>
      </c>
      <c r="C6" s="12">
        <f>Medications_doses!D3</f>
        <v>1000</v>
      </c>
      <c r="D6" s="109" t="s">
        <v>67</v>
      </c>
      <c r="E6" s="132">
        <f>Medications_doses!H3</f>
        <v>40</v>
      </c>
      <c r="F6" s="133">
        <v>0.7</v>
      </c>
      <c r="G6" s="135">
        <v>0.9</v>
      </c>
      <c r="H6" s="127">
        <f>Medications_doses!I3</f>
        <v>3.75</v>
      </c>
      <c r="I6" s="127">
        <f>E6*H6*F6*G6</f>
        <v>94.5</v>
      </c>
      <c r="J6" s="124">
        <f>PrevaleceIncidence!D6</f>
        <v>1030.1043520000001</v>
      </c>
      <c r="K6" s="124">
        <f>I6*J6</f>
        <v>97344.861264000006</v>
      </c>
      <c r="L6" s="116">
        <f>Medications_doses!K3*ASTHMA!J6</f>
        <v>41204.174080000004</v>
      </c>
      <c r="M6" s="123" t="s">
        <v>81</v>
      </c>
    </row>
    <row r="7" spans="2:13" ht="45.75" customHeight="1" x14ac:dyDescent="0.25">
      <c r="B7" s="112"/>
      <c r="C7" s="13" t="s">
        <v>8</v>
      </c>
      <c r="D7" s="114"/>
      <c r="E7" s="132"/>
      <c r="F7" s="134"/>
      <c r="G7" s="135"/>
      <c r="H7" s="138"/>
      <c r="I7" s="127"/>
      <c r="J7" s="137"/>
      <c r="K7" s="124"/>
      <c r="L7" s="116"/>
      <c r="M7" s="123"/>
    </row>
    <row r="8" spans="2:13" ht="15" customHeight="1" x14ac:dyDescent="0.25">
      <c r="B8" s="112" t="s">
        <v>74</v>
      </c>
      <c r="C8" s="12">
        <f>Medications_doses!D5</f>
        <v>10</v>
      </c>
      <c r="D8" s="109" t="s">
        <v>31</v>
      </c>
      <c r="E8" s="132">
        <f>Medications_doses!H5</f>
        <v>80</v>
      </c>
      <c r="F8" s="133">
        <v>0.9</v>
      </c>
      <c r="G8" s="135">
        <v>0.9</v>
      </c>
      <c r="H8" s="127">
        <f>Medications_doses!I5</f>
        <v>2.25</v>
      </c>
      <c r="I8" s="127">
        <f>E8*H8*F8*G8</f>
        <v>145.80000000000001</v>
      </c>
      <c r="J8" s="124">
        <f>J6</f>
        <v>1030.1043520000001</v>
      </c>
      <c r="K8" s="124">
        <f>I8*J8</f>
        <v>150189.21452160002</v>
      </c>
      <c r="L8" s="116">
        <f>Medications_doses!K5*ASTHMA!J8</f>
        <v>82408.348160000009</v>
      </c>
      <c r="M8" s="123" t="s">
        <v>82</v>
      </c>
    </row>
    <row r="9" spans="2:13" ht="33" customHeight="1" x14ac:dyDescent="0.25">
      <c r="B9" s="112"/>
      <c r="C9" s="13" t="s">
        <v>8</v>
      </c>
      <c r="D9" s="109"/>
      <c r="E9" s="132"/>
      <c r="F9" s="134"/>
      <c r="G9" s="135"/>
      <c r="H9" s="127"/>
      <c r="I9" s="127"/>
      <c r="J9" s="137"/>
      <c r="K9" s="124"/>
      <c r="L9" s="116"/>
      <c r="M9" s="123"/>
    </row>
    <row r="10" spans="2:13" ht="15" customHeight="1" x14ac:dyDescent="0.25">
      <c r="B10" s="112" t="s">
        <v>75</v>
      </c>
      <c r="C10" s="12">
        <f>Medications_doses!D7</f>
        <v>600</v>
      </c>
      <c r="D10" s="109" t="s">
        <v>76</v>
      </c>
      <c r="E10" s="132">
        <f>Medications_doses!H7</f>
        <v>18.25</v>
      </c>
      <c r="F10" s="133">
        <v>0.7</v>
      </c>
      <c r="G10" s="135">
        <v>0.7</v>
      </c>
      <c r="H10" s="127">
        <f>Medications_doses!I7</f>
        <v>27.5</v>
      </c>
      <c r="I10" s="127">
        <f>E10*F10*G10*H10</f>
        <v>245.91874999999996</v>
      </c>
      <c r="J10" s="132">
        <f>J8</f>
        <v>1030.1043520000001</v>
      </c>
      <c r="K10" s="124">
        <f>I10*J10</f>
        <v>253321.97461339997</v>
      </c>
      <c r="L10" s="116">
        <f>Medications_doses!K7*ASTHMA!J10</f>
        <v>18799.404424</v>
      </c>
      <c r="M10" s="123" t="s">
        <v>83</v>
      </c>
    </row>
    <row r="11" spans="2:13" ht="39.75" customHeight="1" x14ac:dyDescent="0.25">
      <c r="B11" s="112"/>
      <c r="C11" s="13" t="s">
        <v>8</v>
      </c>
      <c r="D11" s="114"/>
      <c r="E11" s="132"/>
      <c r="F11" s="134"/>
      <c r="G11" s="135"/>
      <c r="H11" s="138"/>
      <c r="I11" s="127"/>
      <c r="J11" s="138"/>
      <c r="K11" s="124"/>
      <c r="L11" s="116"/>
      <c r="M11" s="123"/>
    </row>
    <row r="12" spans="2:13" x14ac:dyDescent="0.25">
      <c r="B12" s="112" t="s">
        <v>32</v>
      </c>
      <c r="C12" s="12">
        <f>Medications_doses!D9</f>
        <v>400</v>
      </c>
      <c r="D12" s="109" t="s">
        <v>33</v>
      </c>
      <c r="E12" s="132">
        <f>Medications_doses!H9</f>
        <v>1460</v>
      </c>
      <c r="F12" s="133">
        <v>0.9</v>
      </c>
      <c r="G12" s="135">
        <v>0.7</v>
      </c>
      <c r="H12" s="127">
        <f>Medications_doses!I9</f>
        <v>4.5199999999999997E-2</v>
      </c>
      <c r="I12" s="127">
        <f>E12*F12*G12*H12</f>
        <v>41.574959999999997</v>
      </c>
      <c r="J12" s="132">
        <f>J10</f>
        <v>1030.1043520000001</v>
      </c>
      <c r="K12" s="124">
        <f>I12*J12</f>
        <v>42826.547230225922</v>
      </c>
      <c r="L12" s="116">
        <f>Medications_doses!K9*ASTHMA!J12</f>
        <v>1879.9404424000002</v>
      </c>
      <c r="M12" s="117" t="s">
        <v>84</v>
      </c>
    </row>
    <row r="13" spans="2:13" ht="35.25" customHeight="1" x14ac:dyDescent="0.25">
      <c r="B13" s="112"/>
      <c r="C13" s="12" t="s">
        <v>9</v>
      </c>
      <c r="D13" s="109"/>
      <c r="E13" s="132"/>
      <c r="F13" s="134"/>
      <c r="G13" s="135"/>
      <c r="H13" s="127"/>
      <c r="I13" s="127"/>
      <c r="J13" s="132"/>
      <c r="K13" s="124"/>
      <c r="L13" s="116"/>
      <c r="M13" s="118"/>
    </row>
    <row r="14" spans="2:13" ht="14.25" customHeight="1" x14ac:dyDescent="0.25">
      <c r="B14" s="99" t="s">
        <v>85</v>
      </c>
      <c r="C14" s="12">
        <v>500</v>
      </c>
      <c r="D14" s="97" t="s">
        <v>78</v>
      </c>
      <c r="E14" s="128">
        <f>Medications_doses!H10</f>
        <v>12.166666666666666</v>
      </c>
      <c r="F14" s="125">
        <v>0.7</v>
      </c>
      <c r="G14" s="125">
        <v>0.7</v>
      </c>
      <c r="H14" s="125">
        <f>Medications_doses!I10</f>
        <v>54.71</v>
      </c>
      <c r="I14" s="127">
        <f>E14*F14*G14*H14</f>
        <v>326.16278333333332</v>
      </c>
      <c r="J14" s="128">
        <f>J12</f>
        <v>1030.1043520000001</v>
      </c>
      <c r="K14" s="124">
        <f>I14*J14</f>
        <v>335981.70257209975</v>
      </c>
      <c r="L14" s="116">
        <f>Medications_doses!K10*ASTHMA!J14</f>
        <v>12532.936282666667</v>
      </c>
      <c r="M14" s="119" t="s">
        <v>86</v>
      </c>
    </row>
    <row r="15" spans="2:13" ht="30.75" customHeight="1" x14ac:dyDescent="0.25">
      <c r="B15" s="100"/>
      <c r="C15" s="12" t="s">
        <v>77</v>
      </c>
      <c r="D15" s="98"/>
      <c r="E15" s="129"/>
      <c r="F15" s="126"/>
      <c r="G15" s="126"/>
      <c r="H15" s="126"/>
      <c r="I15" s="127"/>
      <c r="J15" s="129"/>
      <c r="K15" s="124"/>
      <c r="L15" s="116"/>
      <c r="M15" s="119"/>
    </row>
    <row r="16" spans="2:13" x14ac:dyDescent="0.25">
      <c r="B16" s="131" t="s">
        <v>10</v>
      </c>
      <c r="C16" s="131"/>
      <c r="D16" s="131"/>
      <c r="E16" s="131"/>
      <c r="F16" s="131"/>
      <c r="G16" s="131"/>
      <c r="H16" s="131"/>
      <c r="I16" s="131"/>
      <c r="J16" s="131"/>
      <c r="K16" s="14">
        <f>SUM(K6:K15)</f>
        <v>879664.30020132568</v>
      </c>
      <c r="L16" s="14"/>
      <c r="M16" s="14"/>
    </row>
    <row r="19" spans="1:9" x14ac:dyDescent="0.25">
      <c r="A19" s="6"/>
      <c r="B19" t="s">
        <v>5</v>
      </c>
    </row>
    <row r="21" spans="1:9" x14ac:dyDescent="0.25">
      <c r="A21" s="17" t="s">
        <v>62</v>
      </c>
    </row>
    <row r="23" spans="1:9" ht="30.75" customHeight="1" x14ac:dyDescent="0.25">
      <c r="A23" s="136" t="s">
        <v>98</v>
      </c>
      <c r="B23" s="136"/>
      <c r="C23" s="136"/>
      <c r="D23" s="136"/>
      <c r="E23" s="136"/>
      <c r="F23" s="136"/>
      <c r="G23" s="136"/>
      <c r="H23" s="136"/>
      <c r="I23" s="136"/>
    </row>
    <row r="24" spans="1:9" ht="48.75" customHeight="1" x14ac:dyDescent="0.25">
      <c r="A24" s="130" t="s">
        <v>48</v>
      </c>
      <c r="B24" s="130"/>
      <c r="C24" s="130"/>
      <c r="D24" s="130"/>
      <c r="E24" s="130"/>
      <c r="F24" s="130"/>
      <c r="G24" s="130"/>
      <c r="H24" s="130"/>
      <c r="I24" s="130"/>
    </row>
    <row r="25" spans="1:9" ht="48.75" customHeight="1" x14ac:dyDescent="0.25">
      <c r="A25" s="130" t="s">
        <v>92</v>
      </c>
      <c r="B25" s="130"/>
      <c r="C25" s="130"/>
      <c r="D25" s="130"/>
      <c r="E25" s="130"/>
      <c r="F25" s="130"/>
      <c r="G25" s="130"/>
      <c r="H25" s="130"/>
      <c r="I25" s="130"/>
    </row>
    <row r="26" spans="1:9" ht="29.25" customHeight="1" x14ac:dyDescent="0.25">
      <c r="A26" s="130" t="s">
        <v>59</v>
      </c>
      <c r="B26" s="130"/>
      <c r="C26" s="130"/>
      <c r="D26" s="130"/>
      <c r="E26" s="130"/>
      <c r="F26" s="130"/>
      <c r="G26" s="130"/>
      <c r="H26" s="130"/>
      <c r="I26" s="130"/>
    </row>
  </sheetData>
  <mergeCells count="61">
    <mergeCell ref="F6:F7"/>
    <mergeCell ref="B10:B11"/>
    <mergeCell ref="D10:D11"/>
    <mergeCell ref="E10:E11"/>
    <mergeCell ref="H10:H11"/>
    <mergeCell ref="I10:I11"/>
    <mergeCell ref="A25:I25"/>
    <mergeCell ref="B12:B13"/>
    <mergeCell ref="D12:D13"/>
    <mergeCell ref="E12:E13"/>
    <mergeCell ref="H12:H13"/>
    <mergeCell ref="I12:I13"/>
    <mergeCell ref="E14:E15"/>
    <mergeCell ref="K12:K13"/>
    <mergeCell ref="K8:K9"/>
    <mergeCell ref="B6:B7"/>
    <mergeCell ref="D6:D7"/>
    <mergeCell ref="E6:E7"/>
    <mergeCell ref="F10:F11"/>
    <mergeCell ref="F12:F13"/>
    <mergeCell ref="K10:K11"/>
    <mergeCell ref="J6:J7"/>
    <mergeCell ref="K6:K7"/>
    <mergeCell ref="H6:H7"/>
    <mergeCell ref="I6:I7"/>
    <mergeCell ref="J12:J13"/>
    <mergeCell ref="J8:J9"/>
    <mergeCell ref="J10:J11"/>
    <mergeCell ref="G6:G7"/>
    <mergeCell ref="J14:J15"/>
    <mergeCell ref="A24:I24"/>
    <mergeCell ref="A26:I26"/>
    <mergeCell ref="B16:J16"/>
    <mergeCell ref="B8:B9"/>
    <mergeCell ref="D8:D9"/>
    <mergeCell ref="E8:E9"/>
    <mergeCell ref="H8:H9"/>
    <mergeCell ref="I8:I9"/>
    <mergeCell ref="F8:F9"/>
    <mergeCell ref="G10:G11"/>
    <mergeCell ref="G12:G13"/>
    <mergeCell ref="G8:G9"/>
    <mergeCell ref="A23:I23"/>
    <mergeCell ref="B14:B15"/>
    <mergeCell ref="D14:D15"/>
    <mergeCell ref="L12:L13"/>
    <mergeCell ref="M12:M13"/>
    <mergeCell ref="L14:L15"/>
    <mergeCell ref="M14:M15"/>
    <mergeCell ref="B4:M4"/>
    <mergeCell ref="L6:L7"/>
    <mergeCell ref="M6:M7"/>
    <mergeCell ref="L8:L9"/>
    <mergeCell ref="M8:M9"/>
    <mergeCell ref="L10:L11"/>
    <mergeCell ref="M10:M11"/>
    <mergeCell ref="K14:K15"/>
    <mergeCell ref="F14:F15"/>
    <mergeCell ref="G14:G15"/>
    <mergeCell ref="H14:H15"/>
    <mergeCell ref="I14:I15"/>
  </mergeCells>
  <pageMargins left="0.7" right="0.7" top="0.75" bottom="0.75" header="0.3" footer="0.3"/>
  <pageSetup scale="80" orientation="landscape" r:id="rId1"/>
  <ignoredErrors>
    <ignoredError sqref="J7 J11 J9 J1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zoomScale="67" zoomScaleNormal="67" workbookViewId="0">
      <selection activeCell="I17" sqref="I17"/>
    </sheetView>
  </sheetViews>
  <sheetFormatPr defaultRowHeight="15" x14ac:dyDescent="0.25"/>
  <cols>
    <col min="2" max="2" width="19.42578125" customWidth="1"/>
    <col min="3" max="3" width="9.140625" customWidth="1"/>
    <col min="4" max="4" width="16.5703125" customWidth="1"/>
    <col min="5" max="6" width="15.42578125" customWidth="1"/>
    <col min="7" max="7" width="14.85546875" customWidth="1"/>
    <col min="8" max="8" width="22.42578125" customWidth="1"/>
    <col min="9" max="9" width="17.140625" customWidth="1"/>
    <col min="10" max="10" width="17.42578125" customWidth="1"/>
    <col min="11" max="11" width="15.42578125" customWidth="1"/>
    <col min="12" max="12" width="20" customWidth="1"/>
    <col min="13" max="13" width="28.140625" customWidth="1"/>
  </cols>
  <sheetData>
    <row r="3" spans="2:13" ht="107.25" customHeight="1" x14ac:dyDescent="0.25">
      <c r="B3" s="15" t="s">
        <v>6</v>
      </c>
      <c r="C3" s="15" t="s">
        <v>7</v>
      </c>
      <c r="D3" s="15" t="s">
        <v>39</v>
      </c>
      <c r="E3" s="15" t="s">
        <v>38</v>
      </c>
      <c r="F3" s="15" t="s">
        <v>55</v>
      </c>
      <c r="G3" s="15" t="s">
        <v>36</v>
      </c>
      <c r="H3" s="15" t="s">
        <v>43</v>
      </c>
      <c r="I3" s="15" t="s">
        <v>40</v>
      </c>
      <c r="J3" s="15" t="s">
        <v>56</v>
      </c>
      <c r="K3" s="15" t="s">
        <v>41</v>
      </c>
      <c r="L3" s="4" t="s">
        <v>89</v>
      </c>
      <c r="M3" s="4" t="s">
        <v>80</v>
      </c>
    </row>
    <row r="4" spans="2:13" ht="35.25" customHeight="1" x14ac:dyDescent="0.25">
      <c r="B4" s="120" t="s">
        <v>42</v>
      </c>
      <c r="C4" s="121"/>
      <c r="D4" s="121"/>
      <c r="E4" s="121"/>
      <c r="F4" s="121"/>
      <c r="G4" s="121"/>
      <c r="H4" s="121"/>
      <c r="I4" s="121"/>
      <c r="J4" s="121"/>
      <c r="K4" s="121"/>
      <c r="L4" s="121"/>
      <c r="M4" s="122"/>
    </row>
    <row r="5" spans="2:13" ht="15" customHeight="1" x14ac:dyDescent="0.25">
      <c r="B5" s="99" t="s">
        <v>90</v>
      </c>
      <c r="C5" s="12">
        <v>500</v>
      </c>
      <c r="D5" s="109" t="s">
        <v>66</v>
      </c>
      <c r="E5" s="132">
        <f>Medications_doses!H11</f>
        <v>12.166666666666666</v>
      </c>
      <c r="F5" s="133">
        <v>0.6</v>
      </c>
      <c r="G5" s="133">
        <v>0.6</v>
      </c>
      <c r="H5" s="127">
        <v>54.71</v>
      </c>
      <c r="I5" s="127">
        <f>E5*H5*F5*G5</f>
        <v>239.62979999999999</v>
      </c>
      <c r="J5" s="141">
        <f>PrevaleceIncidence!D8*40%</f>
        <v>947.89839360000008</v>
      </c>
      <c r="K5" s="124">
        <f>I5*J5</f>
        <v>227144.70247868929</v>
      </c>
      <c r="L5" s="116">
        <f>Medications_doses!K11*COPD!J5</f>
        <v>11532.763788800001</v>
      </c>
      <c r="M5" s="140" t="s">
        <v>86</v>
      </c>
    </row>
    <row r="6" spans="2:13" ht="49.5" customHeight="1" x14ac:dyDescent="0.25">
      <c r="B6" s="100"/>
      <c r="C6" s="13" t="s">
        <v>8</v>
      </c>
      <c r="D6" s="114"/>
      <c r="E6" s="132"/>
      <c r="F6" s="134"/>
      <c r="G6" s="134"/>
      <c r="H6" s="138"/>
      <c r="I6" s="127"/>
      <c r="J6" s="142"/>
      <c r="K6" s="124"/>
      <c r="L6" s="116"/>
      <c r="M6" s="140"/>
    </row>
    <row r="7" spans="2:13" ht="15" customHeight="1" x14ac:dyDescent="0.25">
      <c r="B7" s="99" t="s">
        <v>44</v>
      </c>
      <c r="C7" s="12">
        <f>Medications_doses!D13</f>
        <v>200</v>
      </c>
      <c r="D7" s="109" t="s">
        <v>65</v>
      </c>
      <c r="E7" s="132">
        <f>Medications_doses!H13</f>
        <v>730</v>
      </c>
      <c r="F7" s="19">
        <v>0.95</v>
      </c>
      <c r="G7" s="133">
        <v>0.6</v>
      </c>
      <c r="H7" s="127">
        <f>Medications_doses!I13</f>
        <v>4.5199999999999997E-2</v>
      </c>
      <c r="I7" s="127">
        <f t="shared" ref="I7" si="0">E7*H7*F7*G7</f>
        <v>18.807719999999996</v>
      </c>
      <c r="J7" s="141">
        <f>J5</f>
        <v>947.89839360000008</v>
      </c>
      <c r="K7" s="124">
        <f t="shared" ref="K7" si="1">I7*J7</f>
        <v>17827.807575278588</v>
      </c>
      <c r="L7" s="116">
        <f>Medications_doses!K13*COPD!J7</f>
        <v>1729.9145683200002</v>
      </c>
      <c r="M7" s="140" t="s">
        <v>84</v>
      </c>
    </row>
    <row r="8" spans="2:13" ht="52.5" customHeight="1" x14ac:dyDescent="0.25">
      <c r="B8" s="100"/>
      <c r="C8" s="13" t="s">
        <v>8</v>
      </c>
      <c r="D8" s="109"/>
      <c r="E8" s="132"/>
      <c r="F8" s="20"/>
      <c r="G8" s="134"/>
      <c r="H8" s="127"/>
      <c r="I8" s="127"/>
      <c r="J8" s="142"/>
      <c r="K8" s="124"/>
      <c r="L8" s="116"/>
      <c r="M8" s="140"/>
    </row>
    <row r="9" spans="2:13" ht="15" customHeight="1" x14ac:dyDescent="0.25">
      <c r="B9" s="99" t="s">
        <v>91</v>
      </c>
      <c r="C9" s="13">
        <f>Medications_doses!D15</f>
        <v>18</v>
      </c>
      <c r="D9" s="97" t="s">
        <v>64</v>
      </c>
      <c r="E9" s="128">
        <f>Medications_doses!H15</f>
        <v>12.166666666666666</v>
      </c>
      <c r="F9" s="133">
        <v>0.6</v>
      </c>
      <c r="G9" s="133">
        <v>0.6</v>
      </c>
      <c r="H9" s="125">
        <f>Medications_doses!I15</f>
        <v>137.30000000000001</v>
      </c>
      <c r="I9" s="127">
        <f t="shared" ref="I9" si="2">E9*H9*F9*G9</f>
        <v>601.37399999999991</v>
      </c>
      <c r="J9" s="141">
        <f>J5</f>
        <v>947.89839360000008</v>
      </c>
      <c r="K9" s="124">
        <f t="shared" ref="K9" si="3">I9*J9</f>
        <v>570041.4485528064</v>
      </c>
      <c r="L9" s="116">
        <f>Medications_doses!K15*COPD!J9</f>
        <v>11532.763788800001</v>
      </c>
      <c r="M9" s="140" t="s">
        <v>87</v>
      </c>
    </row>
    <row r="10" spans="2:13" ht="57.75" customHeight="1" x14ac:dyDescent="0.25">
      <c r="B10" s="100"/>
      <c r="C10" s="13" t="s">
        <v>8</v>
      </c>
      <c r="D10" s="98"/>
      <c r="E10" s="129"/>
      <c r="F10" s="134"/>
      <c r="G10" s="134"/>
      <c r="H10" s="126"/>
      <c r="I10" s="127"/>
      <c r="J10" s="142"/>
      <c r="K10" s="124"/>
      <c r="L10" s="116"/>
      <c r="M10" s="140"/>
    </row>
    <row r="11" spans="2:13" x14ac:dyDescent="0.25">
      <c r="B11" s="94" t="s">
        <v>46</v>
      </c>
      <c r="C11" s="13">
        <f>Medications_doses!D17</f>
        <v>16</v>
      </c>
      <c r="D11" s="97" t="s">
        <v>47</v>
      </c>
      <c r="E11" s="128">
        <f>Medications_doses!H17</f>
        <v>2</v>
      </c>
      <c r="F11" s="133">
        <v>0.6</v>
      </c>
      <c r="G11" s="133">
        <v>0.6</v>
      </c>
      <c r="H11" s="125">
        <f>Medications_doses!I17</f>
        <v>5.26</v>
      </c>
      <c r="I11" s="127">
        <f t="shared" ref="I11" si="4">E11*H11*F11*G11</f>
        <v>3.7871999999999995</v>
      </c>
      <c r="J11" s="141">
        <f>J5</f>
        <v>947.89839360000008</v>
      </c>
      <c r="K11" s="124">
        <f t="shared" ref="K11" si="5">I11*J11</f>
        <v>3589.8807962419196</v>
      </c>
      <c r="L11" s="116">
        <f>Medications_doses!K17*COPD!J11</f>
        <v>1895.7967872000002</v>
      </c>
      <c r="M11" s="139" t="s">
        <v>88</v>
      </c>
    </row>
    <row r="12" spans="2:13" ht="42.75" customHeight="1" x14ac:dyDescent="0.25">
      <c r="B12" s="95"/>
      <c r="C12" s="13" t="s">
        <v>8</v>
      </c>
      <c r="D12" s="98"/>
      <c r="E12" s="129"/>
      <c r="F12" s="134"/>
      <c r="G12" s="134"/>
      <c r="H12" s="126"/>
      <c r="I12" s="127"/>
      <c r="J12" s="142"/>
      <c r="K12" s="124"/>
      <c r="L12" s="116"/>
      <c r="M12" s="139"/>
    </row>
    <row r="13" spans="2:13" x14ac:dyDescent="0.25">
      <c r="B13" s="39"/>
      <c r="C13" s="13"/>
      <c r="D13" s="40"/>
      <c r="E13" s="45"/>
      <c r="F13" s="43"/>
      <c r="G13" s="43"/>
      <c r="H13" s="45"/>
      <c r="I13" s="42"/>
      <c r="J13" s="44"/>
      <c r="K13" s="41"/>
      <c r="L13" s="53"/>
      <c r="M13" s="53"/>
    </row>
    <row r="14" spans="2:13" x14ac:dyDescent="0.25">
      <c r="B14" s="131" t="s">
        <v>10</v>
      </c>
      <c r="C14" s="131"/>
      <c r="D14" s="131"/>
      <c r="E14" s="131"/>
      <c r="F14" s="131"/>
      <c r="G14" s="131"/>
      <c r="H14" s="131"/>
      <c r="I14" s="131"/>
      <c r="J14" s="131"/>
      <c r="K14" s="14">
        <f>SUM(K5:K12)</f>
        <v>818603.83940301614</v>
      </c>
      <c r="L14" s="14"/>
      <c r="M14" s="14"/>
    </row>
    <row r="15" spans="2:13" x14ac:dyDescent="0.25">
      <c r="K15" s="16"/>
    </row>
    <row r="17" spans="1:9" x14ac:dyDescent="0.25">
      <c r="A17" s="6"/>
      <c r="B17" t="s">
        <v>5</v>
      </c>
    </row>
    <row r="20" spans="1:9" x14ac:dyDescent="0.25">
      <c r="A20" s="17" t="s">
        <v>62</v>
      </c>
    </row>
    <row r="22" spans="1:9" ht="84" customHeight="1" x14ac:dyDescent="0.25">
      <c r="A22" s="136" t="s">
        <v>99</v>
      </c>
      <c r="B22" s="136"/>
      <c r="C22" s="136"/>
      <c r="D22" s="136"/>
      <c r="E22" s="136"/>
      <c r="F22" s="136"/>
      <c r="G22" s="136"/>
      <c r="H22" s="136"/>
      <c r="I22" s="136"/>
    </row>
    <row r="23" spans="1:9" ht="63" customHeight="1" x14ac:dyDescent="0.25">
      <c r="A23" s="130" t="s">
        <v>50</v>
      </c>
      <c r="B23" s="130"/>
      <c r="C23" s="130"/>
      <c r="D23" s="130"/>
      <c r="E23" s="130"/>
      <c r="F23" s="130"/>
      <c r="G23" s="130"/>
      <c r="H23" s="130"/>
      <c r="I23" s="130"/>
    </row>
    <row r="24" spans="1:9" ht="42" customHeight="1" x14ac:dyDescent="0.25">
      <c r="A24" s="130" t="s">
        <v>49</v>
      </c>
      <c r="B24" s="130"/>
      <c r="C24" s="130"/>
      <c r="D24" s="130"/>
      <c r="E24" s="130"/>
      <c r="F24" s="130"/>
      <c r="G24" s="130"/>
      <c r="H24" s="130"/>
      <c r="I24" s="130"/>
    </row>
  </sheetData>
  <mergeCells count="48">
    <mergeCell ref="K5:K6"/>
    <mergeCell ref="B7:B8"/>
    <mergeCell ref="B9:B10"/>
    <mergeCell ref="E9:E10"/>
    <mergeCell ref="D9:D10"/>
    <mergeCell ref="G9:G10"/>
    <mergeCell ref="H9:H10"/>
    <mergeCell ref="F9:F10"/>
    <mergeCell ref="J7:J8"/>
    <mergeCell ref="K11:K12"/>
    <mergeCell ref="K9:K10"/>
    <mergeCell ref="D11:D12"/>
    <mergeCell ref="E11:E12"/>
    <mergeCell ref="G11:G12"/>
    <mergeCell ref="H11:H12"/>
    <mergeCell ref="F11:F12"/>
    <mergeCell ref="A23:I23"/>
    <mergeCell ref="A24:I24"/>
    <mergeCell ref="B5:B6"/>
    <mergeCell ref="D5:D6"/>
    <mergeCell ref="E5:E6"/>
    <mergeCell ref="H5:H6"/>
    <mergeCell ref="I5:I6"/>
    <mergeCell ref="I9:I10"/>
    <mergeCell ref="I11:I12"/>
    <mergeCell ref="B14:J14"/>
    <mergeCell ref="B11:B12"/>
    <mergeCell ref="G7:G8"/>
    <mergeCell ref="G5:G6"/>
    <mergeCell ref="F5:F6"/>
    <mergeCell ref="A22:I22"/>
    <mergeCell ref="J5:J6"/>
    <mergeCell ref="L11:L12"/>
    <mergeCell ref="M11:M12"/>
    <mergeCell ref="B4:M4"/>
    <mergeCell ref="L5:L6"/>
    <mergeCell ref="M5:M6"/>
    <mergeCell ref="L7:L8"/>
    <mergeCell ref="M7:M8"/>
    <mergeCell ref="L9:L10"/>
    <mergeCell ref="M9:M10"/>
    <mergeCell ref="K7:K8"/>
    <mergeCell ref="J9:J10"/>
    <mergeCell ref="J11:J12"/>
    <mergeCell ref="D7:D8"/>
    <mergeCell ref="E7:E8"/>
    <mergeCell ref="H7:H8"/>
    <mergeCell ref="I7:I8"/>
  </mergeCells>
  <pageMargins left="0.7" right="0.7" top="0.75" bottom="0.75" header="0.3" footer="0.3"/>
  <pageSetup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topLeftCell="A23" workbookViewId="0">
      <selection activeCell="G23" sqref="G23:G24"/>
    </sheetView>
  </sheetViews>
  <sheetFormatPr defaultRowHeight="15" x14ac:dyDescent="0.25"/>
  <cols>
    <col min="1" max="1" width="5" customWidth="1"/>
    <col min="2" max="2" width="24" customWidth="1"/>
    <col min="3" max="3" width="17.140625" customWidth="1"/>
    <col min="4" max="4" width="20" customWidth="1"/>
    <col min="5" max="5" width="16.140625" customWidth="1"/>
    <col min="6" max="6" width="17.140625" customWidth="1"/>
    <col min="7" max="7" width="25" customWidth="1"/>
    <col min="10" max="15" width="14" customWidth="1"/>
    <col min="16" max="16" width="20" customWidth="1"/>
  </cols>
  <sheetData>
    <row r="1" spans="2:7" x14ac:dyDescent="0.25">
      <c r="B1" s="150" t="s">
        <v>101</v>
      </c>
      <c r="C1" s="151"/>
      <c r="D1" s="151"/>
      <c r="E1" s="151"/>
      <c r="F1" s="151"/>
      <c r="G1" s="152"/>
    </row>
    <row r="2" spans="2:7" x14ac:dyDescent="0.25">
      <c r="B2" s="153"/>
      <c r="C2" s="149"/>
      <c r="D2" s="149"/>
      <c r="E2" s="149"/>
      <c r="F2" s="149"/>
      <c r="G2" s="154"/>
    </row>
    <row r="3" spans="2:7" ht="60.75" customHeight="1" x14ac:dyDescent="0.25">
      <c r="B3" s="4" t="s">
        <v>6</v>
      </c>
      <c r="C3" s="4" t="s">
        <v>13</v>
      </c>
      <c r="D3" s="65" t="s">
        <v>100</v>
      </c>
      <c r="E3" s="4" t="s">
        <v>14</v>
      </c>
      <c r="F3" s="4" t="s">
        <v>117</v>
      </c>
      <c r="G3" s="4" t="s">
        <v>80</v>
      </c>
    </row>
    <row r="4" spans="2:7" ht="15.75" hidden="1" customHeight="1" thickBot="1" x14ac:dyDescent="0.3">
      <c r="B4" s="156" t="s">
        <v>93</v>
      </c>
      <c r="C4" s="157"/>
      <c r="D4" s="157"/>
      <c r="E4" s="157"/>
      <c r="F4" s="157"/>
      <c r="G4" s="158"/>
    </row>
    <row r="5" spans="2:7" ht="39.75" customHeight="1" x14ac:dyDescent="0.25">
      <c r="B5" s="147" t="s">
        <v>108</v>
      </c>
      <c r="C5" s="146">
        <v>94.5</v>
      </c>
      <c r="D5" s="143">
        <v>1030</v>
      </c>
      <c r="E5" s="143">
        <v>97345</v>
      </c>
      <c r="F5" s="144">
        <v>41204</v>
      </c>
      <c r="G5" s="155" t="s">
        <v>81</v>
      </c>
    </row>
    <row r="6" spans="2:7" ht="39.75" customHeight="1" x14ac:dyDescent="0.25">
      <c r="B6" s="147"/>
      <c r="C6" s="146"/>
      <c r="D6" s="143"/>
      <c r="E6" s="143"/>
      <c r="F6" s="144"/>
      <c r="G6" s="155"/>
    </row>
    <row r="7" spans="2:7" ht="74.25" customHeight="1" x14ac:dyDescent="0.25">
      <c r="B7" s="72" t="s">
        <v>109</v>
      </c>
      <c r="C7" s="63">
        <v>145.80000000000001</v>
      </c>
      <c r="D7" s="67">
        <v>1030</v>
      </c>
      <c r="E7" s="67">
        <v>150189</v>
      </c>
      <c r="F7" s="64">
        <v>82408</v>
      </c>
      <c r="G7" s="68" t="s">
        <v>82</v>
      </c>
    </row>
    <row r="8" spans="2:7" ht="39.75" customHeight="1" x14ac:dyDescent="0.25">
      <c r="B8" s="147" t="s">
        <v>110</v>
      </c>
      <c r="C8" s="146">
        <v>245.92</v>
      </c>
      <c r="D8" s="146">
        <v>1030</v>
      </c>
      <c r="E8" s="143">
        <v>253322</v>
      </c>
      <c r="F8" s="144">
        <v>18799</v>
      </c>
      <c r="G8" s="155" t="s">
        <v>83</v>
      </c>
    </row>
    <row r="9" spans="2:7" ht="23.25" customHeight="1" x14ac:dyDescent="0.25">
      <c r="B9" s="147"/>
      <c r="C9" s="146"/>
      <c r="D9" s="146"/>
      <c r="E9" s="143"/>
      <c r="F9" s="144"/>
      <c r="G9" s="155"/>
    </row>
    <row r="10" spans="2:7" ht="81.75" customHeight="1" x14ac:dyDescent="0.25">
      <c r="B10" s="72" t="s">
        <v>111</v>
      </c>
      <c r="C10" s="63">
        <v>41.57</v>
      </c>
      <c r="D10" s="63">
        <v>1030</v>
      </c>
      <c r="E10" s="63">
        <v>42827</v>
      </c>
      <c r="F10" s="64">
        <v>1880</v>
      </c>
      <c r="G10" s="69" t="s">
        <v>102</v>
      </c>
    </row>
    <row r="11" spans="2:7" ht="55.5" customHeight="1" x14ac:dyDescent="0.25">
      <c r="B11" s="73" t="s">
        <v>112</v>
      </c>
      <c r="C11" s="63">
        <v>326.16000000000003</v>
      </c>
      <c r="D11" s="63">
        <v>1030</v>
      </c>
      <c r="E11" s="67">
        <v>335982</v>
      </c>
      <c r="F11" s="64">
        <v>12533</v>
      </c>
      <c r="G11" s="69" t="s">
        <v>103</v>
      </c>
    </row>
    <row r="12" spans="2:7" ht="30" customHeight="1" x14ac:dyDescent="0.25">
      <c r="B12" s="131" t="s">
        <v>10</v>
      </c>
      <c r="C12" s="131"/>
      <c r="D12" s="131"/>
      <c r="E12" s="14">
        <f>SUM(E5:E11)</f>
        <v>879665</v>
      </c>
      <c r="F12" s="71"/>
      <c r="G12" s="71"/>
    </row>
    <row r="21" spans="2:7" ht="38.25" customHeight="1" x14ac:dyDescent="0.25">
      <c r="B21" s="149" t="s">
        <v>104</v>
      </c>
      <c r="C21" s="149"/>
      <c r="D21" s="149"/>
      <c r="E21" s="149"/>
      <c r="F21" s="149"/>
      <c r="G21" s="149"/>
    </row>
    <row r="22" spans="2:7" ht="75" x14ac:dyDescent="0.25">
      <c r="B22" s="15" t="s">
        <v>6</v>
      </c>
      <c r="C22" s="15" t="s">
        <v>40</v>
      </c>
      <c r="D22" s="15" t="s">
        <v>56</v>
      </c>
      <c r="E22" s="15" t="s">
        <v>41</v>
      </c>
      <c r="F22" s="4" t="s">
        <v>117</v>
      </c>
      <c r="G22" s="4" t="s">
        <v>80</v>
      </c>
    </row>
    <row r="23" spans="2:7" x14ac:dyDescent="0.25">
      <c r="B23" s="148" t="s">
        <v>113</v>
      </c>
      <c r="C23" s="146">
        <v>239.63</v>
      </c>
      <c r="D23" s="143">
        <v>948</v>
      </c>
      <c r="E23" s="143">
        <v>227145</v>
      </c>
      <c r="F23" s="144">
        <v>11533</v>
      </c>
      <c r="G23" s="140" t="s">
        <v>86</v>
      </c>
    </row>
    <row r="24" spans="2:7" ht="50.25" customHeight="1" x14ac:dyDescent="0.25">
      <c r="B24" s="148"/>
      <c r="C24" s="146"/>
      <c r="D24" s="143"/>
      <c r="E24" s="143"/>
      <c r="F24" s="144"/>
      <c r="G24" s="140"/>
    </row>
    <row r="25" spans="2:7" x14ac:dyDescent="0.25">
      <c r="B25" s="148" t="s">
        <v>114</v>
      </c>
      <c r="C25" s="146">
        <v>18.809999999999999</v>
      </c>
      <c r="D25" s="143">
        <v>948</v>
      </c>
      <c r="E25" s="143">
        <v>17828</v>
      </c>
      <c r="F25" s="144">
        <v>1730</v>
      </c>
      <c r="G25" s="140" t="s">
        <v>84</v>
      </c>
    </row>
    <row r="26" spans="2:7" ht="78" customHeight="1" x14ac:dyDescent="0.25">
      <c r="B26" s="148"/>
      <c r="C26" s="146"/>
      <c r="D26" s="143"/>
      <c r="E26" s="143"/>
      <c r="F26" s="144"/>
      <c r="G26" s="140"/>
    </row>
    <row r="27" spans="2:7" x14ac:dyDescent="0.25">
      <c r="B27" s="148" t="s">
        <v>115</v>
      </c>
      <c r="C27" s="146">
        <v>601.37</v>
      </c>
      <c r="D27" s="143">
        <v>948</v>
      </c>
      <c r="E27" s="143">
        <v>570041</v>
      </c>
      <c r="F27" s="144">
        <v>11533</v>
      </c>
      <c r="G27" s="140" t="s">
        <v>87</v>
      </c>
    </row>
    <row r="28" spans="2:7" ht="97.5" customHeight="1" x14ac:dyDescent="0.25">
      <c r="B28" s="148"/>
      <c r="C28" s="146"/>
      <c r="D28" s="143"/>
      <c r="E28" s="143"/>
      <c r="F28" s="144"/>
      <c r="G28" s="140"/>
    </row>
    <row r="29" spans="2:7" x14ac:dyDescent="0.25">
      <c r="B29" s="147" t="s">
        <v>116</v>
      </c>
      <c r="C29" s="146">
        <v>3.79</v>
      </c>
      <c r="D29" s="143">
        <v>948</v>
      </c>
      <c r="E29" s="143">
        <v>3590</v>
      </c>
      <c r="F29" s="144">
        <v>1896</v>
      </c>
      <c r="G29" s="139" t="s">
        <v>88</v>
      </c>
    </row>
    <row r="30" spans="2:7" ht="44.25" customHeight="1" x14ac:dyDescent="0.25">
      <c r="B30" s="147"/>
      <c r="C30" s="146"/>
      <c r="D30" s="143"/>
      <c r="E30" s="143"/>
      <c r="F30" s="144"/>
      <c r="G30" s="139"/>
    </row>
    <row r="31" spans="2:7" ht="15" customHeight="1" x14ac:dyDescent="0.25">
      <c r="B31" s="145" t="s">
        <v>10</v>
      </c>
      <c r="C31" s="145"/>
      <c r="D31" s="145"/>
      <c r="E31" s="66">
        <f>SUM(E23:E30)</f>
        <v>818604</v>
      </c>
      <c r="F31" s="70"/>
      <c r="G31" s="70"/>
    </row>
  </sheetData>
  <mergeCells count="41">
    <mergeCell ref="B1:G2"/>
    <mergeCell ref="B23:B24"/>
    <mergeCell ref="C23:C24"/>
    <mergeCell ref="D23:D24"/>
    <mergeCell ref="B12:D12"/>
    <mergeCell ref="D8:D9"/>
    <mergeCell ref="E8:E9"/>
    <mergeCell ref="F8:F9"/>
    <mergeCell ref="G8:G9"/>
    <mergeCell ref="B8:B9"/>
    <mergeCell ref="C8:C9"/>
    <mergeCell ref="F5:F6"/>
    <mergeCell ref="G5:G6"/>
    <mergeCell ref="B4:G4"/>
    <mergeCell ref="B5:B6"/>
    <mergeCell ref="D5:D6"/>
    <mergeCell ref="C27:C28"/>
    <mergeCell ref="E23:E24"/>
    <mergeCell ref="F23:F24"/>
    <mergeCell ref="B27:B28"/>
    <mergeCell ref="E5:E6"/>
    <mergeCell ref="C5:C6"/>
    <mergeCell ref="G23:G24"/>
    <mergeCell ref="B25:B26"/>
    <mergeCell ref="C25:C26"/>
    <mergeCell ref="D25:D26"/>
    <mergeCell ref="B21:G21"/>
    <mergeCell ref="E25:E26"/>
    <mergeCell ref="F25:F26"/>
    <mergeCell ref="G25:G26"/>
    <mergeCell ref="B31:D31"/>
    <mergeCell ref="C29:C30"/>
    <mergeCell ref="D29:D30"/>
    <mergeCell ref="E29:E30"/>
    <mergeCell ref="F29:F30"/>
    <mergeCell ref="B29:B30"/>
    <mergeCell ref="G29:G30"/>
    <mergeCell ref="D27:D28"/>
    <mergeCell ref="E27:E28"/>
    <mergeCell ref="F27:F28"/>
    <mergeCell ref="G27:G28"/>
  </mergeCells>
  <pageMargins left="0.7" right="0.7" top="0.55000000000000004" bottom="0.75" header="0.3" footer="0.3"/>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Components</vt:lpstr>
      <vt:lpstr>PrevaleceIncidence</vt:lpstr>
      <vt:lpstr>Medications_doses</vt:lpstr>
      <vt:lpstr>ASTHMA</vt:lpstr>
      <vt:lpstr>COPD</vt:lpstr>
      <vt:lpstr>Combined_ASTHMA_COPD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2017-02-26T11:09:26Z</dcterms:modified>
</cp:coreProperties>
</file>