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0115" windowHeight="9435" tabRatio="937"/>
  </bookViews>
  <sheets>
    <sheet name="medsCVDs" sheetId="11" r:id="rId1"/>
    <sheet name="Sheet1" sheetId="12" r:id="rId2"/>
    <sheet name="Sheet2" sheetId="13" r:id="rId3"/>
    <sheet name="Sheet3" sheetId="14" r:id="rId4"/>
    <sheet name="Sheet4" sheetId="15" r:id="rId5"/>
    <sheet name="Sheet5" sheetId="16" r:id="rId6"/>
    <sheet name="Sheet6" sheetId="17" r:id="rId7"/>
    <sheet name="Sheet7" sheetId="18" r:id="rId8"/>
  </sheets>
  <calcPr calcId="145621" iterate="1"/>
</workbook>
</file>

<file path=xl/calcChain.xml><?xml version="1.0" encoding="utf-8"?>
<calcChain xmlns="http://schemas.openxmlformats.org/spreadsheetml/2006/main">
  <c r="E40" i="17" l="1"/>
  <c r="E39" i="17"/>
  <c r="D38" i="17"/>
  <c r="E38" i="17" s="1"/>
  <c r="D36" i="17"/>
  <c r="D2" i="11" l="1"/>
  <c r="O27" i="11" l="1"/>
  <c r="O16" i="11"/>
  <c r="O17" i="11"/>
  <c r="O14" i="11"/>
  <c r="M31" i="11"/>
  <c r="N31" i="11" s="1"/>
  <c r="M32" i="11"/>
  <c r="N32" i="11" s="1"/>
  <c r="M28" i="11"/>
  <c r="M27" i="11"/>
  <c r="M24" i="11"/>
  <c r="M22" i="11"/>
  <c r="M21" i="11"/>
  <c r="M20" i="11"/>
  <c r="M18" i="11"/>
  <c r="M17" i="11"/>
  <c r="M16" i="11"/>
  <c r="M15" i="11"/>
  <c r="M14" i="11"/>
  <c r="M13" i="11"/>
  <c r="M9" i="11" l="1"/>
  <c r="M8" i="11"/>
  <c r="K24" i="11"/>
  <c r="N24" i="11" s="1"/>
  <c r="K27" i="11" l="1"/>
  <c r="K17" i="11"/>
  <c r="K16" i="11"/>
  <c r="K14" i="11"/>
  <c r="N16" i="11" l="1"/>
  <c r="P16" i="11" s="1"/>
  <c r="Q16" i="11"/>
  <c r="N27" i="11"/>
  <c r="P27" i="11" s="1"/>
  <c r="Q27" i="11"/>
  <c r="N14" i="11"/>
  <c r="P14" i="11" s="1"/>
  <c r="Q14" i="11"/>
  <c r="N17" i="11"/>
  <c r="P17" i="11" s="1"/>
  <c r="Q17" i="11"/>
  <c r="K15" i="11"/>
  <c r="N15" i="11" s="1"/>
  <c r="K28" i="11"/>
  <c r="N28" i="11" s="1"/>
  <c r="K21" i="11"/>
  <c r="N21" i="11" s="1"/>
  <c r="K20" i="11" l="1"/>
  <c r="N20" i="11" s="1"/>
  <c r="K18" i="11" l="1"/>
  <c r="N18" i="11" s="1"/>
  <c r="K19" i="11"/>
  <c r="N19" i="11" s="1"/>
  <c r="K23" i="11"/>
  <c r="N23" i="11" s="1"/>
  <c r="K22" i="11"/>
  <c r="N22" i="11" s="1"/>
  <c r="K13" i="11"/>
  <c r="N13" i="11" s="1"/>
  <c r="K9" i="11"/>
  <c r="N9" i="11" s="1"/>
  <c r="K8" i="11"/>
  <c r="N8" i="11" s="1"/>
  <c r="E14" i="12" l="1"/>
  <c r="K30" i="11" l="1"/>
  <c r="N30" i="11" s="1"/>
  <c r="K29" i="11"/>
  <c r="N29" i="11" s="1"/>
  <c r="K26" i="11"/>
  <c r="N26" i="11" s="1"/>
  <c r="K25" i="11"/>
  <c r="N25" i="11" s="1"/>
  <c r="K12" i="11"/>
  <c r="N12" i="11" s="1"/>
  <c r="K10" i="11"/>
  <c r="N10" i="11" s="1"/>
  <c r="K7" i="11"/>
  <c r="N7" i="11" s="1"/>
  <c r="K6" i="11"/>
  <c r="N6" i="11" s="1"/>
  <c r="K5" i="11"/>
  <c r="N5" i="11" s="1"/>
  <c r="K11" i="11"/>
  <c r="N11" i="11" s="1"/>
  <c r="E2" i="11"/>
  <c r="F32" i="11" l="1"/>
  <c r="O32" i="11" s="1"/>
  <c r="F31" i="11"/>
  <c r="O31" i="11" s="1"/>
  <c r="F15" i="11"/>
  <c r="O15" i="11" s="1"/>
  <c r="F28" i="11"/>
  <c r="O28" i="11" s="1"/>
  <c r="F21" i="11"/>
  <c r="O21" i="11" s="1"/>
  <c r="F20" i="11"/>
  <c r="O20" i="11" s="1"/>
  <c r="F18" i="11"/>
  <c r="O18" i="11" s="1"/>
  <c r="F23" i="11"/>
  <c r="O23" i="11" s="1"/>
  <c r="F19" i="11"/>
  <c r="O19" i="11" s="1"/>
  <c r="F9" i="11"/>
  <c r="O9" i="11" s="1"/>
  <c r="F24" i="11"/>
  <c r="O24" i="11" s="1"/>
  <c r="F22" i="11"/>
  <c r="O22" i="11" s="1"/>
  <c r="F13" i="11"/>
  <c r="O13" i="11" s="1"/>
  <c r="F29" i="11"/>
  <c r="O29" i="11" s="1"/>
  <c r="P29" i="11" s="1"/>
  <c r="F8" i="11"/>
  <c r="O8" i="11" s="1"/>
  <c r="Q29" i="11"/>
  <c r="F6" i="11"/>
  <c r="F10" i="11"/>
  <c r="O10" i="11" s="1"/>
  <c r="Q10" i="11" s="1"/>
  <c r="F12" i="11"/>
  <c r="O12" i="11" s="1"/>
  <c r="Q12" i="11" s="1"/>
  <c r="F26" i="11"/>
  <c r="F30" i="11"/>
  <c r="O30" i="11" s="1"/>
  <c r="Q30" i="11" s="1"/>
  <c r="F5" i="11"/>
  <c r="F7" i="11"/>
  <c r="O7" i="11" s="1"/>
  <c r="Q7" i="11" s="1"/>
  <c r="F11" i="11"/>
  <c r="O11" i="11" s="1"/>
  <c r="Q11" i="11" s="1"/>
  <c r="F25" i="11"/>
  <c r="O25" i="11" s="1"/>
  <c r="Q25" i="11" s="1"/>
  <c r="Q8" i="11" l="1"/>
  <c r="P8" i="11"/>
  <c r="Q13" i="11"/>
  <c r="P13" i="11"/>
  <c r="Q24" i="11"/>
  <c r="P24" i="11"/>
  <c r="Q19" i="11"/>
  <c r="P19" i="11"/>
  <c r="Q18" i="11"/>
  <c r="P18" i="11"/>
  <c r="Q21" i="11"/>
  <c r="P21" i="11"/>
  <c r="Q15" i="11"/>
  <c r="P15" i="11"/>
  <c r="Q32" i="11"/>
  <c r="P32" i="11"/>
  <c r="Q22" i="11"/>
  <c r="P22" i="11"/>
  <c r="Q9" i="11"/>
  <c r="P9" i="11"/>
  <c r="Q23" i="11"/>
  <c r="P23" i="11"/>
  <c r="Q20" i="11"/>
  <c r="P20" i="11"/>
  <c r="Q28" i="11"/>
  <c r="P28" i="11"/>
  <c r="Q31" i="11"/>
  <c r="P31" i="11"/>
  <c r="O6" i="11"/>
  <c r="Q6" i="11" s="1"/>
  <c r="O5" i="11"/>
  <c r="Q5" i="11" s="1"/>
  <c r="O26" i="11"/>
  <c r="Q26" i="11" s="1"/>
  <c r="P10" i="11"/>
  <c r="P7" i="11"/>
  <c r="P11" i="11"/>
  <c r="P30" i="11"/>
  <c r="P12" i="11"/>
  <c r="P25" i="11"/>
  <c r="P5" i="11" l="1"/>
  <c r="P33" i="11" s="1"/>
  <c r="P6" i="11"/>
  <c r="P26" i="11"/>
</calcChain>
</file>

<file path=xl/sharedStrings.xml><?xml version="1.0" encoding="utf-8"?>
<sst xmlns="http://schemas.openxmlformats.org/spreadsheetml/2006/main" count="293" uniqueCount="147">
  <si>
    <t xml:space="preserve">გადათვლის ინდექსი </t>
  </si>
  <si>
    <t>საშუალო დღიური დოზა</t>
  </si>
  <si>
    <t>ჰიდროქლორთიაზიდი</t>
  </si>
  <si>
    <t>ენალაპრილი</t>
  </si>
  <si>
    <t>ამლოდიპინი</t>
  </si>
  <si>
    <t>ლოზარტანი</t>
  </si>
  <si>
    <t>მეტოპროლოლი</t>
  </si>
  <si>
    <t>ასპირინი</t>
  </si>
  <si>
    <t>მედკამენტის უტილიზაცია</t>
  </si>
  <si>
    <t>მედიკამენტის უტილიზაცია</t>
  </si>
  <si>
    <t>ბენეფიციარების რაოდენობა</t>
  </si>
  <si>
    <t>მოსახლეობის რაოდენობა</t>
  </si>
  <si>
    <t>ატორვასტატინი</t>
  </si>
  <si>
    <t>N</t>
  </si>
  <si>
    <t>მედიკამეტი</t>
  </si>
  <si>
    <t>მიზნობრივი პოპულაციის რაოდენობა</t>
  </si>
  <si>
    <t>გულის იშემიური დაავადების მართვა</t>
  </si>
  <si>
    <t>არტერიული ჰიპერტენზიის მართვა</t>
  </si>
  <si>
    <t>გულის იშემიური დაავადება მართვა</t>
  </si>
  <si>
    <t>ცერებროვასკულური დაავადება მართვა</t>
  </si>
  <si>
    <t>უმწეოთა და მარტოხელა პენსიონერების პოპულაცია</t>
  </si>
  <si>
    <t>მიზნობრივი დაავადების პრევალენტურობა n/100000 (NCDC სტატისტიკური ცნობარი)</t>
  </si>
  <si>
    <t>საშუალო დღიური დოზა (მგ/დღეში)</t>
  </si>
  <si>
    <t>ერთეულის ჯერადობა წლის განმავლობაში   (n   ტაბლეტი)</t>
  </si>
  <si>
    <t>ატორისი "KRKA"</t>
  </si>
  <si>
    <t>ასპირინი კარდიო "ბაირ შერინგი"</t>
  </si>
  <si>
    <t>მეტოპროლოლი "მერკლი"</t>
  </si>
  <si>
    <t>ჰიპოთიაზიდი "სანოფი-ავენტისი)</t>
  </si>
  <si>
    <t>ნორმოდიპინი "გედეონ რიხტერი"</t>
  </si>
  <si>
    <t>კოზაარი "MS&amp;Dom I"</t>
  </si>
  <si>
    <t>ენაპი "KRKA"</t>
  </si>
  <si>
    <t>მოთხოვნილი ბიუჯეტირებადი ერთეული 1 წლის განმავლობაში            (n ტაბლეტი)</t>
  </si>
  <si>
    <t>გადათვლის დაშვებები</t>
  </si>
  <si>
    <t>ფორმულის შემცველი ველები</t>
  </si>
  <si>
    <t>დაშვებები დაფუძნებულია  საქართველოში 2015 წლისათვის არსებულ დაავადებათა გავრცელების მაჩნებლებზე 100000 მოსახლეზე (NC DC სტატისტიკური ცნობარი 2016) და საერთაშორისო კლინკურ და ეპიდემიოლოგიურ მტკიცებულებებზე, მათ შორის ასახულზე ეროვნულ კლინიკურ რეკომენდაციებში</t>
  </si>
  <si>
    <t>მიზნობრივი პოპულაცია</t>
  </si>
  <si>
    <t>უმწეოები (470000 მოზრდილი) და მარტოხელა პენსიონერები (126000 მოზრდილი) - სულ 596 000 პირი.  ქრ. არაგადამდები დაავადებების (მ.შ. გსდ-ს სპეციფიური) ეპიდემიოლოგიური მაჩვენებლები მიზნობრივი პოპულაციისათვის შესწავლილი არ არის, თუმცაძირითადი დემოგრაფიული მონაცემებით სარწმუნო განსხვავება ქვეყნის მთლიან პოპულაციასთან შედარებით არ დგინდება. ამდენად, პოტენციური ბენეფიციარების რაოდენობის გადათვლისას გამოყენებული იქნა აქტუალური ძირითადი დაავადებების გავრცელების მაჩვენებლები, რომლებიც მოწოდებულია ქვეყნის საერთო პოპულაციისთვის)</t>
  </si>
  <si>
    <t>მიზნობრივობა</t>
  </si>
  <si>
    <t xml:space="preserve"> მიზნობრივობა</t>
  </si>
  <si>
    <t>მედიკამენტები</t>
  </si>
  <si>
    <t>ყველაზე ხშირად გამოვლენადი გულ-სისხლძარღვთა დაავადებები (არტერიული ჰიპერტენზია, გულის იშემური დაავადება, ცერებროვასკულური დაავადება) , რომლებსაც განმსაზღვრელი მნიშვნელობა აქვთ ავადობის, ინვალიდობის და სიკვდილობის განვითარებაში</t>
  </si>
  <si>
    <t>ნიმუში ერთეულის საცალო ფასის გაანგარიშებისთვის</t>
  </si>
  <si>
    <t>ესენციური მედიკამენტები, რომლებიც თანამედროვე კლინიკური რეკომენდაციებით გამოიყენება აღნიშნული დაავადებების ქრონიკული მედიკამეტური მკურნალობისათვის (მონოთერაპიაში, კომბინაციებში და მაღალი ეფექტურობის მეკიკამენტურ ნაკრებებში) რუტინულ ამბულატორიულ კლინიკურ პრაქტიკაში.</t>
  </si>
  <si>
    <t>გადათვლებისას დაშვებულია მედიკამენტების მაღალი უტილიზაცია - 80%. დიკამენტების გამოყენებას შეზღუდავს ძირითად უკუჩვენებები, მოსალოდნელი გვერდითი ეფექტები , წამლის აუტანლობა - ჯამში ბენეფიციართა 20%-ში. ლოზარტანის (არბ) შედარებით დაბალი უტილიზაცია (20%) გათვალისწინებულია იმის გამო, რომ იგი წარმოადგენს ენალაპრილის (აგე-ი-ის) ალტერნატივას უკუჩვენებების, მოსალოდნელი გვერდითი ეფექტების , წამლის აუტანლობის პირობებში გამოყენებისათვის. ჰიდროქლორთიაზიდის 40%-იანი უტილიზაცია გათვალისწინებულია იმ განსჯით, რომ არტერიული ჰიპერტენზიის მართვისთვის მისი გამოყენება უპირატესად სხვა მედიკამენტთან კომბინაციაში ხდება, ხოლო არტერიული ჰიპერტენზიის მართვისთვის შემთხვევების უმეტესობაში (2 მედიკამენტი) გამოყენებული იქნება ენალაპრილის (აგე-ი-ის) და ამლოდიპინის (კალციუმის არხების ბლოკატორი) შემთხვევათა 60%-ში.</t>
  </si>
  <si>
    <t>დამყოლობის მაჩვენებელი (%) ზოგადად დაავადების მედიკამენტური მკურნალობისთვის</t>
  </si>
  <si>
    <t>დამყოლობის მაჩვენებელი (%)</t>
  </si>
  <si>
    <t>მედიკამენტური მკურნალობის სერვისებზე ბენეფიციართა (პაციენტთა) დამყოლობის მაჩვენებლად დაშვებულია 60% - საშუალოზე მაღალი მაჩვენებელი, რაც დაფუძნებულია შემდეგ დაშვებაზე: დადგენილი გულსისხლძარღვთა დაავადებების (გულის იშემიური დაავადება, ცერებროვასკულური დაავადება) მქონე პაციენტთა დამყოლობა მედიკამენტურ მკურნლობაზე მაღალია (70-80%), სოლო არტერიული ჰიპერტენზიით პაციენტებში - დაბალია (საშუალოდ 50%-მდე).</t>
  </si>
  <si>
    <t>შეესაბამება მიზნობრივი დაავადებების ხანგრძლივი მედიკამენტური მართვისთვის რეკომედებულ დოზებს</t>
  </si>
  <si>
    <t>ნიმუში მედიკამენტის ერთეულის საცალო ფასის დადგენისთვის</t>
  </si>
  <si>
    <t>ფასის დადგენისთვის შერჩეულია სააფთიაქო ქსელში დღეს არსებული ჯენერიკული მედიკამენტის მომწოდებელი ევროპული ფარმაცევტული კომპანიების მედიკამენტებზე დადგენილი ფასები</t>
  </si>
  <si>
    <t>ბიუჯეტირებადი ერთეული          (მგ-იანი ტაბლეტი)</t>
  </si>
  <si>
    <t>ერთეულის საცალო ფასი ლარში</t>
  </si>
  <si>
    <t>წლიური თანხა ერთ ბენეფიციარზე</t>
  </si>
  <si>
    <t>წლიური ბიუჯეტი ლარში</t>
  </si>
  <si>
    <t>კარვედილოლი</t>
  </si>
  <si>
    <t>ვერაპამილი</t>
  </si>
  <si>
    <t>კაპტოპრილი</t>
  </si>
  <si>
    <t>სპირონოლაქტონი</t>
  </si>
  <si>
    <t>ფუროსემიდი</t>
  </si>
  <si>
    <t>ნიტროგლიცერინი</t>
  </si>
  <si>
    <t>იზოსორბიდდინიტრატი</t>
  </si>
  <si>
    <t>კლოპიდოგრელი</t>
  </si>
  <si>
    <t>ვარფარინი</t>
  </si>
  <si>
    <t>ამიოდარონი</t>
  </si>
  <si>
    <t>ენალაპრილი/ჰიდროქლორთიაზიდი</t>
  </si>
  <si>
    <t>ლოსარტანი/ჰიდროქლორთიაზიდი</t>
  </si>
  <si>
    <t>დიგოქსინი</t>
  </si>
  <si>
    <t>ჰიდრალაზინი</t>
  </si>
  <si>
    <t>გადატანილი კორონარული რევასკულარიზაცია</t>
  </si>
  <si>
    <t>20/12.5</t>
  </si>
  <si>
    <t>50/12.5</t>
  </si>
  <si>
    <t>კაპტოპრილი "Jelfa"</t>
  </si>
  <si>
    <t>ტალიტონი "EGIS"</t>
  </si>
  <si>
    <t>კორდარონი "CHINION"</t>
  </si>
  <si>
    <t>ნიტროგლიცერინი "ზდოროვიე"</t>
  </si>
  <si>
    <t>ნიტროსორბიდი "ტატქიმფარმი"</t>
  </si>
  <si>
    <t>-</t>
  </si>
  <si>
    <t>ფინოპტინი "Orion"</t>
  </si>
  <si>
    <t>ვეროშპირონი "გედეონ რიხტერი"</t>
  </si>
  <si>
    <t>ფუროსემიდი "მილტანი ფარმ"</t>
  </si>
  <si>
    <t>დიგოქსინი "გრინდექსი"</t>
  </si>
  <si>
    <t>ზილტი "KRKA"</t>
  </si>
  <si>
    <t>ვარფარინი "Takeda"</t>
  </si>
  <si>
    <t>ლორისტა H "KRKA"</t>
  </si>
  <si>
    <t>კო-რენიტეკი "MS&amp;Dom I"</t>
  </si>
  <si>
    <t>უმწეოთა, მარტოხელა პენსიონერების პოპულაცია და 70000 -100000 ქულის მქონე პირები</t>
  </si>
  <si>
    <r>
      <t>წლიური</t>
    </r>
    <r>
      <rPr>
        <b/>
        <sz val="12"/>
        <color rgb="FFFF0000"/>
        <rFont val="Calibri"/>
        <family val="2"/>
        <charset val="204"/>
        <scheme val="minor"/>
      </rPr>
      <t xml:space="preserve"> </t>
    </r>
    <r>
      <rPr>
        <b/>
        <sz val="12"/>
        <color rgb="FFFF0000"/>
        <rFont val="Sylfaen"/>
        <family val="1"/>
        <charset val="204"/>
      </rPr>
      <t>ბიუჯეტი ლარში</t>
    </r>
  </si>
  <si>
    <t>ჰიპოტენზიური (აგფ-ინჰიბიტორი)</t>
  </si>
  <si>
    <t>ლოსარტანი</t>
  </si>
  <si>
    <t>ჰიპოტენზიური (ანგიოტენზინ II ანტაგონისტი)</t>
  </si>
  <si>
    <t>ჰიპოტენზიური (კალციუმის არხების ბლოკატორი)</t>
  </si>
  <si>
    <t>ენალაპრილზე გვერდითი მოვლენების შემთხვევაში გადადიან ლოსარტანზე.</t>
  </si>
  <si>
    <t>სწრაფი მოქმედების, მონოთერაპიის სახით.</t>
  </si>
  <si>
    <t>ბეტა-ადრენობლოკატორი (ბეტა-1 რეცეპტორების სელექციური ბლოკადა)</t>
  </si>
  <si>
    <t>ბეტა-ადრენობლოკატორი (ალფა და ბეტა ადრენობლოკატორი)</t>
  </si>
  <si>
    <t>მედიკამენტი</t>
  </si>
  <si>
    <t>III კლასის ანტიარითმიული საშუალება</t>
  </si>
  <si>
    <t>ვაზოდილატაციური საშუალება</t>
  </si>
  <si>
    <t>ხანმოკლე მოქმედების, ანგიგანლური შეტევების დროს</t>
  </si>
  <si>
    <t>სასურველია იზოსორბიდის მონონიტრატი, რომელიც უკეთ შეიწოვება და ახასიათებს ხავგრძლივი მოქმედება</t>
  </si>
  <si>
    <t>ანტითრომბოზული (ვიტამინ K აგონისტი)</t>
  </si>
  <si>
    <t>ანტითრომბოზული (თრომბოციტების აგრეგაციის ინჰიბიტორი)</t>
  </si>
  <si>
    <t>საგულე გლიკოზიდი</t>
  </si>
  <si>
    <t>შარდმდენი საშუალება</t>
  </si>
  <si>
    <t>გულის უკმარისობა+არტერიული ჰიპერტენზია მსუბუქი და ზომიერი ფორმები</t>
  </si>
  <si>
    <t>გულის უკმარისობა+არტერიული ჰიპერტენზია მძიმე ფორმები</t>
  </si>
  <si>
    <t>გულის უკმარისობა+ციროზი</t>
  </si>
  <si>
    <t>ჰიპოლიპიდემიური საშუალება</t>
  </si>
  <si>
    <t>არარეგისტრირებულია</t>
  </si>
  <si>
    <r>
      <t xml:space="preserve">მიზნობრივი დაავადების გათვლილი პრევალენტურობა </t>
    </r>
    <r>
      <rPr>
        <vertAlign val="superscript"/>
        <sz val="12"/>
        <color theme="1"/>
        <rFont val="Calibri"/>
        <family val="2"/>
        <charset val="204"/>
        <scheme val="minor"/>
      </rPr>
      <t>3, 7, 8</t>
    </r>
    <r>
      <rPr>
        <sz val="12"/>
        <color theme="1"/>
        <rFont val="Calibri"/>
        <family val="2"/>
        <scheme val="minor"/>
      </rPr>
      <t xml:space="preserve"> </t>
    </r>
  </si>
  <si>
    <r>
      <t xml:space="preserve">მიზნობრივი პოპულაციის რაოდენობა </t>
    </r>
    <r>
      <rPr>
        <vertAlign val="superscript"/>
        <sz val="12"/>
        <color theme="1"/>
        <rFont val="Calibri"/>
        <family val="2"/>
        <charset val="204"/>
        <scheme val="minor"/>
      </rPr>
      <t>9, 10, 11, 12</t>
    </r>
  </si>
  <si>
    <r>
      <t>ბიუჯეტირებადი</t>
    </r>
    <r>
      <rPr>
        <sz val="12"/>
        <color theme="1"/>
        <rFont val="Calibri"/>
        <family val="2"/>
        <charset val="204"/>
        <scheme val="minor"/>
      </rPr>
      <t xml:space="preserve"> </t>
    </r>
    <r>
      <rPr>
        <sz val="12"/>
        <color theme="1"/>
        <rFont val="Sylfaen"/>
        <family val="1"/>
        <charset val="204"/>
      </rPr>
      <t>ერთეული          (მგ-იანი ტაბლეტი)</t>
    </r>
  </si>
  <si>
    <r>
      <t>ერთეულის</t>
    </r>
    <r>
      <rPr>
        <sz val="12"/>
        <color theme="1"/>
        <rFont val="Calibri"/>
        <family val="2"/>
        <charset val="204"/>
        <scheme val="minor"/>
      </rPr>
      <t xml:space="preserve"> </t>
    </r>
    <r>
      <rPr>
        <sz val="12"/>
        <color theme="1"/>
        <rFont val="Sylfaen"/>
        <family val="1"/>
        <charset val="204"/>
      </rPr>
      <t>საცალო</t>
    </r>
    <r>
      <rPr>
        <sz val="12"/>
        <color theme="1"/>
        <rFont val="Calibri"/>
        <family val="2"/>
        <charset val="204"/>
        <scheme val="minor"/>
      </rPr>
      <t xml:space="preserve"> </t>
    </r>
    <r>
      <rPr>
        <sz val="12"/>
        <color theme="1"/>
        <rFont val="Sylfaen"/>
        <family val="1"/>
        <charset val="204"/>
      </rPr>
      <t>ფასი ლარში</t>
    </r>
  </si>
  <si>
    <r>
      <t>წლიური</t>
    </r>
    <r>
      <rPr>
        <b/>
        <sz val="12"/>
        <color rgb="FFFF0000"/>
        <rFont val="Calibri"/>
        <family val="2"/>
        <charset val="204"/>
        <scheme val="minor"/>
      </rPr>
      <t xml:space="preserve"> </t>
    </r>
    <r>
      <rPr>
        <b/>
        <sz val="12"/>
        <color rgb="FFFF0000"/>
        <rFont val="Sylfaen"/>
        <family val="1"/>
        <charset val="204"/>
      </rPr>
      <t>თანხა</t>
    </r>
    <r>
      <rPr>
        <b/>
        <sz val="12"/>
        <color rgb="FFFF0000"/>
        <rFont val="Calibri"/>
        <family val="2"/>
        <charset val="204"/>
        <scheme val="minor"/>
      </rPr>
      <t xml:space="preserve"> </t>
    </r>
    <r>
      <rPr>
        <b/>
        <sz val="12"/>
        <color rgb="FFFF0000"/>
        <rFont val="Sylfaen"/>
        <family val="1"/>
        <charset val="204"/>
      </rPr>
      <t>ერთ</t>
    </r>
    <r>
      <rPr>
        <b/>
        <sz val="12"/>
        <color rgb="FFFF0000"/>
        <rFont val="Calibri"/>
        <family val="2"/>
        <charset val="204"/>
        <scheme val="minor"/>
      </rPr>
      <t xml:space="preserve"> </t>
    </r>
    <r>
      <rPr>
        <b/>
        <sz val="12"/>
        <color rgb="FFFF0000"/>
        <rFont val="Sylfaen"/>
        <family val="1"/>
        <charset val="204"/>
      </rPr>
      <t>ბენეფიციარზე</t>
    </r>
  </si>
  <si>
    <r>
      <t>არტერიული ჰიპერტენზიის მართვა</t>
    </r>
    <r>
      <rPr>
        <vertAlign val="superscript"/>
        <sz val="12"/>
        <color theme="1"/>
        <rFont val="Calibri"/>
        <family val="2"/>
        <charset val="204"/>
        <scheme val="minor"/>
      </rPr>
      <t>1</t>
    </r>
  </si>
  <si>
    <r>
      <t>გულის უკმარისობა</t>
    </r>
    <r>
      <rPr>
        <vertAlign val="superscript"/>
        <sz val="12"/>
        <color theme="1"/>
        <rFont val="Calibri"/>
        <family val="2"/>
        <charset val="204"/>
        <scheme val="minor"/>
      </rPr>
      <t>2</t>
    </r>
  </si>
  <si>
    <r>
      <t xml:space="preserve">პარკუჭოვანი არითმიები (მაღალი გრადაციის) </t>
    </r>
    <r>
      <rPr>
        <vertAlign val="superscript"/>
        <sz val="12"/>
        <color theme="1"/>
        <rFont val="Calibri"/>
        <family val="2"/>
        <charset val="204"/>
        <scheme val="minor"/>
      </rPr>
      <t>9</t>
    </r>
  </si>
  <si>
    <r>
      <t xml:space="preserve">მოციმციმე არითმიის მართვა </t>
    </r>
    <r>
      <rPr>
        <vertAlign val="superscript"/>
        <sz val="12"/>
        <color theme="1"/>
        <rFont val="Calibri"/>
        <family val="2"/>
        <charset val="204"/>
        <scheme val="minor"/>
      </rPr>
      <t>7, 8</t>
    </r>
  </si>
  <si>
    <r>
      <t>სტაბილური სტენოკარდია</t>
    </r>
    <r>
      <rPr>
        <vertAlign val="superscript"/>
        <sz val="12"/>
        <color theme="1"/>
        <rFont val="Calibri"/>
        <family val="2"/>
        <charset val="204"/>
        <scheme val="minor"/>
      </rPr>
      <t>10</t>
    </r>
  </si>
  <si>
    <r>
      <t>სტაბილური სტენოკარდია</t>
    </r>
    <r>
      <rPr>
        <vertAlign val="superscript"/>
        <sz val="12"/>
        <color theme="1"/>
        <rFont val="Calibri"/>
        <family val="2"/>
        <charset val="204"/>
        <scheme val="minor"/>
      </rPr>
      <t>11</t>
    </r>
  </si>
  <si>
    <r>
      <t>გულის უკმარისობა</t>
    </r>
    <r>
      <rPr>
        <vertAlign val="superscript"/>
        <sz val="12"/>
        <color theme="1"/>
        <rFont val="Calibri"/>
        <family val="2"/>
        <charset val="204"/>
        <scheme val="minor"/>
      </rPr>
      <t>2,4</t>
    </r>
  </si>
  <si>
    <r>
      <t xml:space="preserve">გულის იშემიური დაავადების მართვა </t>
    </r>
    <r>
      <rPr>
        <vertAlign val="superscript"/>
        <sz val="12"/>
        <color theme="1"/>
        <rFont val="Calibri"/>
        <family val="2"/>
        <charset val="204"/>
        <scheme val="minor"/>
      </rPr>
      <t>5</t>
    </r>
  </si>
  <si>
    <r>
      <t xml:space="preserve">სუპრავენტრიკულური არითმიების მართვა </t>
    </r>
    <r>
      <rPr>
        <vertAlign val="superscript"/>
        <sz val="12"/>
        <color theme="1"/>
        <rFont val="Calibri"/>
        <family val="2"/>
        <charset val="204"/>
        <scheme val="minor"/>
      </rPr>
      <t>6</t>
    </r>
  </si>
  <si>
    <r>
      <t xml:space="preserve">მოციმციმე არითმიის მართვა </t>
    </r>
    <r>
      <rPr>
        <vertAlign val="superscript"/>
        <sz val="12"/>
        <color theme="1"/>
        <rFont val="Calibri"/>
        <family val="2"/>
        <charset val="204"/>
        <scheme val="minor"/>
      </rPr>
      <t>7</t>
    </r>
  </si>
  <si>
    <r>
      <t xml:space="preserve">არტერიული ჰიპერტენზია </t>
    </r>
    <r>
      <rPr>
        <vertAlign val="superscript"/>
        <sz val="12"/>
        <color theme="1"/>
        <rFont val="Calibri"/>
        <family val="2"/>
        <charset val="204"/>
        <scheme val="minor"/>
      </rPr>
      <t>13</t>
    </r>
  </si>
  <si>
    <r>
      <rPr>
        <vertAlign val="superscript"/>
        <sz val="12"/>
        <color theme="1"/>
        <rFont val="Calibri"/>
        <family val="2"/>
        <charset val="204"/>
        <scheme val="minor"/>
      </rPr>
      <t>1</t>
    </r>
    <r>
      <rPr>
        <sz val="12"/>
        <color theme="1"/>
        <rFont val="Calibri"/>
        <family val="2"/>
        <scheme val="minor"/>
      </rPr>
      <t xml:space="preserve"> კაპტოპრილი - არტერიული ჰიპერტენზიის მართვისათვის ხანმოკლე მოქმედების აგე ინჰიბიტორი გამოყენება, მ.შ. არაკონტროლირებული არტერიული ჰიპერტენზიის შემთხვევები, რომლებისთვისაც საჭიროა ხანმოკლე მოქმედების ანტიჰიპერტენხიული მედიკამენტის დოზის დამატება</t>
    </r>
  </si>
  <si>
    <r>
      <rPr>
        <vertAlign val="superscript"/>
        <sz val="12"/>
        <color theme="1"/>
        <rFont val="Calibri"/>
        <family val="2"/>
        <charset val="204"/>
        <scheme val="minor"/>
      </rPr>
      <t>2</t>
    </r>
    <r>
      <rPr>
        <sz val="12"/>
        <color theme="1"/>
        <rFont val="Calibri"/>
        <family val="2"/>
        <scheme val="minor"/>
      </rPr>
      <t xml:space="preserve"> კაპტოპრილი - გულის უკმარისობის შემთხვევები, რომლებისთვისაც ნაჩვენებია ხანმოკლე მოქმედების აგე ინჰიბირების სუბჰიპოტენზიური დოზების გამოყენება </t>
    </r>
  </si>
  <si>
    <r>
      <rPr>
        <vertAlign val="superscript"/>
        <sz val="12"/>
        <color theme="1"/>
        <rFont val="Calibri"/>
        <family val="2"/>
        <charset val="204"/>
        <scheme val="minor"/>
      </rPr>
      <t xml:space="preserve">3 </t>
    </r>
    <r>
      <rPr>
        <sz val="12"/>
        <color theme="1"/>
        <rFont val="Calibri"/>
        <family val="2"/>
        <charset val="204"/>
        <scheme val="minor"/>
      </rPr>
      <t>გულის უკმარისობის პრევალენტურობის მაჩვენებელი საქართველოსთვის შეფასებული არ არის.</t>
    </r>
    <r>
      <rPr>
        <vertAlign val="superscript"/>
        <sz val="12"/>
        <color theme="1"/>
        <rFont val="Calibri"/>
        <family val="2"/>
        <charset val="204"/>
        <scheme val="minor"/>
      </rPr>
      <t xml:space="preserve"> </t>
    </r>
    <r>
      <rPr>
        <sz val="12"/>
        <color theme="1"/>
        <rFont val="Calibri"/>
        <family val="2"/>
        <scheme val="minor"/>
      </rPr>
      <t>გულის უკმარისობის გლობალური გავრცელება შეფასების განსხვავებული კრიტერიუმების მიხედვით ბოლო დეკადის განმავლობაში საერთო მოსახლეობის 1.9-3%-ს შეადგენდა, რაც პრევალენტურობაზე გათვლით საშუალოდ შეადგენდა 2450/100000</t>
    </r>
  </si>
  <si>
    <r>
      <rPr>
        <vertAlign val="superscript"/>
        <sz val="12"/>
        <color theme="1"/>
        <rFont val="Calibri"/>
        <family val="2"/>
        <charset val="204"/>
        <scheme val="minor"/>
      </rPr>
      <t>4</t>
    </r>
    <r>
      <rPr>
        <sz val="12"/>
        <color theme="1"/>
        <rFont val="Calibri"/>
        <family val="2"/>
        <charset val="204"/>
        <scheme val="minor"/>
      </rPr>
      <t xml:space="preserve"> გულის უკმარისობის შემთხვევები მძიმე ფუნქციური შეზღუდვებით (III-Ivფ.კ. NYHA), რომლებშიც როგორც აგე ინჰიბიტორის, ასევე არბ-ის გამოყენება, შეზღუდულია აუტანლობის ან გვერდითი ეფექტების გამო. ჰიდრალაზინი ჩვეულებრივ გამოიყნება იზოსორბიდდინიტრატთან კომბინაციაში, ჩვეულებრივб ამ მედიკამენტებით ინდუცირებული ტაქიკარდიის შემთხვევაში მოითხოვება </t>
    </r>
    <r>
      <rPr>
        <sz val="12"/>
        <color theme="1"/>
        <rFont val="Calibri"/>
        <family val="2"/>
        <charset val="204"/>
      </rPr>
      <t>β-</t>
    </r>
    <r>
      <rPr>
        <sz val="12"/>
        <color theme="1"/>
        <rFont val="Calibri"/>
        <family val="2"/>
        <charset val="204"/>
        <scheme val="minor"/>
      </rPr>
      <t>ბლოკერის კომბინაციაც.</t>
    </r>
  </si>
  <si>
    <r>
      <rPr>
        <vertAlign val="superscript"/>
        <sz val="12"/>
        <color theme="1"/>
        <rFont val="Calibri"/>
        <family val="2"/>
        <charset val="204"/>
        <scheme val="minor"/>
      </rPr>
      <t>5</t>
    </r>
    <r>
      <rPr>
        <sz val="12"/>
        <color theme="1"/>
        <rFont val="Calibri"/>
        <family val="2"/>
        <charset val="204"/>
        <scheme val="minor"/>
      </rPr>
      <t xml:space="preserve"> ვერაპამილი - გულის იშემიური დაავადების შემთხვევები, რომლებშიც ნაჩვენებია b-ბლოკერი, თუმცა მისი გამოყენება შეზღუდულია უკუჩვენებებით </t>
    </r>
  </si>
  <si>
    <r>
      <rPr>
        <vertAlign val="superscript"/>
        <sz val="12"/>
        <color theme="1"/>
        <rFont val="Calibri"/>
        <family val="2"/>
        <charset val="204"/>
        <scheme val="minor"/>
      </rPr>
      <t>6</t>
    </r>
    <r>
      <rPr>
        <sz val="12"/>
        <color theme="1"/>
        <rFont val="Calibri"/>
        <family val="2"/>
        <charset val="204"/>
        <scheme val="minor"/>
      </rPr>
      <t xml:space="preserve"> ვერაპამილი - სუპრავენტრიკულური არითმიების შემთხვევები, რომლებშიც ნაჩვენებია ბ-ბლოკერის გამოყენება, თუმცა მისი გამოყენება შეზღუდულია უკუჩვენებებით</t>
    </r>
  </si>
  <si>
    <r>
      <rPr>
        <vertAlign val="superscript"/>
        <sz val="12"/>
        <color theme="1"/>
        <rFont val="Calibri"/>
        <family val="2"/>
        <charset val="204"/>
        <scheme val="minor"/>
      </rPr>
      <t>7</t>
    </r>
    <r>
      <rPr>
        <sz val="12"/>
        <color theme="1"/>
        <rFont val="Calibri"/>
        <family val="2"/>
        <charset val="204"/>
        <scheme val="minor"/>
      </rPr>
      <t xml:space="preserve"> გლობალურად სუპრავენტრიკულური ტაქიარითმიის (მოციმციმე არითმია, სიმპტომური სუპრავენტრიკულური ექსტრასისტოლია)  შემთხვევების გავრცელება მოზრდილ მოსახლეობაში 1.9 -3.1%-ს შეადგენს, საშუალო გათვლებით შეიძლება ვივარუდო პრევანლენტურობა - 2300/100000</t>
    </r>
  </si>
  <si>
    <r>
      <rPr>
        <vertAlign val="superscript"/>
        <sz val="12"/>
        <color theme="1"/>
        <rFont val="Calibri"/>
        <family val="2"/>
        <charset val="204"/>
        <scheme val="minor"/>
      </rPr>
      <t>8</t>
    </r>
    <r>
      <rPr>
        <sz val="12"/>
        <color theme="1"/>
        <rFont val="Calibri"/>
        <family val="2"/>
        <charset val="204"/>
        <scheme val="minor"/>
      </rPr>
      <t xml:space="preserve"> ამიოდარონი სუპრავენტრიკულური ტაქიარითმიების მართვის სარეზერვო მედიკამენტს წარმოადგენს, გამოიყენება მას შემდეგ, რაც ბ-ბლოკერებით, ვერაპამილით, ან გულის უკმარისობის პირობებში დიგოქსინით, ან კომბინაციებით მართვა, შეფასებულია უშედეგოდ.</t>
    </r>
  </si>
  <si>
    <r>
      <rPr>
        <vertAlign val="superscript"/>
        <sz val="12"/>
        <color theme="1"/>
        <rFont val="Calibri"/>
        <family val="2"/>
        <charset val="204"/>
        <scheme val="minor"/>
      </rPr>
      <t>9</t>
    </r>
    <r>
      <rPr>
        <sz val="12"/>
        <color theme="1"/>
        <rFont val="Calibri"/>
        <family val="2"/>
        <charset val="204"/>
        <scheme val="minor"/>
      </rPr>
      <t xml:space="preserve"> ამიოდარონის გამოყენება მაღალი გრადაციის პარკუჭოვანი არითმიის დროს უეცარი სიკვდილის (არითმიული) რისკის შემცირებისათვის. გლობალურად გულსისხლძარღვთა დაავადებებით გამოწვეული სიკვდილობის 25% შეფასებულია, როგორც უეცარი სიკვდილით განპირობებული. მ.შ. გულის უკამრისობის შემთვევები პარკუჭოვანი არითმიით და გადატანილი მიოკარდიუმის ინფარქტის შემთხვევები პარკუჭოვანი არითმიით . 2015 წლისათვის საქართველოს მთლიან მოსახლეობაში რეგისტრირებული იყო სისხლის მიმოქცევის სისტემის დაავადებებით გამოწვეული სიკვდილობის 20916 შემთხვევა, მათგან სავარაუდოდ 25% - 5230 შემთხვევა შეიძლება შეფასებული იქნას როგორც უეცარი სიკვდილი. შერჩეულ პოპულაციაში - უმწეო, მარტოხელა პენსიონერები, 70000-100000 ქულის მქონე პირები, უეცარი სიკვდილი გათვლილი შემთხვევების რიცხვი უნდა შეადგენდეს 1015-ს. გულის უკამარისობის გავრცელების გათვლილი მაჩვენებლის და ფრემინგემის კვლევის შეფასებით უეცარი სიკვდილის მაღალი რისკი სიხშირსი (15%) მაჩვენებლის მიხედვით ამიოდარონის გამოყენება სავარუდოა კიდევ 2660 შემთხვევაში (15% 14651-იდან) . 2015 წლისათვის დაავადებათა კონტროლის ეროვნული ცენტრის მონაცემებით ქვეყნის საერთო პოპულაციაში აღრიცხულია გადატანილი მიოკარდიუმის ინფარქტის 9100 შემთხვევა, ფრემინგემის კვლევის მონაცემებით უეცარი სიკვდილის რისკი ვლინდება გადატანილი მიოკარდიუმის ინფარქტის 30%-ში - 2730 შემთხვევა. შერჩეულ პოპულაციაში - უმწეო, მარტოხელა პენსიონერები, 70000-100000 ქულის მქონე პირები, უეცარი სიკვდილი გათვლილი შემთხვევების რიცხვი უნდა შეადგენდეს 440 შემთხვევას. ანუ შერჩეულ პოლულაციაში პარკუჭოვანი არითმიით განპირობებული რისკის შემცირებისათვის ამიოდარონი სავარაუდოდ გამოყენებული უნდა იქნას 1015+2660+530=4206 შემთხვევაში.</t>
    </r>
  </si>
  <si>
    <r>
      <rPr>
        <vertAlign val="superscript"/>
        <sz val="12"/>
        <color theme="1"/>
        <rFont val="Calibri"/>
        <family val="2"/>
        <charset val="204"/>
        <scheme val="minor"/>
      </rPr>
      <t>10</t>
    </r>
    <r>
      <rPr>
        <sz val="12"/>
        <color theme="1"/>
        <rFont val="Calibri"/>
        <family val="2"/>
        <charset val="204"/>
        <scheme val="minor"/>
      </rPr>
      <t xml:space="preserve"> ნიტროგლიცერინი გამოყენება სტაბილური სტენოკარდიით პაციენტებში სტენოკარდიული შეტევის კუპირებისათვის. 2015 წელს დაავადებათა კონტროლის ეროვნული ცენტრის მონაცემებით საერთო პოპულაციაში აღრიცხულია სტენოკარდიის 23549 შემთხვევა. შერჩეულ პოპულაციაზე გადაანგარიშებით - 4580 შემთხვევა. </t>
    </r>
  </si>
  <si>
    <r>
      <rPr>
        <vertAlign val="superscript"/>
        <sz val="12"/>
        <color theme="1"/>
        <rFont val="Calibri"/>
        <family val="2"/>
        <charset val="204"/>
        <scheme val="minor"/>
      </rPr>
      <t>11</t>
    </r>
    <r>
      <rPr>
        <sz val="12"/>
        <color theme="1"/>
        <rFont val="Calibri"/>
        <family val="2"/>
        <charset val="204"/>
        <scheme val="minor"/>
      </rPr>
      <t xml:space="preserve"> იზოსორბიდდინიტრატის გამოყენება სტაბილური სტენოკარდიის მქონე პირებში, რომლებშიც ბ-ბლოკერით ან კალციუმის არხების ბლოკერებით ვერ ხეხდება სტენოკარდიის რეგრესია. 2015 წელს დაავადებათა კონტროლის ეროვნული ცენტრის მონაცემებით საერთო პოპულაციაში აღრიცხულია სტენოკარდიის 23549 შემთხვევა. შერჩეულ პოპულაციაზე გადაანგარიშებით - 3780 შემთხვევა. </t>
    </r>
  </si>
  <si>
    <r>
      <rPr>
        <vertAlign val="superscript"/>
        <sz val="12"/>
        <color theme="1"/>
        <rFont val="Calibri"/>
        <family val="2"/>
        <charset val="204"/>
        <scheme val="minor"/>
      </rPr>
      <t>12</t>
    </r>
    <r>
      <rPr>
        <sz val="12"/>
        <color theme="1"/>
        <rFont val="Calibri"/>
        <family val="2"/>
        <charset val="204"/>
        <scheme val="minor"/>
      </rPr>
      <t xml:space="preserve"> კლოპიდოგრელის გამოყენება ნავარაუდევია  იმ პირებში, რომლებსაც გადატანილი აქვთ კორონარული არტერიების შუნტირება და ანგიოპლასტიკა. 2015 წლის დაავადებათა კონტროლის ეროვნული ცენტრის მონაცემებით ზოგად პოპულაციაში ჩატარებულია 2659 კორონარული არტერიების შუნტირება და 10005 კორონარული არტერიების ანგიოპლასტიკა. შერჩეულ პოპულაციაზე გადაანგარიშებით ასეთი შემთხვევების რაოდენობა უნდა შეადგენდეს სავარაუდოდ 2460-ს</t>
    </r>
  </si>
  <si>
    <r>
      <rPr>
        <vertAlign val="superscript"/>
        <sz val="12"/>
        <color theme="1"/>
        <rFont val="Calibri"/>
        <family val="2"/>
        <charset val="204"/>
        <scheme val="minor"/>
      </rPr>
      <t xml:space="preserve">13 </t>
    </r>
    <r>
      <rPr>
        <sz val="12"/>
        <color theme="1"/>
        <rFont val="Calibri"/>
        <family val="2"/>
        <charset val="204"/>
        <scheme val="minor"/>
      </rPr>
      <t>კომბინირებული ანტიჰიპერტენზიული მედიკამენტების (ენალაპრილი/ჰიდროქლორთიაზიდი, ლოსარტანი/ჰიდროქლორთიაზიდი) გამოყენება ნავარაუდევია კონტროლირებული ჰიპერტენზიის შემთხვევებში, როდესაც ჰიპერტენზიის კონტროლი უკვე მიღწეული იქნა აღნიშნულ კომბინაციაში შემავალი მედიკამენტების ცალკ-ცალკე დოზირების ფორმებით. ასეთი პირების რაოდენობა სავარაუდოდ 30%-მდე შეიძლება იყოს.</t>
    </r>
  </si>
  <si>
    <t>ენალაპრილი ბრადიკინინის დაქვეითების გამო მრავალ პაციენტში იწვევს ხველებას და ანგიოედემას, რის გამოც აღნიშნული კატეგორია საჭიროებს აგფ-ინჰიბიტორებიდან ანგიოტენზინ-II რეცეპტორების ბლოკატორებზე (ლოსარტანი)  გადასვლას, რომელთაც აღნიშნული გვერდითი მოვლენები ნაკლებად ახასიათებს.</t>
  </si>
  <si>
    <t xml:space="preserve">ანტიჰიპერტენზიული მოქმედება განპირობებულია კალციუმის ნელი არხების ბლოკადით და უჯრედში Ca იონების შეღწევის დათრგუნვით. </t>
  </si>
  <si>
    <t xml:space="preserve">აგრეთვე ახასიათებს ანტიარითმული მოქმედება.
გულში CA2+ იონების შეღწევის დათრგუნვით
</t>
  </si>
  <si>
    <t>გულის უკმარისობის, არითმიის, არტერიული ჰიპერტენზიის, სტენოკარდიის და მიოკარდიუმის ინფარქტის დროს.</t>
  </si>
  <si>
    <t>გულის უკმარისობის დროს, ასევე ფეოქრომოციტული კრიზის და კლონიდის მოხსნის შედეგად განვითარებული მოხსნის სინდრომის პრევენციისათვის.</t>
  </si>
  <si>
    <t>ასპირინს პატარა დოზებშიც გააჩნია გარკვეული წინააღმდეგჩვენება კუჭის წყლულის გამწვავების პერიოდში და მისი პერფორაციის საშიშროებისას, რაც არ ახასიათებს კლოპიდოგრელს. გარდა ამისა, ასპირინის კომბინირება კლოპიდოგრელთან ხასიათდება სინერგისტული ეფექტით, რის გამოც მათ უნიშნავენ კომბინაციაში უფრო მძიმე პროცესების დროს.</t>
  </si>
  <si>
    <t>ჰიპოტენზიური (კომბინირებული)</t>
  </si>
  <si>
    <t>მოქმედების მექანიზმი</t>
  </si>
  <si>
    <t>შენიშვნა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</si>
</sst>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21" x14ac:knownFonts="1">
    <font>
      <sz val="11"/>
      <color theme="1"/>
      <name val="Calibri"/>
      <family val="2"/>
      <scheme val="minor"/>
    </font>
    <font>
      <sz val="11"/>
      <color theme="1"/>
      <name val="Calibri"/>
      <family val="2"/>
      <charset val="204"/>
      <scheme val="minor"/>
    </font>
    <font>
      <b/>
      <sz val="12"/>
      <color rgb="FF000099"/>
      <name val="Calibri"/>
      <family val="2"/>
      <charset val="204"/>
      <scheme val="minor"/>
    </font>
    <font>
      <sz val="11"/>
      <name val="Calibri"/>
      <family val="2"/>
      <charset val="204"/>
      <scheme val="minor"/>
    </font>
    <font>
      <b/>
      <sz val="11"/>
      <color theme="1"/>
      <name val="Calibri"/>
      <family val="2"/>
      <charset val="204"/>
      <scheme val="minor"/>
    </font>
    <font>
      <b/>
      <sz val="11"/>
      <color theme="1"/>
      <name val="Calibri"/>
      <family val="2"/>
      <scheme val="minor"/>
    </font>
    <font>
      <sz val="11"/>
      <color theme="1"/>
      <name val="Sylfaen"/>
      <family val="1"/>
      <charset val="204"/>
    </font>
    <font>
      <sz val="11"/>
      <color theme="1"/>
      <name val="Calibri"/>
      <family val="2"/>
      <scheme val="minor"/>
    </font>
    <font>
      <b/>
      <sz val="11"/>
      <name val="Sylfaen"/>
      <family val="1"/>
      <charset val="204"/>
    </font>
    <font>
      <b/>
      <sz val="11"/>
      <name val="Calibri"/>
      <family val="2"/>
      <charset val="204"/>
      <scheme val="minor"/>
    </font>
    <font>
      <b/>
      <sz val="12"/>
      <color theme="1"/>
      <name val="Calibri"/>
      <family val="2"/>
      <scheme val="minor"/>
    </font>
    <font>
      <b/>
      <sz val="12"/>
      <color rgb="FFFF0000"/>
      <name val="Sylfaen"/>
      <family val="1"/>
      <charset val="204"/>
    </font>
    <font>
      <b/>
      <sz val="12"/>
      <color rgb="FFFF0000"/>
      <name val="Calibri"/>
      <family val="2"/>
      <charset val="204"/>
      <scheme val="minor"/>
    </font>
    <font>
      <b/>
      <sz val="12"/>
      <color rgb="FFFF0000"/>
      <name val="Calibri"/>
      <family val="2"/>
      <scheme val="minor"/>
    </font>
    <font>
      <sz val="12"/>
      <color theme="1"/>
      <name val="Calibri"/>
      <family val="2"/>
      <scheme val="minor"/>
    </font>
    <font>
      <b/>
      <sz val="12"/>
      <color theme="1"/>
      <name val="Calibri"/>
      <family val="2"/>
      <charset val="204"/>
      <scheme val="minor"/>
    </font>
    <font>
      <sz val="12"/>
      <name val="Calibri"/>
      <family val="2"/>
      <charset val="204"/>
      <scheme val="minor"/>
    </font>
    <font>
      <vertAlign val="superscript"/>
      <sz val="12"/>
      <color theme="1"/>
      <name val="Calibri"/>
      <family val="2"/>
      <charset val="204"/>
      <scheme val="minor"/>
    </font>
    <font>
      <sz val="12"/>
      <color theme="1"/>
      <name val="Sylfaen"/>
      <family val="1"/>
      <charset val="204"/>
    </font>
    <font>
      <sz val="12"/>
      <color theme="1"/>
      <name val="Calibri"/>
      <family val="2"/>
      <charset val="204"/>
      <scheme val="minor"/>
    </font>
    <font>
      <sz val="12"/>
      <color theme="1"/>
      <name val="Calibri"/>
      <family val="2"/>
      <charset val="204"/>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6" tint="0.59999389629810485"/>
        <bgColor indexed="64"/>
      </patternFill>
    </fill>
    <fill>
      <patternFill patternType="solid">
        <fgColor theme="3"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9" fontId="7" fillId="0" borderId="0" applyFont="0" applyFill="0" applyBorder="0" applyAlignment="0" applyProtection="0"/>
    <xf numFmtId="43" fontId="7" fillId="0" borderId="0" applyFont="0" applyFill="0" applyBorder="0" applyAlignment="0" applyProtection="0"/>
  </cellStyleXfs>
  <cellXfs count="110">
    <xf numFmtId="0" fontId="0" fillId="0" borderId="0" xfId="0"/>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0" fillId="2" borderId="0" xfId="0" applyFont="1" applyFill="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xf numFmtId="0" fontId="0" fillId="0" borderId="1" xfId="0" applyFill="1" applyBorder="1" applyAlignment="1">
      <alignment vertical="center"/>
    </xf>
    <xf numFmtId="0" fontId="0" fillId="0" borderId="1" xfId="0" applyFill="1" applyBorder="1" applyAlignment="1">
      <alignment vertical="center" wrapText="1"/>
    </xf>
    <xf numFmtId="164" fontId="0" fillId="0" borderId="1" xfId="0" applyNumberFormat="1" applyBorder="1"/>
    <xf numFmtId="2" fontId="2" fillId="0" borderId="0" xfId="0" applyNumberFormat="1" applyFont="1" applyBorder="1" applyAlignment="1">
      <alignment horizontal="center" vertical="top" wrapText="1"/>
    </xf>
    <xf numFmtId="0" fontId="0" fillId="0" borderId="1" xfId="0" applyFill="1" applyBorder="1"/>
    <xf numFmtId="164" fontId="0" fillId="0" borderId="1" xfId="0" applyNumberFormat="1" applyFill="1" applyBorder="1"/>
    <xf numFmtId="9" fontId="0" fillId="0" borderId="1" xfId="1" applyFont="1" applyBorder="1" applyAlignment="1">
      <alignment horizontal="center"/>
    </xf>
    <xf numFmtId="1" fontId="0" fillId="0" borderId="1" xfId="0" applyNumberFormat="1" applyBorder="1" applyAlignment="1">
      <alignment horizontal="center" vertical="center"/>
    </xf>
    <xf numFmtId="164" fontId="0" fillId="0" borderId="1" xfId="0" applyNumberFormat="1" applyBorder="1" applyAlignment="1">
      <alignment horizontal="center" vertical="center"/>
    </xf>
    <xf numFmtId="2" fontId="0" fillId="0" borderId="1" xfId="0" applyNumberFormat="1" applyBorder="1"/>
    <xf numFmtId="2" fontId="0" fillId="0" borderId="1" xfId="0" applyNumberFormat="1" applyFill="1" applyBorder="1"/>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1" xfId="0" applyFont="1" applyBorder="1" applyAlignment="1">
      <alignment vertical="center" wrapText="1"/>
    </xf>
    <xf numFmtId="2" fontId="2" fillId="0" borderId="0" xfId="0" applyNumberFormat="1" applyFont="1" applyBorder="1" applyAlignment="1">
      <alignment horizontal="center" vertical="center" wrapText="1"/>
    </xf>
    <xf numFmtId="0" fontId="0" fillId="0" borderId="1" xfId="0" applyBorder="1" applyAlignment="1">
      <alignment horizontal="left" vertical="center" wrapText="1"/>
    </xf>
    <xf numFmtId="164" fontId="0" fillId="0" borderId="1" xfId="0" applyNumberFormat="1" applyFont="1" applyBorder="1"/>
    <xf numFmtId="0" fontId="0" fillId="0" borderId="1" xfId="0" applyFont="1" applyBorder="1"/>
    <xf numFmtId="164" fontId="0" fillId="0" borderId="1" xfId="0" applyNumberFormat="1" applyFont="1" applyFill="1" applyBorder="1"/>
    <xf numFmtId="0" fontId="8" fillId="2" borderId="1" xfId="0"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2" fontId="0" fillId="0" borderId="1" xfId="0" applyNumberFormat="1" applyFill="1" applyBorder="1" applyAlignment="1">
      <alignment horizontal="center" vertical="center"/>
    </xf>
    <xf numFmtId="1" fontId="0" fillId="0" borderId="1" xfId="0" applyNumberFormat="1" applyFill="1" applyBorder="1" applyAlignment="1">
      <alignment horizontal="center" vertical="center"/>
    </xf>
    <xf numFmtId="1" fontId="0" fillId="0" borderId="1" xfId="0" applyNumberFormat="1" applyFill="1" applyBorder="1"/>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10" fillId="0" borderId="0" xfId="0" applyFont="1"/>
    <xf numFmtId="0" fontId="11" fillId="2" borderId="1" xfId="0" applyFont="1" applyFill="1" applyBorder="1" applyAlignment="1">
      <alignment horizontal="center" vertical="center" wrapText="1"/>
    </xf>
    <xf numFmtId="2" fontId="10" fillId="2" borderId="1" xfId="0" applyNumberFormat="1" applyFont="1" applyFill="1" applyBorder="1"/>
    <xf numFmtId="2" fontId="13" fillId="0" borderId="0" xfId="0" applyNumberFormat="1" applyFont="1"/>
    <xf numFmtId="0" fontId="14" fillId="0" borderId="0" xfId="0" applyFont="1"/>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Border="1" applyAlignment="1">
      <alignment horizontal="center" vertical="top" wrapText="1"/>
    </xf>
    <xf numFmtId="2" fontId="14" fillId="0" borderId="0" xfId="0" applyNumberFormat="1" applyFont="1"/>
    <xf numFmtId="0" fontId="14" fillId="0" borderId="1" xfId="0" applyFont="1" applyBorder="1" applyAlignment="1">
      <alignment horizontal="left" vertical="center" wrapText="1"/>
    </xf>
    <xf numFmtId="1" fontId="16" fillId="0" borderId="1" xfId="0" applyNumberFormat="1" applyFont="1" applyBorder="1" applyAlignment="1">
      <alignment horizontal="center" vertical="center" wrapText="1"/>
    </xf>
    <xf numFmtId="0" fontId="14" fillId="0" borderId="0" xfId="0" applyFont="1" applyBorder="1" applyAlignment="1">
      <alignment horizontal="center" vertical="center" wrapText="1"/>
    </xf>
    <xf numFmtId="1" fontId="16" fillId="0" borderId="0" xfId="0" applyNumberFormat="1" applyFont="1" applyBorder="1" applyAlignment="1">
      <alignment horizontal="center" vertical="center" wrapText="1"/>
    </xf>
    <xf numFmtId="0" fontId="14" fillId="2" borderId="0" xfId="0" applyFont="1" applyFill="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vertical="center"/>
    </xf>
    <xf numFmtId="1" fontId="14" fillId="0" borderId="1" xfId="0" applyNumberFormat="1" applyFont="1" applyBorder="1" applyAlignment="1">
      <alignment horizontal="center" vertical="center"/>
    </xf>
    <xf numFmtId="9" fontId="14" fillId="0" borderId="1" xfId="1" applyFont="1" applyBorder="1" applyAlignment="1">
      <alignment horizontal="center"/>
    </xf>
    <xf numFmtId="0" fontId="14" fillId="0" borderId="1" xfId="0" applyFont="1" applyBorder="1"/>
    <xf numFmtId="164" fontId="14" fillId="0" borderId="1" xfId="0" applyNumberFormat="1" applyFont="1" applyBorder="1"/>
    <xf numFmtId="2" fontId="14" fillId="0" borderId="1" xfId="0" applyNumberFormat="1" applyFont="1" applyBorder="1"/>
    <xf numFmtId="2" fontId="14" fillId="2" borderId="1" xfId="0" applyNumberFormat="1" applyFont="1" applyFill="1" applyBorder="1" applyAlignment="1">
      <alignment horizontal="center" vertical="center"/>
    </xf>
    <xf numFmtId="1" fontId="14" fillId="2" borderId="1" xfId="0" applyNumberFormat="1" applyFont="1" applyFill="1" applyBorder="1" applyAlignment="1">
      <alignment horizontal="center" vertical="center"/>
    </xf>
    <xf numFmtId="1" fontId="14" fillId="2" borderId="1" xfId="0" applyNumberFormat="1" applyFont="1" applyFill="1" applyBorder="1"/>
    <xf numFmtId="0" fontId="14" fillId="0" borderId="1" xfId="0" applyFont="1" applyFill="1" applyBorder="1" applyAlignment="1">
      <alignment vertical="center"/>
    </xf>
    <xf numFmtId="0" fontId="14" fillId="0" borderId="1" xfId="0" applyFont="1" applyFill="1" applyBorder="1" applyAlignment="1">
      <alignment vertical="center" wrapText="1"/>
    </xf>
    <xf numFmtId="2" fontId="14" fillId="0" borderId="1" xfId="0" applyNumberFormat="1" applyFont="1" applyFill="1" applyBorder="1"/>
    <xf numFmtId="164" fontId="14" fillId="0" borderId="1" xfId="0" applyNumberFormat="1" applyFont="1" applyBorder="1" applyAlignment="1">
      <alignment horizontal="center" vertical="center"/>
    </xf>
    <xf numFmtId="0" fontId="14" fillId="0" borderId="1" xfId="0" applyFont="1" applyFill="1" applyBorder="1"/>
    <xf numFmtId="164" fontId="14" fillId="0" borderId="1" xfId="0" applyNumberFormat="1" applyFont="1" applyFill="1" applyBorder="1"/>
    <xf numFmtId="0" fontId="14" fillId="2" borderId="0" xfId="0" applyFont="1" applyFill="1"/>
    <xf numFmtId="2" fontId="12" fillId="0" borderId="0" xfId="0" applyNumberFormat="1" applyFont="1"/>
    <xf numFmtId="0" fontId="14" fillId="0" borderId="0" xfId="0" applyFont="1" applyFill="1"/>
    <xf numFmtId="0" fontId="19" fillId="0" borderId="0" xfId="0" applyFont="1"/>
    <xf numFmtId="1" fontId="14" fillId="0" borderId="0" xfId="0" applyNumberFormat="1" applyFont="1" applyFill="1" applyBorder="1" applyAlignment="1">
      <alignment horizontal="center" vertical="center"/>
    </xf>
    <xf numFmtId="0" fontId="19" fillId="0" borderId="0" xfId="0" applyFont="1" applyAlignment="1"/>
    <xf numFmtId="0" fontId="15" fillId="0" borderId="1" xfId="0" applyFont="1" applyBorder="1" applyAlignment="1">
      <alignment vertical="center"/>
    </xf>
    <xf numFmtId="0" fontId="14" fillId="0" borderId="1" xfId="0" applyFont="1" applyBorder="1" applyAlignment="1">
      <alignment wrapText="1"/>
    </xf>
    <xf numFmtId="0" fontId="15" fillId="0" borderId="1" xfId="0" applyFont="1" applyBorder="1" applyAlignment="1">
      <alignment horizontal="left" vertical="center"/>
    </xf>
    <xf numFmtId="0" fontId="14" fillId="0" borderId="2" xfId="0" applyFont="1" applyBorder="1" applyAlignment="1">
      <alignment horizontal="left" vertical="center" wrapText="1"/>
    </xf>
    <xf numFmtId="0" fontId="14" fillId="0" borderId="1" xfId="0" applyFont="1" applyBorder="1" applyAlignment="1">
      <alignment horizontal="left" vertical="center" wrapText="1"/>
    </xf>
    <xf numFmtId="0" fontId="19" fillId="0" borderId="1" xfId="0" applyFont="1" applyBorder="1" applyAlignment="1">
      <alignment horizontal="left" vertical="center" wrapText="1"/>
    </xf>
    <xf numFmtId="0" fontId="15" fillId="0" borderId="1" xfId="0" applyFont="1" applyBorder="1" applyAlignment="1">
      <alignment vertical="center" wrapText="1"/>
    </xf>
    <xf numFmtId="0" fontId="14" fillId="3" borderId="0" xfId="0" applyFont="1" applyFill="1"/>
    <xf numFmtId="0" fontId="14" fillId="3" borderId="0" xfId="0" applyFont="1" applyFill="1" applyBorder="1" applyAlignment="1">
      <alignment horizontal="center" vertical="center" wrapText="1"/>
    </xf>
    <xf numFmtId="0" fontId="10" fillId="3" borderId="0" xfId="0" applyFont="1" applyFill="1" applyAlignment="1">
      <alignment horizontal="center" vertical="center"/>
    </xf>
    <xf numFmtId="0" fontId="14" fillId="3" borderId="0" xfId="0" applyFont="1" applyFill="1" applyAlignment="1">
      <alignment horizontal="center" vertical="center"/>
    </xf>
    <xf numFmtId="0" fontId="14"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0" applyFont="1" applyFill="1" applyBorder="1" applyAlignment="1">
      <alignment vertical="center"/>
    </xf>
    <xf numFmtId="43" fontId="10" fillId="4" borderId="3" xfId="2" applyFont="1" applyFill="1" applyBorder="1" applyAlignment="1">
      <alignment horizontal="center" vertical="center"/>
    </xf>
    <xf numFmtId="0" fontId="14" fillId="4" borderId="1" xfId="0" applyFont="1" applyFill="1" applyBorder="1" applyAlignment="1">
      <alignment vertical="center" wrapText="1"/>
    </xf>
    <xf numFmtId="0" fontId="14" fillId="3" borderId="1" xfId="0" applyFont="1" applyFill="1" applyBorder="1" applyAlignment="1">
      <alignment vertical="center"/>
    </xf>
    <xf numFmtId="43" fontId="10" fillId="3" borderId="3" xfId="2" applyFont="1" applyFill="1" applyBorder="1" applyAlignment="1">
      <alignment horizontal="center" vertical="center"/>
    </xf>
    <xf numFmtId="0" fontId="14" fillId="3" borderId="1" xfId="0" applyFont="1" applyFill="1" applyBorder="1" applyAlignment="1">
      <alignment vertical="center" wrapText="1"/>
    </xf>
    <xf numFmtId="0" fontId="14" fillId="5" borderId="1" xfId="0" applyFont="1" applyFill="1" applyBorder="1" applyAlignment="1">
      <alignment horizontal="center" vertical="center"/>
    </xf>
    <xf numFmtId="0" fontId="14" fillId="5" borderId="1" xfId="0" applyFont="1" applyFill="1" applyBorder="1" applyAlignment="1">
      <alignment vertical="center"/>
    </xf>
    <xf numFmtId="43" fontId="10" fillId="5" borderId="3" xfId="2" applyFont="1" applyFill="1" applyBorder="1" applyAlignment="1">
      <alignment horizontal="center" vertical="center"/>
    </xf>
    <xf numFmtId="0" fontId="14" fillId="5" borderId="1" xfId="0" applyFont="1" applyFill="1" applyBorder="1" applyAlignment="1">
      <alignment vertical="center" wrapText="1"/>
    </xf>
    <xf numFmtId="43" fontId="10" fillId="3" borderId="1" xfId="2" applyFont="1" applyFill="1" applyBorder="1" applyAlignment="1">
      <alignment horizontal="center" vertical="center"/>
    </xf>
    <xf numFmtId="0" fontId="19" fillId="3" borderId="0" xfId="0" applyFont="1" applyFill="1"/>
    <xf numFmtId="43" fontId="10" fillId="3" borderId="0" xfId="0" applyNumberFormat="1" applyFont="1" applyFill="1" applyAlignment="1">
      <alignment horizontal="center" vertical="center"/>
    </xf>
    <xf numFmtId="0" fontId="19" fillId="3" borderId="0" xfId="0" applyFont="1" applyFill="1" applyAlignment="1"/>
    <xf numFmtId="43" fontId="14" fillId="3" borderId="0" xfId="0" applyNumberFormat="1" applyFont="1" applyFill="1"/>
  </cellXfs>
  <cellStyles count="3">
    <cellStyle name="Comma" xfId="2" builtinId="3"/>
    <cellStyle name="Normal" xfId="0" builtinId="0"/>
    <cellStyle name="Percent" xfId="1" builtinId="5"/>
  </cellStyles>
  <dxfs count="0"/>
  <tableStyles count="0" defaultTableStyle="TableStyleMedium9" defaultPivotStyle="PivotStyleLight16"/>
  <colors>
    <mruColors>
      <color rgb="FF000099"/>
      <color rgb="FFFF9900"/>
      <color rgb="FF6633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tabSelected="1" zoomScaleNormal="100" workbookViewId="0">
      <pane xSplit="2" ySplit="4" topLeftCell="L5" activePane="bottomRight" state="frozen"/>
      <selection pane="topRight" activeCell="C1" sqref="C1"/>
      <selection pane="bottomLeft" activeCell="A6" sqref="A6"/>
      <selection pane="bottomRight" activeCell="K13" sqref="K13"/>
    </sheetView>
  </sheetViews>
  <sheetFormatPr defaultRowHeight="15.75" x14ac:dyDescent="0.25"/>
  <cols>
    <col min="1" max="1" width="4.42578125" style="44" customWidth="1"/>
    <col min="2" max="2" width="40.5703125" style="44" customWidth="1"/>
    <col min="3" max="3" width="48.85546875" style="44" customWidth="1"/>
    <col min="4" max="4" width="21.28515625" style="44" customWidth="1"/>
    <col min="5" max="5" width="20.7109375" style="44" customWidth="1"/>
    <col min="6" max="6" width="17.5703125" style="44" customWidth="1"/>
    <col min="7" max="7" width="20.42578125" style="44" customWidth="1"/>
    <col min="8" max="8" width="20.28515625" style="44" customWidth="1"/>
    <col min="9" max="9" width="19" style="44" customWidth="1"/>
    <col min="10" max="10" width="17" style="44" customWidth="1"/>
    <col min="11" max="11" width="36" style="44" customWidth="1"/>
    <col min="12" max="12" width="36.42578125" style="44" customWidth="1"/>
    <col min="13" max="13" width="18.42578125" style="44" customWidth="1"/>
    <col min="14" max="14" width="21.85546875" style="44" customWidth="1"/>
    <col min="15" max="15" width="21.28515625" style="44" customWidth="1"/>
    <col min="16" max="16" width="21.7109375" style="40" customWidth="1"/>
    <col min="17" max="17" width="22.140625" style="44" customWidth="1"/>
    <col min="18" max="16384" width="9.140625" style="44"/>
  </cols>
  <sheetData>
    <row r="1" spans="1:17" ht="31.5" x14ac:dyDescent="0.25">
      <c r="C1" s="45"/>
      <c r="D1" s="46" t="s">
        <v>11</v>
      </c>
      <c r="E1" s="47" t="s">
        <v>0</v>
      </c>
      <c r="F1" s="48"/>
      <c r="G1" s="48"/>
      <c r="H1" s="49"/>
      <c r="I1" s="49"/>
    </row>
    <row r="2" spans="1:17" ht="47.25" x14ac:dyDescent="0.25">
      <c r="C2" s="50" t="s">
        <v>85</v>
      </c>
      <c r="D2" s="51">
        <f>470000+128000</f>
        <v>598000</v>
      </c>
      <c r="E2" s="23">
        <f>D2/100000</f>
        <v>5.98</v>
      </c>
      <c r="F2" s="12"/>
      <c r="G2" s="12"/>
      <c r="I2" s="49"/>
    </row>
    <row r="3" spans="1:17" x14ac:dyDescent="0.25">
      <c r="C3" s="52"/>
      <c r="D3" s="53"/>
      <c r="E3" s="25"/>
      <c r="F3" s="12"/>
      <c r="G3" s="12"/>
    </row>
    <row r="4" spans="1:17" s="54" customFormat="1" ht="122.25" customHeight="1" x14ac:dyDescent="0.25">
      <c r="A4" s="54" t="s">
        <v>13</v>
      </c>
      <c r="B4" s="55" t="s">
        <v>14</v>
      </c>
      <c r="C4" s="55" t="s">
        <v>38</v>
      </c>
      <c r="D4" s="56" t="s">
        <v>21</v>
      </c>
      <c r="E4" s="56" t="s">
        <v>109</v>
      </c>
      <c r="F4" s="56" t="s">
        <v>110</v>
      </c>
      <c r="G4" s="57" t="s">
        <v>8</v>
      </c>
      <c r="H4" s="57" t="s">
        <v>44</v>
      </c>
      <c r="I4" s="56" t="s">
        <v>22</v>
      </c>
      <c r="J4" s="57" t="s">
        <v>111</v>
      </c>
      <c r="K4" s="57" t="s">
        <v>23</v>
      </c>
      <c r="L4" s="57" t="s">
        <v>41</v>
      </c>
      <c r="M4" s="57" t="s">
        <v>112</v>
      </c>
      <c r="N4" s="41" t="s">
        <v>113</v>
      </c>
      <c r="O4" s="41" t="s">
        <v>10</v>
      </c>
      <c r="P4" s="41" t="s">
        <v>86</v>
      </c>
      <c r="Q4" s="58" t="s">
        <v>31</v>
      </c>
    </row>
    <row r="5" spans="1:17" ht="15" customHeight="1" x14ac:dyDescent="0.25">
      <c r="A5" s="59">
        <v>1</v>
      </c>
      <c r="B5" s="60" t="s">
        <v>3</v>
      </c>
      <c r="C5" s="60" t="s">
        <v>17</v>
      </c>
      <c r="D5" s="59">
        <v>7457.2</v>
      </c>
      <c r="E5" s="59"/>
      <c r="F5" s="61">
        <f>D5*E2</f>
        <v>44594.056000000004</v>
      </c>
      <c r="G5" s="62">
        <v>0.6</v>
      </c>
      <c r="H5" s="62">
        <v>0.6</v>
      </c>
      <c r="I5" s="63">
        <v>22.5</v>
      </c>
      <c r="J5" s="63">
        <v>20</v>
      </c>
      <c r="K5" s="64">
        <f>I5/J5*365</f>
        <v>410.625</v>
      </c>
      <c r="L5" s="64" t="s">
        <v>30</v>
      </c>
      <c r="M5" s="65">
        <v>0.23</v>
      </c>
      <c r="N5" s="66">
        <f>G5*H5*K5*M5</f>
        <v>33.999749999999999</v>
      </c>
      <c r="O5" s="67">
        <f t="shared" ref="O5:O12" si="0">F5*G5*H5</f>
        <v>16053.86016</v>
      </c>
      <c r="P5" s="42">
        <f>N5*O5</f>
        <v>545827.23197495996</v>
      </c>
      <c r="Q5" s="68">
        <f>O5*K5</f>
        <v>6592116.3282000003</v>
      </c>
    </row>
    <row r="6" spans="1:17" x14ac:dyDescent="0.25">
      <c r="A6" s="59"/>
      <c r="B6" s="60"/>
      <c r="C6" s="60" t="s">
        <v>16</v>
      </c>
      <c r="D6" s="59">
        <v>2007.8</v>
      </c>
      <c r="E6" s="59"/>
      <c r="F6" s="61">
        <f>D6*E2</f>
        <v>12006.644</v>
      </c>
      <c r="G6" s="62">
        <v>0.8</v>
      </c>
      <c r="H6" s="62">
        <v>0.6</v>
      </c>
      <c r="I6" s="63">
        <v>12.5</v>
      </c>
      <c r="J6" s="63">
        <v>10</v>
      </c>
      <c r="K6" s="64">
        <f>I6/J6*365</f>
        <v>456.25</v>
      </c>
      <c r="L6" s="64" t="s">
        <v>30</v>
      </c>
      <c r="M6" s="63">
        <v>0.16</v>
      </c>
      <c r="N6" s="66">
        <f t="shared" ref="N6:N32" si="1">G6*H6*K6*M6</f>
        <v>35.04</v>
      </c>
      <c r="O6" s="67">
        <f t="shared" si="0"/>
        <v>5763.18912</v>
      </c>
      <c r="P6" s="42">
        <f t="shared" ref="P6:P32" si="2">N6*O6</f>
        <v>201942.14676479998</v>
      </c>
      <c r="Q6" s="68">
        <f t="shared" ref="Q6:Q32" si="3">O6*K6</f>
        <v>2629455.0359999998</v>
      </c>
    </row>
    <row r="7" spans="1:17" x14ac:dyDescent="0.25">
      <c r="A7" s="59">
        <v>2</v>
      </c>
      <c r="B7" s="60" t="s">
        <v>5</v>
      </c>
      <c r="C7" s="60" t="s">
        <v>17</v>
      </c>
      <c r="D7" s="59">
        <v>7457.2</v>
      </c>
      <c r="E7" s="59"/>
      <c r="F7" s="61">
        <f>D7*E2</f>
        <v>44594.056000000004</v>
      </c>
      <c r="G7" s="62">
        <v>0.2</v>
      </c>
      <c r="H7" s="62">
        <v>0.6</v>
      </c>
      <c r="I7" s="63">
        <v>100</v>
      </c>
      <c r="J7" s="63">
        <v>100</v>
      </c>
      <c r="K7" s="64">
        <f>I7/J7*365</f>
        <v>365</v>
      </c>
      <c r="L7" s="64" t="s">
        <v>29</v>
      </c>
      <c r="M7" s="65">
        <v>0.69</v>
      </c>
      <c r="N7" s="66">
        <f t="shared" si="1"/>
        <v>30.221999999999994</v>
      </c>
      <c r="O7" s="67">
        <f t="shared" si="0"/>
        <v>5351.286720000001</v>
      </c>
      <c r="P7" s="42">
        <f t="shared" si="2"/>
        <v>161726.58725183998</v>
      </c>
      <c r="Q7" s="68">
        <f t="shared" si="3"/>
        <v>1953219.6528000003</v>
      </c>
    </row>
    <row r="8" spans="1:17" ht="18" x14ac:dyDescent="0.25">
      <c r="A8" s="59">
        <v>3</v>
      </c>
      <c r="B8" s="60" t="s">
        <v>56</v>
      </c>
      <c r="C8" s="60" t="s">
        <v>114</v>
      </c>
      <c r="D8" s="59">
        <v>7457.2</v>
      </c>
      <c r="E8" s="59"/>
      <c r="F8" s="61">
        <f>D8*E2</f>
        <v>44594.056000000004</v>
      </c>
      <c r="G8" s="62">
        <v>0.4</v>
      </c>
      <c r="H8" s="62">
        <v>0.6</v>
      </c>
      <c r="I8" s="63">
        <v>50</v>
      </c>
      <c r="J8" s="63">
        <v>25</v>
      </c>
      <c r="K8" s="64">
        <f>I8/J8*100</f>
        <v>200</v>
      </c>
      <c r="L8" s="64" t="s">
        <v>71</v>
      </c>
      <c r="M8" s="65">
        <f>7.4/40</f>
        <v>0.185</v>
      </c>
      <c r="N8" s="66">
        <f t="shared" si="1"/>
        <v>8.879999999999999</v>
      </c>
      <c r="O8" s="67">
        <f t="shared" si="0"/>
        <v>10702.573440000002</v>
      </c>
      <c r="P8" s="42">
        <f t="shared" si="2"/>
        <v>95038.852147199999</v>
      </c>
      <c r="Q8" s="68">
        <f t="shared" si="3"/>
        <v>2140514.6880000005</v>
      </c>
    </row>
    <row r="9" spans="1:17" ht="18" x14ac:dyDescent="0.25">
      <c r="A9" s="59"/>
      <c r="B9" s="60"/>
      <c r="C9" s="60" t="s">
        <v>115</v>
      </c>
      <c r="D9" s="59"/>
      <c r="E9" s="59">
        <v>2450</v>
      </c>
      <c r="F9" s="61">
        <f>E9*E2</f>
        <v>14651.000000000002</v>
      </c>
      <c r="G9" s="62">
        <v>0.3</v>
      </c>
      <c r="H9" s="62">
        <v>0.6</v>
      </c>
      <c r="I9" s="63">
        <v>25</v>
      </c>
      <c r="J9" s="63">
        <v>25</v>
      </c>
      <c r="K9" s="64">
        <f>I9/J9*365</f>
        <v>365</v>
      </c>
      <c r="L9" s="64" t="s">
        <v>71</v>
      </c>
      <c r="M9" s="65">
        <f>7.4/40</f>
        <v>0.185</v>
      </c>
      <c r="N9" s="66">
        <f t="shared" si="1"/>
        <v>12.154500000000001</v>
      </c>
      <c r="O9" s="67">
        <f t="shared" si="0"/>
        <v>2637.18</v>
      </c>
      <c r="P9" s="42">
        <f t="shared" si="2"/>
        <v>32053.604309999999</v>
      </c>
      <c r="Q9" s="68">
        <f t="shared" si="3"/>
        <v>962570.7</v>
      </c>
    </row>
    <row r="10" spans="1:17" x14ac:dyDescent="0.25">
      <c r="A10" s="59">
        <v>4</v>
      </c>
      <c r="B10" s="60" t="s">
        <v>4</v>
      </c>
      <c r="C10" s="69" t="s">
        <v>17</v>
      </c>
      <c r="D10" s="59">
        <v>7457.2</v>
      </c>
      <c r="E10" s="59"/>
      <c r="F10" s="61">
        <f>D10*E2</f>
        <v>44594.056000000004</v>
      </c>
      <c r="G10" s="62">
        <v>0.6</v>
      </c>
      <c r="H10" s="62">
        <v>0.6</v>
      </c>
      <c r="I10" s="63">
        <v>7.5</v>
      </c>
      <c r="J10" s="63">
        <v>5</v>
      </c>
      <c r="K10" s="64">
        <f>I10/J10*365</f>
        <v>547.5</v>
      </c>
      <c r="L10" s="64" t="s">
        <v>28</v>
      </c>
      <c r="M10" s="63">
        <v>0.18</v>
      </c>
      <c r="N10" s="66">
        <f t="shared" si="1"/>
        <v>35.477999999999994</v>
      </c>
      <c r="O10" s="67">
        <f t="shared" si="0"/>
        <v>16053.86016</v>
      </c>
      <c r="P10" s="42">
        <f t="shared" si="2"/>
        <v>569558.85075647989</v>
      </c>
      <c r="Q10" s="68">
        <f t="shared" si="3"/>
        <v>8789488.4375999998</v>
      </c>
    </row>
    <row r="11" spans="1:17" ht="15.75" customHeight="1" x14ac:dyDescent="0.25">
      <c r="A11" s="59">
        <v>5</v>
      </c>
      <c r="B11" s="60" t="s">
        <v>2</v>
      </c>
      <c r="C11" s="70" t="s">
        <v>17</v>
      </c>
      <c r="D11" s="59">
        <v>7457.2</v>
      </c>
      <c r="E11" s="59"/>
      <c r="F11" s="61">
        <f>D11*E2</f>
        <v>44594.056000000004</v>
      </c>
      <c r="G11" s="62">
        <v>0.4</v>
      </c>
      <c r="H11" s="62">
        <v>0.6</v>
      </c>
      <c r="I11" s="63">
        <v>37.5</v>
      </c>
      <c r="J11" s="63">
        <v>25</v>
      </c>
      <c r="K11" s="63">
        <f t="shared" ref="K11:K29" si="4">I11/J11*365</f>
        <v>547.5</v>
      </c>
      <c r="L11" s="63" t="s">
        <v>27</v>
      </c>
      <c r="M11" s="71">
        <v>0.19</v>
      </c>
      <c r="N11" s="66">
        <f t="shared" si="1"/>
        <v>24.966000000000001</v>
      </c>
      <c r="O11" s="67">
        <f t="shared" si="0"/>
        <v>10702.573440000002</v>
      </c>
      <c r="P11" s="42">
        <f t="shared" si="2"/>
        <v>267200.44850304007</v>
      </c>
      <c r="Q11" s="68">
        <f t="shared" si="3"/>
        <v>5859658.9584000008</v>
      </c>
    </row>
    <row r="12" spans="1:17" x14ac:dyDescent="0.25">
      <c r="A12" s="59">
        <v>6</v>
      </c>
      <c r="B12" s="60" t="s">
        <v>6</v>
      </c>
      <c r="C12" s="69" t="s">
        <v>16</v>
      </c>
      <c r="D12" s="59">
        <v>2007.8</v>
      </c>
      <c r="E12" s="59"/>
      <c r="F12" s="61">
        <f>D12*E2</f>
        <v>12006.644</v>
      </c>
      <c r="G12" s="62">
        <v>0.8</v>
      </c>
      <c r="H12" s="62">
        <v>0.6</v>
      </c>
      <c r="I12" s="63">
        <v>75</v>
      </c>
      <c r="J12" s="63">
        <v>100</v>
      </c>
      <c r="K12" s="64">
        <f t="shared" si="4"/>
        <v>273.75</v>
      </c>
      <c r="L12" s="64" t="s">
        <v>26</v>
      </c>
      <c r="M12" s="63">
        <v>0.17</v>
      </c>
      <c r="N12" s="66">
        <f t="shared" si="1"/>
        <v>22.338000000000001</v>
      </c>
      <c r="O12" s="67">
        <f t="shared" si="0"/>
        <v>5763.18912</v>
      </c>
      <c r="P12" s="42">
        <f t="shared" si="2"/>
        <v>128738.11856256</v>
      </c>
      <c r="Q12" s="68">
        <f t="shared" si="3"/>
        <v>1577673.0216000001</v>
      </c>
    </row>
    <row r="13" spans="1:17" ht="18" x14ac:dyDescent="0.25">
      <c r="A13" s="59">
        <v>7</v>
      </c>
      <c r="B13" s="60" t="s">
        <v>54</v>
      </c>
      <c r="C13" s="60" t="s">
        <v>115</v>
      </c>
      <c r="D13" s="59"/>
      <c r="E13" s="59">
        <v>2450</v>
      </c>
      <c r="F13" s="61">
        <f>E13*E2</f>
        <v>14651.000000000002</v>
      </c>
      <c r="G13" s="62">
        <v>0.8</v>
      </c>
      <c r="H13" s="62">
        <v>0.6</v>
      </c>
      <c r="I13" s="63">
        <v>25</v>
      </c>
      <c r="J13" s="63">
        <v>12.5</v>
      </c>
      <c r="K13" s="64">
        <f t="shared" si="4"/>
        <v>730</v>
      </c>
      <c r="L13" s="64" t="s">
        <v>72</v>
      </c>
      <c r="M13" s="65">
        <f>7.35/28</f>
        <v>0.26250000000000001</v>
      </c>
      <c r="N13" s="66">
        <f t="shared" si="1"/>
        <v>91.98</v>
      </c>
      <c r="O13" s="67">
        <f t="shared" ref="O13:O24" si="5">F13*G13*H13</f>
        <v>7032.4800000000014</v>
      </c>
      <c r="P13" s="42">
        <f t="shared" si="2"/>
        <v>646847.51040000014</v>
      </c>
      <c r="Q13" s="68">
        <f t="shared" si="3"/>
        <v>5133710.4000000013</v>
      </c>
    </row>
    <row r="14" spans="1:17" ht="18" x14ac:dyDescent="0.25">
      <c r="A14" s="59">
        <v>8</v>
      </c>
      <c r="B14" s="60" t="s">
        <v>63</v>
      </c>
      <c r="C14" s="69" t="s">
        <v>116</v>
      </c>
      <c r="D14" s="59"/>
      <c r="E14" s="59"/>
      <c r="F14" s="61">
        <v>4206</v>
      </c>
      <c r="G14" s="62">
        <v>0.9</v>
      </c>
      <c r="H14" s="62">
        <v>0.6</v>
      </c>
      <c r="I14" s="63">
        <v>300</v>
      </c>
      <c r="J14" s="63">
        <v>200</v>
      </c>
      <c r="K14" s="64">
        <f>I14/J14*(365-105)</f>
        <v>390</v>
      </c>
      <c r="L14" s="64" t="s">
        <v>73</v>
      </c>
      <c r="M14" s="65">
        <f>11.36/30</f>
        <v>0.37866666666666665</v>
      </c>
      <c r="N14" s="66">
        <f t="shared" si="1"/>
        <v>79.747200000000007</v>
      </c>
      <c r="O14" s="67">
        <f t="shared" si="5"/>
        <v>2271.2399999999998</v>
      </c>
      <c r="P14" s="42">
        <f t="shared" si="2"/>
        <v>181125.030528</v>
      </c>
      <c r="Q14" s="68">
        <f t="shared" si="3"/>
        <v>885783.59999999986</v>
      </c>
    </row>
    <row r="15" spans="1:17" ht="18" x14ac:dyDescent="0.25">
      <c r="A15" s="59"/>
      <c r="B15" s="60"/>
      <c r="C15" s="69" t="s">
        <v>117</v>
      </c>
      <c r="D15" s="59"/>
      <c r="E15" s="59">
        <v>2300</v>
      </c>
      <c r="F15" s="61">
        <f>E15*E2</f>
        <v>13754.000000000002</v>
      </c>
      <c r="G15" s="62">
        <v>0.4</v>
      </c>
      <c r="H15" s="62">
        <v>0.6</v>
      </c>
      <c r="I15" s="63">
        <v>300</v>
      </c>
      <c r="J15" s="63">
        <v>200</v>
      </c>
      <c r="K15" s="64">
        <f>I15/J15*(365-105)</f>
        <v>390</v>
      </c>
      <c r="L15" s="64" t="s">
        <v>73</v>
      </c>
      <c r="M15" s="65">
        <f>11.36/30</f>
        <v>0.37866666666666665</v>
      </c>
      <c r="N15" s="66">
        <f t="shared" si="1"/>
        <v>35.443199999999997</v>
      </c>
      <c r="O15" s="67">
        <f t="shared" si="5"/>
        <v>3300.9600000000005</v>
      </c>
      <c r="P15" s="42">
        <f t="shared" si="2"/>
        <v>116996.58547200001</v>
      </c>
      <c r="Q15" s="68">
        <f t="shared" si="3"/>
        <v>1287374.4000000001</v>
      </c>
    </row>
    <row r="16" spans="1:17" ht="18" x14ac:dyDescent="0.25">
      <c r="A16" s="59">
        <v>9</v>
      </c>
      <c r="B16" s="60" t="s">
        <v>59</v>
      </c>
      <c r="C16" s="69" t="s">
        <v>118</v>
      </c>
      <c r="D16" s="59"/>
      <c r="E16" s="59"/>
      <c r="F16" s="61">
        <v>4580</v>
      </c>
      <c r="G16" s="62">
        <v>0.9</v>
      </c>
      <c r="H16" s="62">
        <v>0.6</v>
      </c>
      <c r="I16" s="63">
        <v>0.14000000000000001</v>
      </c>
      <c r="J16" s="63">
        <v>0.5</v>
      </c>
      <c r="K16" s="64">
        <f>I16/J16*365</f>
        <v>102.2</v>
      </c>
      <c r="L16" s="64" t="s">
        <v>74</v>
      </c>
      <c r="M16" s="65">
        <f>1.15/40</f>
        <v>2.8749999999999998E-2</v>
      </c>
      <c r="N16" s="66">
        <f t="shared" si="1"/>
        <v>1.5866549999999999</v>
      </c>
      <c r="O16" s="67">
        <f t="shared" si="5"/>
        <v>2473.1999999999998</v>
      </c>
      <c r="P16" s="42">
        <f t="shared" si="2"/>
        <v>3924.1151459999996</v>
      </c>
      <c r="Q16" s="68">
        <f t="shared" si="3"/>
        <v>252761.03999999998</v>
      </c>
    </row>
    <row r="17" spans="1:17" ht="18" x14ac:dyDescent="0.25">
      <c r="A17" s="59">
        <v>10</v>
      </c>
      <c r="B17" s="60" t="s">
        <v>60</v>
      </c>
      <c r="C17" s="69" t="s">
        <v>119</v>
      </c>
      <c r="D17" s="59"/>
      <c r="E17" s="59"/>
      <c r="F17" s="61">
        <v>4580</v>
      </c>
      <c r="G17" s="62">
        <v>0.4</v>
      </c>
      <c r="H17" s="62">
        <v>0.6</v>
      </c>
      <c r="I17" s="63">
        <v>40</v>
      </c>
      <c r="J17" s="63">
        <v>10</v>
      </c>
      <c r="K17" s="64">
        <f>I17/J17*120</f>
        <v>480</v>
      </c>
      <c r="L17" s="64" t="s">
        <v>75</v>
      </c>
      <c r="M17" s="65">
        <f>0.81/25</f>
        <v>3.2400000000000005E-2</v>
      </c>
      <c r="N17" s="66">
        <f t="shared" si="1"/>
        <v>3.7324800000000002</v>
      </c>
      <c r="O17" s="67">
        <f t="shared" si="5"/>
        <v>1099.2</v>
      </c>
      <c r="P17" s="42">
        <f t="shared" si="2"/>
        <v>4102.7420160000001</v>
      </c>
      <c r="Q17" s="68">
        <f t="shared" si="3"/>
        <v>527616</v>
      </c>
    </row>
    <row r="18" spans="1:17" ht="18" x14ac:dyDescent="0.25">
      <c r="A18" s="59"/>
      <c r="B18" s="60"/>
      <c r="C18" s="60" t="s">
        <v>120</v>
      </c>
      <c r="D18" s="59"/>
      <c r="E18" s="59">
        <v>2450</v>
      </c>
      <c r="F18" s="61">
        <f>E18*E2</f>
        <v>14651.000000000002</v>
      </c>
      <c r="G18" s="62">
        <v>0.1</v>
      </c>
      <c r="H18" s="62">
        <v>0.6</v>
      </c>
      <c r="I18" s="63">
        <v>20</v>
      </c>
      <c r="J18" s="63">
        <v>10</v>
      </c>
      <c r="K18" s="64">
        <f>I18/J18*365</f>
        <v>730</v>
      </c>
      <c r="L18" s="64" t="s">
        <v>75</v>
      </c>
      <c r="M18" s="65">
        <f>0.81/25</f>
        <v>3.2400000000000005E-2</v>
      </c>
      <c r="N18" s="66">
        <f t="shared" si="1"/>
        <v>1.4191200000000002</v>
      </c>
      <c r="O18" s="67">
        <f t="shared" si="5"/>
        <v>879.06000000000017</v>
      </c>
      <c r="P18" s="42">
        <f t="shared" si="2"/>
        <v>1247.4916272000005</v>
      </c>
      <c r="Q18" s="68">
        <f t="shared" si="3"/>
        <v>641713.80000000016</v>
      </c>
    </row>
    <row r="19" spans="1:17" ht="18" x14ac:dyDescent="0.25">
      <c r="A19" s="59">
        <v>11</v>
      </c>
      <c r="B19" s="60" t="s">
        <v>67</v>
      </c>
      <c r="C19" s="60" t="s">
        <v>120</v>
      </c>
      <c r="D19" s="59"/>
      <c r="E19" s="59">
        <v>2450</v>
      </c>
      <c r="F19" s="61">
        <f>E19*E2</f>
        <v>14651.000000000002</v>
      </c>
      <c r="G19" s="62">
        <v>0.1</v>
      </c>
      <c r="H19" s="62">
        <v>0.6</v>
      </c>
      <c r="I19" s="63">
        <v>20</v>
      </c>
      <c r="J19" s="63">
        <v>20</v>
      </c>
      <c r="K19" s="64">
        <f>I19/J19*365</f>
        <v>365</v>
      </c>
      <c r="L19" s="72" t="s">
        <v>76</v>
      </c>
      <c r="M19" s="63">
        <v>0.28000000000000003</v>
      </c>
      <c r="N19" s="66">
        <f t="shared" si="1"/>
        <v>6.1320000000000006</v>
      </c>
      <c r="O19" s="67">
        <f t="shared" si="5"/>
        <v>879.06000000000017</v>
      </c>
      <c r="P19" s="42">
        <f t="shared" si="2"/>
        <v>5390.3959200000018</v>
      </c>
      <c r="Q19" s="68">
        <f t="shared" si="3"/>
        <v>320856.90000000008</v>
      </c>
    </row>
    <row r="20" spans="1:17" ht="18" x14ac:dyDescent="0.25">
      <c r="A20" s="59">
        <v>12</v>
      </c>
      <c r="B20" s="60" t="s">
        <v>55</v>
      </c>
      <c r="C20" s="69" t="s">
        <v>121</v>
      </c>
      <c r="D20" s="59">
        <v>2007.8</v>
      </c>
      <c r="E20" s="59"/>
      <c r="F20" s="61">
        <f>D20*E2</f>
        <v>12006.644</v>
      </c>
      <c r="G20" s="62">
        <v>0.2</v>
      </c>
      <c r="H20" s="62">
        <v>0.6</v>
      </c>
      <c r="I20" s="63">
        <v>180</v>
      </c>
      <c r="J20" s="63">
        <v>80</v>
      </c>
      <c r="K20" s="64">
        <f>I20/J20*365</f>
        <v>821.25</v>
      </c>
      <c r="L20" s="64" t="s">
        <v>77</v>
      </c>
      <c r="M20" s="65">
        <f>17.86/100</f>
        <v>0.17859999999999998</v>
      </c>
      <c r="N20" s="66">
        <f t="shared" si="1"/>
        <v>17.601029999999998</v>
      </c>
      <c r="O20" s="67">
        <f t="shared" si="5"/>
        <v>1440.79728</v>
      </c>
      <c r="P20" s="42">
        <f t="shared" si="2"/>
        <v>25359.516149198396</v>
      </c>
      <c r="Q20" s="68">
        <f t="shared" si="3"/>
        <v>1183254.7662</v>
      </c>
    </row>
    <row r="21" spans="1:17" ht="18" x14ac:dyDescent="0.25">
      <c r="A21" s="59"/>
      <c r="B21" s="60"/>
      <c r="C21" s="69" t="s">
        <v>122</v>
      </c>
      <c r="D21" s="59"/>
      <c r="E21" s="59">
        <v>2300</v>
      </c>
      <c r="F21" s="61">
        <f>E21*E2</f>
        <v>13754.000000000002</v>
      </c>
      <c r="G21" s="62">
        <v>0.2</v>
      </c>
      <c r="H21" s="62">
        <v>0.6</v>
      </c>
      <c r="I21" s="63">
        <v>180</v>
      </c>
      <c r="J21" s="63">
        <v>80</v>
      </c>
      <c r="K21" s="64">
        <f>I21/J21*365</f>
        <v>821.25</v>
      </c>
      <c r="L21" s="64" t="s">
        <v>77</v>
      </c>
      <c r="M21" s="65">
        <f>17.86/100</f>
        <v>0.17859999999999998</v>
      </c>
      <c r="N21" s="66">
        <f t="shared" si="1"/>
        <v>17.601029999999998</v>
      </c>
      <c r="O21" s="67">
        <f t="shared" si="5"/>
        <v>1650.4800000000002</v>
      </c>
      <c r="P21" s="42">
        <f t="shared" si="2"/>
        <v>29050.147994400002</v>
      </c>
      <c r="Q21" s="68">
        <f t="shared" si="3"/>
        <v>1355456.7000000002</v>
      </c>
    </row>
    <row r="22" spans="1:17" ht="18" x14ac:dyDescent="0.25">
      <c r="A22" s="59">
        <v>13</v>
      </c>
      <c r="B22" s="60" t="s">
        <v>57</v>
      </c>
      <c r="C22" s="60" t="s">
        <v>115</v>
      </c>
      <c r="D22" s="59"/>
      <c r="E22" s="59">
        <v>2450</v>
      </c>
      <c r="F22" s="61">
        <f>E22*E2</f>
        <v>14651.000000000002</v>
      </c>
      <c r="G22" s="62">
        <v>0.8</v>
      </c>
      <c r="H22" s="62">
        <v>0.6</v>
      </c>
      <c r="I22" s="63">
        <v>50</v>
      </c>
      <c r="J22" s="63">
        <v>25</v>
      </c>
      <c r="K22" s="64">
        <f>I22/J22*365</f>
        <v>730</v>
      </c>
      <c r="L22" s="64" t="s">
        <v>78</v>
      </c>
      <c r="M22" s="65">
        <f>5.5/20</f>
        <v>0.27500000000000002</v>
      </c>
      <c r="N22" s="66">
        <f t="shared" si="1"/>
        <v>96.36</v>
      </c>
      <c r="O22" s="67">
        <f t="shared" si="5"/>
        <v>7032.4800000000014</v>
      </c>
      <c r="P22" s="42">
        <f t="shared" si="2"/>
        <v>677649.77280000015</v>
      </c>
      <c r="Q22" s="68">
        <f t="shared" si="3"/>
        <v>5133710.4000000013</v>
      </c>
    </row>
    <row r="23" spans="1:17" ht="18" x14ac:dyDescent="0.25">
      <c r="A23" s="59">
        <v>14</v>
      </c>
      <c r="B23" s="60" t="s">
        <v>58</v>
      </c>
      <c r="C23" s="60" t="s">
        <v>115</v>
      </c>
      <c r="D23" s="59"/>
      <c r="E23" s="59">
        <v>2450</v>
      </c>
      <c r="F23" s="61">
        <f>E23*E2</f>
        <v>14651.000000000002</v>
      </c>
      <c r="G23" s="62">
        <v>0.9</v>
      </c>
      <c r="H23" s="62">
        <v>0.6</v>
      </c>
      <c r="I23" s="63">
        <v>80</v>
      </c>
      <c r="J23" s="63">
        <v>40</v>
      </c>
      <c r="K23" s="64">
        <f>I23/J23*156</f>
        <v>312</v>
      </c>
      <c r="L23" s="64" t="s">
        <v>79</v>
      </c>
      <c r="M23" s="65">
        <v>0.04</v>
      </c>
      <c r="N23" s="66">
        <f t="shared" si="1"/>
        <v>6.7392000000000012</v>
      </c>
      <c r="O23" s="67">
        <f t="shared" si="5"/>
        <v>7911.5400000000009</v>
      </c>
      <c r="P23" s="42">
        <f t="shared" si="2"/>
        <v>53317.450368000013</v>
      </c>
      <c r="Q23" s="68">
        <f t="shared" si="3"/>
        <v>2468400.4800000004</v>
      </c>
    </row>
    <row r="24" spans="1:17" ht="18" x14ac:dyDescent="0.25">
      <c r="A24" s="59">
        <v>15</v>
      </c>
      <c r="B24" s="60" t="s">
        <v>66</v>
      </c>
      <c r="C24" s="60" t="s">
        <v>115</v>
      </c>
      <c r="D24" s="59"/>
      <c r="E24" s="59">
        <v>2450</v>
      </c>
      <c r="F24" s="61">
        <f>E24*E2</f>
        <v>14651.000000000002</v>
      </c>
      <c r="G24" s="62">
        <v>0.4</v>
      </c>
      <c r="H24" s="62">
        <v>0.6</v>
      </c>
      <c r="I24" s="63">
        <v>0.375</v>
      </c>
      <c r="J24" s="63">
        <v>0.25</v>
      </c>
      <c r="K24" s="64">
        <f>I24/J24*365/3</f>
        <v>182.5</v>
      </c>
      <c r="L24" s="64" t="s">
        <v>80</v>
      </c>
      <c r="M24" s="65">
        <f>2.55/50</f>
        <v>5.0999999999999997E-2</v>
      </c>
      <c r="N24" s="66">
        <f t="shared" si="1"/>
        <v>2.2337999999999996</v>
      </c>
      <c r="O24" s="67">
        <f t="shared" si="5"/>
        <v>3516.2400000000007</v>
      </c>
      <c r="P24" s="42">
        <f t="shared" si="2"/>
        <v>7854.5769120000004</v>
      </c>
      <c r="Q24" s="68">
        <f t="shared" si="3"/>
        <v>641713.80000000016</v>
      </c>
    </row>
    <row r="25" spans="1:17" x14ac:dyDescent="0.25">
      <c r="A25" s="59">
        <v>16</v>
      </c>
      <c r="B25" s="60" t="s">
        <v>7</v>
      </c>
      <c r="C25" s="69" t="s">
        <v>18</v>
      </c>
      <c r="D25" s="59">
        <v>2007.8</v>
      </c>
      <c r="E25" s="59"/>
      <c r="F25" s="61">
        <f>D25*E2</f>
        <v>12006.644</v>
      </c>
      <c r="G25" s="62">
        <v>0.8</v>
      </c>
      <c r="H25" s="62">
        <v>0.6</v>
      </c>
      <c r="I25" s="63">
        <v>100</v>
      </c>
      <c r="J25" s="63">
        <v>100</v>
      </c>
      <c r="K25" s="64">
        <f t="shared" si="4"/>
        <v>365</v>
      </c>
      <c r="L25" s="64" t="s">
        <v>25</v>
      </c>
      <c r="M25" s="71">
        <v>0.16</v>
      </c>
      <c r="N25" s="66">
        <f t="shared" si="1"/>
        <v>28.032</v>
      </c>
      <c r="O25" s="67">
        <f t="shared" ref="O25:O30" si="6">F25*G25*H25</f>
        <v>5763.18912</v>
      </c>
      <c r="P25" s="42">
        <f t="shared" si="2"/>
        <v>161553.71741184001</v>
      </c>
      <c r="Q25" s="68">
        <f t="shared" si="3"/>
        <v>2103564.0288</v>
      </c>
    </row>
    <row r="26" spans="1:17" x14ac:dyDescent="0.25">
      <c r="A26" s="59"/>
      <c r="B26" s="60"/>
      <c r="C26" s="69" t="s">
        <v>19</v>
      </c>
      <c r="D26" s="72">
        <v>385</v>
      </c>
      <c r="E26" s="72"/>
      <c r="F26" s="61">
        <f>D26*E2</f>
        <v>2302.3000000000002</v>
      </c>
      <c r="G26" s="62">
        <v>0.8</v>
      </c>
      <c r="H26" s="62">
        <v>0.6</v>
      </c>
      <c r="I26" s="63">
        <v>100</v>
      </c>
      <c r="J26" s="63">
        <v>100</v>
      </c>
      <c r="K26" s="64">
        <f t="shared" si="4"/>
        <v>365</v>
      </c>
      <c r="L26" s="64" t="s">
        <v>25</v>
      </c>
      <c r="M26" s="63">
        <v>0.16</v>
      </c>
      <c r="N26" s="66">
        <f t="shared" si="1"/>
        <v>28.032</v>
      </c>
      <c r="O26" s="67">
        <f t="shared" si="6"/>
        <v>1105.104</v>
      </c>
      <c r="P26" s="42">
        <f t="shared" si="2"/>
        <v>30978.275328</v>
      </c>
      <c r="Q26" s="68">
        <f t="shared" si="3"/>
        <v>403362.96</v>
      </c>
    </row>
    <row r="27" spans="1:17" x14ac:dyDescent="0.25">
      <c r="A27" s="59">
        <v>17</v>
      </c>
      <c r="B27" s="60" t="s">
        <v>61</v>
      </c>
      <c r="C27" s="69" t="s">
        <v>68</v>
      </c>
      <c r="D27" s="72"/>
      <c r="E27" s="72"/>
      <c r="F27" s="61">
        <v>2460</v>
      </c>
      <c r="G27" s="62">
        <v>0.9</v>
      </c>
      <c r="H27" s="62">
        <v>0.6</v>
      </c>
      <c r="I27" s="63">
        <v>75</v>
      </c>
      <c r="J27" s="63">
        <v>75</v>
      </c>
      <c r="K27" s="64">
        <f>I27/J27*365</f>
        <v>365</v>
      </c>
      <c r="L27" s="64" t="s">
        <v>81</v>
      </c>
      <c r="M27" s="65">
        <f>21.95/28</f>
        <v>0.78392857142857142</v>
      </c>
      <c r="N27" s="66">
        <f t="shared" si="1"/>
        <v>154.51232142857145</v>
      </c>
      <c r="O27" s="67">
        <f t="shared" si="6"/>
        <v>1328.3999999999999</v>
      </c>
      <c r="P27" s="42">
        <f t="shared" si="2"/>
        <v>205254.16778571429</v>
      </c>
      <c r="Q27" s="68">
        <f t="shared" si="3"/>
        <v>484865.99999999994</v>
      </c>
    </row>
    <row r="28" spans="1:17" ht="18" x14ac:dyDescent="0.25">
      <c r="A28" s="59">
        <v>18</v>
      </c>
      <c r="B28" s="60" t="s">
        <v>62</v>
      </c>
      <c r="C28" s="69" t="s">
        <v>123</v>
      </c>
      <c r="D28" s="72"/>
      <c r="E28" s="61">
        <v>2300</v>
      </c>
      <c r="F28" s="61">
        <f>E28*E2</f>
        <v>13754.000000000002</v>
      </c>
      <c r="G28" s="62">
        <v>0.9</v>
      </c>
      <c r="H28" s="62">
        <v>0.6</v>
      </c>
      <c r="I28" s="63">
        <v>5</v>
      </c>
      <c r="J28" s="63">
        <v>2.5</v>
      </c>
      <c r="K28" s="64">
        <f>I28/J28*365</f>
        <v>730</v>
      </c>
      <c r="L28" s="64" t="s">
        <v>82</v>
      </c>
      <c r="M28" s="65">
        <f>5.1/50</f>
        <v>0.10199999999999999</v>
      </c>
      <c r="N28" s="66">
        <f t="shared" si="1"/>
        <v>40.208400000000005</v>
      </c>
      <c r="O28" s="67">
        <f t="shared" si="6"/>
        <v>7427.1600000000008</v>
      </c>
      <c r="P28" s="42">
        <f t="shared" si="2"/>
        <v>298634.22014400008</v>
      </c>
      <c r="Q28" s="68">
        <f t="shared" si="3"/>
        <v>5421826.8000000007</v>
      </c>
    </row>
    <row r="29" spans="1:17" x14ac:dyDescent="0.25">
      <c r="A29" s="59">
        <v>19</v>
      </c>
      <c r="B29" s="60" t="s">
        <v>12</v>
      </c>
      <c r="C29" s="69" t="s">
        <v>18</v>
      </c>
      <c r="D29" s="59">
        <v>2007.8</v>
      </c>
      <c r="E29" s="59"/>
      <c r="F29" s="61">
        <f>D29*E2</f>
        <v>12006.644</v>
      </c>
      <c r="G29" s="62">
        <v>0.8</v>
      </c>
      <c r="H29" s="62">
        <v>0.6</v>
      </c>
      <c r="I29" s="73">
        <v>20</v>
      </c>
      <c r="J29" s="73">
        <v>20</v>
      </c>
      <c r="K29" s="74">
        <f t="shared" si="4"/>
        <v>365</v>
      </c>
      <c r="L29" s="74" t="s">
        <v>24</v>
      </c>
      <c r="M29" s="71">
        <v>0.48</v>
      </c>
      <c r="N29" s="66">
        <f t="shared" si="1"/>
        <v>84.095999999999989</v>
      </c>
      <c r="O29" s="67">
        <f t="shared" si="6"/>
        <v>5763.18912</v>
      </c>
      <c r="P29" s="42">
        <f t="shared" si="2"/>
        <v>484661.15223551996</v>
      </c>
      <c r="Q29" s="68">
        <f t="shared" si="3"/>
        <v>2103564.0288</v>
      </c>
    </row>
    <row r="30" spans="1:17" x14ac:dyDescent="0.25">
      <c r="A30" s="59"/>
      <c r="B30" s="60"/>
      <c r="C30" s="69" t="s">
        <v>19</v>
      </c>
      <c r="D30" s="72">
        <v>385</v>
      </c>
      <c r="E30" s="72"/>
      <c r="F30" s="61">
        <f>D30*E2</f>
        <v>2302.3000000000002</v>
      </c>
      <c r="G30" s="62">
        <v>0.8</v>
      </c>
      <c r="H30" s="62">
        <v>0.6</v>
      </c>
      <c r="I30" s="73">
        <v>20</v>
      </c>
      <c r="J30" s="73">
        <v>20</v>
      </c>
      <c r="K30" s="74">
        <f t="shared" ref="K30" si="7">I30/J30*365</f>
        <v>365</v>
      </c>
      <c r="L30" s="74" t="s">
        <v>24</v>
      </c>
      <c r="M30" s="63">
        <v>0.48</v>
      </c>
      <c r="N30" s="66">
        <f t="shared" si="1"/>
        <v>84.095999999999989</v>
      </c>
      <c r="O30" s="67">
        <f t="shared" si="6"/>
        <v>1105.104</v>
      </c>
      <c r="P30" s="42">
        <f t="shared" si="2"/>
        <v>92934.825983999996</v>
      </c>
      <c r="Q30" s="68">
        <f t="shared" si="3"/>
        <v>403362.96</v>
      </c>
    </row>
    <row r="31" spans="1:17" ht="18" x14ac:dyDescent="0.25">
      <c r="A31" s="59">
        <v>20</v>
      </c>
      <c r="B31" s="60" t="s">
        <v>64</v>
      </c>
      <c r="C31" s="69" t="s">
        <v>124</v>
      </c>
      <c r="D31" s="59">
        <v>7457.2</v>
      </c>
      <c r="E31" s="72"/>
      <c r="F31" s="61">
        <f>D31*E2</f>
        <v>44594.056000000004</v>
      </c>
      <c r="G31" s="62">
        <v>0.25</v>
      </c>
      <c r="H31" s="62">
        <v>0.6</v>
      </c>
      <c r="I31" s="73" t="s">
        <v>69</v>
      </c>
      <c r="J31" s="73" t="s">
        <v>69</v>
      </c>
      <c r="K31" s="74">
        <v>365</v>
      </c>
      <c r="L31" s="74" t="s">
        <v>84</v>
      </c>
      <c r="M31" s="65">
        <f>6.05/28</f>
        <v>0.21607142857142855</v>
      </c>
      <c r="N31" s="66">
        <f t="shared" si="1"/>
        <v>11.829910714285713</v>
      </c>
      <c r="O31" s="67">
        <f t="shared" ref="O31:O32" si="8">F31*G31*H31</f>
        <v>6689.1084000000001</v>
      </c>
      <c r="P31" s="42">
        <f t="shared" si="2"/>
        <v>79131.55513017856</v>
      </c>
      <c r="Q31" s="68">
        <f t="shared" si="3"/>
        <v>2441524.5660000001</v>
      </c>
    </row>
    <row r="32" spans="1:17" ht="18" x14ac:dyDescent="0.25">
      <c r="A32" s="59">
        <v>21</v>
      </c>
      <c r="B32" s="60" t="s">
        <v>65</v>
      </c>
      <c r="C32" s="69" t="s">
        <v>124</v>
      </c>
      <c r="D32" s="59">
        <v>7457.2</v>
      </c>
      <c r="E32" s="72"/>
      <c r="F32" s="61">
        <f>D32*E2</f>
        <v>44594.056000000004</v>
      </c>
      <c r="G32" s="62">
        <v>0.25</v>
      </c>
      <c r="H32" s="62">
        <v>0.6</v>
      </c>
      <c r="I32" s="73" t="s">
        <v>70</v>
      </c>
      <c r="J32" s="73" t="s">
        <v>70</v>
      </c>
      <c r="K32" s="74">
        <v>365</v>
      </c>
      <c r="L32" s="74" t="s">
        <v>83</v>
      </c>
      <c r="M32" s="65">
        <f>21.85/84</f>
        <v>0.26011904761904764</v>
      </c>
      <c r="N32" s="66">
        <f t="shared" si="1"/>
        <v>14.241517857142858</v>
      </c>
      <c r="O32" s="67">
        <f t="shared" si="8"/>
        <v>6689.1084000000001</v>
      </c>
      <c r="P32" s="42">
        <f t="shared" si="2"/>
        <v>95263.056726964292</v>
      </c>
      <c r="Q32" s="68">
        <f t="shared" si="3"/>
        <v>2441524.5660000001</v>
      </c>
    </row>
    <row r="33" spans="1:16" x14ac:dyDescent="0.25">
      <c r="A33" s="75"/>
      <c r="B33" s="44" t="s">
        <v>33</v>
      </c>
      <c r="O33" s="76"/>
      <c r="P33" s="43">
        <f>SUM(P5:P32)</f>
        <v>5203362.1463498957</v>
      </c>
    </row>
    <row r="34" spans="1:16" ht="18" x14ac:dyDescent="0.25">
      <c r="A34" s="77"/>
      <c r="C34" s="78" t="s">
        <v>125</v>
      </c>
      <c r="O34" s="76"/>
    </row>
    <row r="35" spans="1:16" ht="18" x14ac:dyDescent="0.25">
      <c r="C35" s="78" t="s">
        <v>126</v>
      </c>
      <c r="N35" s="79"/>
    </row>
    <row r="36" spans="1:16" ht="18" x14ac:dyDescent="0.25">
      <c r="C36" s="78" t="s">
        <v>127</v>
      </c>
    </row>
    <row r="37" spans="1:16" ht="18" x14ac:dyDescent="0.25">
      <c r="C37" s="78" t="s">
        <v>128</v>
      </c>
    </row>
    <row r="38" spans="1:16" ht="18" x14ac:dyDescent="0.25">
      <c r="C38" s="80" t="s">
        <v>129</v>
      </c>
    </row>
    <row r="39" spans="1:16" ht="18" x14ac:dyDescent="0.25">
      <c r="C39" s="80" t="s">
        <v>130</v>
      </c>
    </row>
    <row r="40" spans="1:16" ht="18" x14ac:dyDescent="0.25">
      <c r="C40" s="78" t="s">
        <v>131</v>
      </c>
    </row>
    <row r="41" spans="1:16" ht="18" x14ac:dyDescent="0.25">
      <c r="C41" s="78" t="s">
        <v>132</v>
      </c>
    </row>
    <row r="42" spans="1:16" ht="18" x14ac:dyDescent="0.25">
      <c r="C42" s="78" t="s">
        <v>133</v>
      </c>
    </row>
    <row r="43" spans="1:16" ht="18" x14ac:dyDescent="0.25">
      <c r="C43" s="78" t="s">
        <v>134</v>
      </c>
    </row>
    <row r="44" spans="1:16" ht="18" x14ac:dyDescent="0.25">
      <c r="C44" s="78" t="s">
        <v>135</v>
      </c>
    </row>
    <row r="45" spans="1:16" ht="18" x14ac:dyDescent="0.25">
      <c r="C45" s="78" t="s">
        <v>136</v>
      </c>
    </row>
    <row r="46" spans="1:16" ht="18" x14ac:dyDescent="0.25">
      <c r="C46" s="78" t="s">
        <v>137</v>
      </c>
    </row>
    <row r="47" spans="1:16" x14ac:dyDescent="0.25">
      <c r="C47" s="78"/>
    </row>
    <row r="49" spans="3:13" ht="30.75" customHeight="1" x14ac:dyDescent="0.25">
      <c r="C49" s="81" t="s">
        <v>32</v>
      </c>
      <c r="D49" s="82" t="s">
        <v>34</v>
      </c>
      <c r="E49" s="82"/>
      <c r="F49" s="82"/>
      <c r="G49" s="82"/>
      <c r="H49" s="82"/>
      <c r="I49" s="82"/>
      <c r="J49" s="82"/>
      <c r="K49" s="82"/>
      <c r="L49" s="82"/>
      <c r="M49" s="82"/>
    </row>
    <row r="50" spans="3:13" ht="60.75" customHeight="1" x14ac:dyDescent="0.25">
      <c r="C50" s="83" t="s">
        <v>35</v>
      </c>
      <c r="D50" s="84" t="s">
        <v>36</v>
      </c>
      <c r="E50" s="84"/>
      <c r="F50" s="84"/>
      <c r="G50" s="84"/>
      <c r="H50" s="84"/>
      <c r="I50" s="84"/>
      <c r="J50" s="84"/>
      <c r="K50" s="84"/>
      <c r="L50" s="84"/>
      <c r="M50" s="84"/>
    </row>
    <row r="51" spans="3:13" ht="30" customHeight="1" x14ac:dyDescent="0.25">
      <c r="C51" s="83" t="s">
        <v>37</v>
      </c>
      <c r="D51" s="85" t="s">
        <v>40</v>
      </c>
      <c r="E51" s="85"/>
      <c r="F51" s="85"/>
      <c r="G51" s="85"/>
      <c r="H51" s="85"/>
      <c r="I51" s="85"/>
      <c r="J51" s="85"/>
      <c r="K51" s="85"/>
      <c r="L51" s="85"/>
      <c r="M51" s="85"/>
    </row>
    <row r="52" spans="3:13" ht="32.25" customHeight="1" x14ac:dyDescent="0.25">
      <c r="C52" s="81" t="s">
        <v>39</v>
      </c>
      <c r="D52" s="86" t="s">
        <v>42</v>
      </c>
      <c r="E52" s="86"/>
      <c r="F52" s="86"/>
      <c r="G52" s="86"/>
      <c r="H52" s="86"/>
      <c r="I52" s="86"/>
      <c r="J52" s="86"/>
      <c r="K52" s="86"/>
      <c r="L52" s="86"/>
      <c r="M52" s="86"/>
    </row>
    <row r="53" spans="3:13" ht="84.75" customHeight="1" x14ac:dyDescent="0.25">
      <c r="C53" s="81" t="s">
        <v>9</v>
      </c>
      <c r="D53" s="86" t="s">
        <v>43</v>
      </c>
      <c r="E53" s="86"/>
      <c r="F53" s="86"/>
      <c r="G53" s="86"/>
      <c r="H53" s="86"/>
      <c r="I53" s="86"/>
      <c r="J53" s="86"/>
      <c r="K53" s="86"/>
      <c r="L53" s="86"/>
      <c r="M53" s="86"/>
    </row>
    <row r="54" spans="3:13" ht="54" customHeight="1" x14ac:dyDescent="0.25">
      <c r="C54" s="81" t="s">
        <v>45</v>
      </c>
      <c r="D54" s="86" t="s">
        <v>46</v>
      </c>
      <c r="E54" s="86"/>
      <c r="F54" s="86"/>
      <c r="G54" s="86"/>
      <c r="H54" s="86"/>
      <c r="I54" s="86"/>
      <c r="J54" s="86"/>
      <c r="K54" s="86"/>
      <c r="L54" s="86"/>
      <c r="M54" s="86"/>
    </row>
    <row r="55" spans="3:13" ht="30.75" customHeight="1" x14ac:dyDescent="0.25">
      <c r="C55" s="81" t="s">
        <v>1</v>
      </c>
      <c r="D55" s="86" t="s">
        <v>47</v>
      </c>
      <c r="E55" s="86"/>
      <c r="F55" s="86"/>
      <c r="G55" s="86"/>
      <c r="H55" s="86"/>
      <c r="I55" s="86"/>
      <c r="J55" s="86"/>
      <c r="K55" s="86"/>
      <c r="L55" s="86"/>
      <c r="M55" s="86"/>
    </row>
    <row r="56" spans="3:13" ht="31.5" x14ac:dyDescent="0.25">
      <c r="C56" s="87" t="s">
        <v>48</v>
      </c>
      <c r="D56" s="86" t="s">
        <v>49</v>
      </c>
      <c r="E56" s="86"/>
      <c r="F56" s="86"/>
      <c r="G56" s="86"/>
      <c r="H56" s="86"/>
      <c r="I56" s="86"/>
      <c r="J56" s="86"/>
      <c r="K56" s="86"/>
      <c r="L56" s="86"/>
      <c r="M56" s="86"/>
    </row>
  </sheetData>
  <mergeCells count="8">
    <mergeCell ref="D53:M53"/>
    <mergeCell ref="D54:M54"/>
    <mergeCell ref="D55:M55"/>
    <mergeCell ref="D56:M56"/>
    <mergeCell ref="D49:M49"/>
    <mergeCell ref="D50:M50"/>
    <mergeCell ref="D51:M51"/>
    <mergeCell ref="D52:M52"/>
  </mergeCells>
  <pageMargins left="0.7" right="0.7" top="0.75" bottom="0.75" header="0.3" footer="0.3"/>
  <pageSetup paperSize="9" orientation="portrait" r:id="rId1"/>
  <ignoredErrors>
    <ignoredError sqref="K8 K1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14" sqref="F14"/>
    </sheetView>
  </sheetViews>
  <sheetFormatPr defaultRowHeight="15" x14ac:dyDescent="0.25"/>
  <cols>
    <col min="1" max="1" width="3.42578125" customWidth="1"/>
    <col min="2" max="2" width="24.28515625" customWidth="1"/>
    <col min="3" max="3" width="37.28515625" customWidth="1"/>
    <col min="4" max="4" width="20.140625" customWidth="1"/>
    <col min="5" max="5" width="16.85546875" customWidth="1"/>
    <col min="6" max="6" width="15.7109375" customWidth="1"/>
    <col min="7" max="7" width="22.85546875" customWidth="1"/>
  </cols>
  <sheetData>
    <row r="1" spans="1:7" ht="90" x14ac:dyDescent="0.25">
      <c r="A1" s="4" t="s">
        <v>13</v>
      </c>
      <c r="B1" s="5" t="s">
        <v>14</v>
      </c>
      <c r="C1" s="5" t="s">
        <v>38</v>
      </c>
      <c r="D1" s="6" t="s">
        <v>21</v>
      </c>
      <c r="E1" s="6" t="s">
        <v>15</v>
      </c>
      <c r="F1" s="7" t="s">
        <v>8</v>
      </c>
      <c r="G1" s="7" t="s">
        <v>44</v>
      </c>
    </row>
    <row r="2" spans="1:7" x14ac:dyDescent="0.25">
      <c r="A2" s="1">
        <v>1</v>
      </c>
      <c r="B2" s="2" t="s">
        <v>3</v>
      </c>
      <c r="C2" s="2" t="s">
        <v>17</v>
      </c>
      <c r="D2" s="1">
        <v>7457.2</v>
      </c>
      <c r="E2" s="16">
        <v>44444.911999999997</v>
      </c>
      <c r="F2" s="15">
        <v>0.6</v>
      </c>
      <c r="G2" s="15">
        <v>0.6</v>
      </c>
    </row>
    <row r="3" spans="1:7" x14ac:dyDescent="0.25">
      <c r="A3" s="1"/>
      <c r="B3" s="2"/>
      <c r="C3" s="2" t="s">
        <v>16</v>
      </c>
      <c r="D3" s="1">
        <v>2007.8</v>
      </c>
      <c r="E3" s="16">
        <v>11966.487999999999</v>
      </c>
      <c r="F3" s="15">
        <v>0.8</v>
      </c>
      <c r="G3" s="15">
        <v>0.6</v>
      </c>
    </row>
    <row r="4" spans="1:7" x14ac:dyDescent="0.25">
      <c r="A4" s="1">
        <v>2</v>
      </c>
      <c r="B4" s="2" t="s">
        <v>5</v>
      </c>
      <c r="C4" s="2" t="s">
        <v>17</v>
      </c>
      <c r="D4" s="1">
        <v>7457.2</v>
      </c>
      <c r="E4" s="16">
        <v>44444.911999999997</v>
      </c>
      <c r="F4" s="15">
        <v>0.2</v>
      </c>
      <c r="G4" s="15">
        <v>0.6</v>
      </c>
    </row>
    <row r="5" spans="1:7" x14ac:dyDescent="0.25">
      <c r="A5" s="1">
        <v>3</v>
      </c>
      <c r="B5" s="2" t="s">
        <v>4</v>
      </c>
      <c r="C5" s="9" t="s">
        <v>17</v>
      </c>
      <c r="D5" s="1">
        <v>7457.2</v>
      </c>
      <c r="E5" s="16">
        <v>44444.911999999997</v>
      </c>
      <c r="F5" s="15">
        <v>0.6</v>
      </c>
      <c r="G5" s="15">
        <v>0.6</v>
      </c>
    </row>
    <row r="6" spans="1:7" ht="16.5" customHeight="1" x14ac:dyDescent="0.25">
      <c r="A6" s="1">
        <v>4</v>
      </c>
      <c r="B6" s="2" t="s">
        <v>2</v>
      </c>
      <c r="C6" s="10" t="s">
        <v>17</v>
      </c>
      <c r="D6" s="1">
        <v>7457.2</v>
      </c>
      <c r="E6" s="16">
        <v>44444.911999999997</v>
      </c>
      <c r="F6" s="15">
        <v>0.4</v>
      </c>
      <c r="G6" s="15">
        <v>0.6</v>
      </c>
    </row>
    <row r="7" spans="1:7" x14ac:dyDescent="0.25">
      <c r="A7" s="1">
        <v>5</v>
      </c>
      <c r="B7" s="2" t="s">
        <v>6</v>
      </c>
      <c r="C7" s="9" t="s">
        <v>16</v>
      </c>
      <c r="D7" s="1">
        <v>2007.8</v>
      </c>
      <c r="E7" s="16">
        <v>11966.487999999999</v>
      </c>
      <c r="F7" s="15">
        <v>0.8</v>
      </c>
      <c r="G7" s="15">
        <v>0.6</v>
      </c>
    </row>
    <row r="8" spans="1:7" x14ac:dyDescent="0.25">
      <c r="A8" s="1">
        <v>6</v>
      </c>
      <c r="B8" s="2" t="s">
        <v>7</v>
      </c>
      <c r="C8" s="9" t="s">
        <v>18</v>
      </c>
      <c r="D8" s="1">
        <v>2007.8</v>
      </c>
      <c r="E8" s="16">
        <v>11966.487999999999</v>
      </c>
      <c r="F8" s="15">
        <v>0.8</v>
      </c>
      <c r="G8" s="15">
        <v>0.6</v>
      </c>
    </row>
    <row r="9" spans="1:7" x14ac:dyDescent="0.25">
      <c r="A9" s="1"/>
      <c r="B9" s="2"/>
      <c r="C9" s="9" t="s">
        <v>19</v>
      </c>
      <c r="D9" s="17">
        <v>385</v>
      </c>
      <c r="E9" s="16">
        <v>2294.6</v>
      </c>
      <c r="F9" s="15">
        <v>0.8</v>
      </c>
      <c r="G9" s="15">
        <v>0.6</v>
      </c>
    </row>
    <row r="10" spans="1:7" x14ac:dyDescent="0.25">
      <c r="A10" s="1">
        <v>7</v>
      </c>
      <c r="B10" s="2" t="s">
        <v>12</v>
      </c>
      <c r="C10" s="9" t="s">
        <v>18</v>
      </c>
      <c r="D10" s="1">
        <v>2007.8</v>
      </c>
      <c r="E10" s="16">
        <v>11966.487999999999</v>
      </c>
      <c r="F10" s="15">
        <v>0.8</v>
      </c>
      <c r="G10" s="15">
        <v>0.6</v>
      </c>
    </row>
    <row r="11" spans="1:7" x14ac:dyDescent="0.25">
      <c r="A11" s="1"/>
      <c r="B11" s="2"/>
      <c r="C11" s="9" t="s">
        <v>19</v>
      </c>
      <c r="D11" s="17">
        <v>385</v>
      </c>
      <c r="E11" s="16">
        <v>2294.6</v>
      </c>
      <c r="F11" s="15">
        <v>0.8</v>
      </c>
      <c r="G11" s="15">
        <v>0.6</v>
      </c>
    </row>
    <row r="13" spans="1:7" ht="30" x14ac:dyDescent="0.25">
      <c r="C13" s="3"/>
      <c r="D13" s="20" t="s">
        <v>11</v>
      </c>
      <c r="E13" s="21" t="s">
        <v>0</v>
      </c>
    </row>
    <row r="14" spans="1:7" ht="30" x14ac:dyDescent="0.25">
      <c r="C14" s="26" t="s">
        <v>20</v>
      </c>
      <c r="D14" s="22">
        <v>596000</v>
      </c>
      <c r="E14" s="23">
        <f>D14/100000</f>
        <v>5.96</v>
      </c>
    </row>
  </sheetData>
  <pageMargins left="0.22" right="0.22"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G13" sqref="G13"/>
    </sheetView>
  </sheetViews>
  <sheetFormatPr defaultRowHeight="15" x14ac:dyDescent="0.25"/>
  <cols>
    <col min="1" max="1" width="4.140625" customWidth="1"/>
    <col min="2" max="2" width="17.7109375" customWidth="1"/>
    <col min="3" max="3" width="36.7109375" customWidth="1"/>
    <col min="4" max="4" width="11.28515625" customWidth="1"/>
    <col min="5" max="5" width="14.85546875" customWidth="1"/>
    <col min="6" max="6" width="13.7109375" customWidth="1"/>
    <col min="7" max="7" width="29.85546875" customWidth="1"/>
    <col min="8" max="8" width="15.5703125" customWidth="1"/>
  </cols>
  <sheetData>
    <row r="1" spans="1:8" ht="90" x14ac:dyDescent="0.25">
      <c r="A1" s="4" t="s">
        <v>13</v>
      </c>
      <c r="B1" s="5" t="s">
        <v>14</v>
      </c>
      <c r="C1" s="5" t="s">
        <v>38</v>
      </c>
      <c r="D1" s="6" t="s">
        <v>22</v>
      </c>
      <c r="E1" s="7" t="s">
        <v>50</v>
      </c>
      <c r="F1" s="7" t="s">
        <v>23</v>
      </c>
      <c r="G1" s="7" t="s">
        <v>41</v>
      </c>
      <c r="H1" s="7" t="s">
        <v>51</v>
      </c>
    </row>
    <row r="2" spans="1:8" x14ac:dyDescent="0.25">
      <c r="A2" s="1">
        <v>1</v>
      </c>
      <c r="B2" s="2" t="s">
        <v>3</v>
      </c>
      <c r="C2" s="2" t="s">
        <v>17</v>
      </c>
      <c r="D2" s="8">
        <v>22.5</v>
      </c>
      <c r="E2" s="8">
        <v>20</v>
      </c>
      <c r="F2" s="11">
        <v>410.625</v>
      </c>
      <c r="G2" s="27" t="s">
        <v>30</v>
      </c>
      <c r="H2" s="18">
        <v>0.23</v>
      </c>
    </row>
    <row r="3" spans="1:8" x14ac:dyDescent="0.25">
      <c r="A3" s="1"/>
      <c r="B3" s="2"/>
      <c r="C3" s="2" t="s">
        <v>16</v>
      </c>
      <c r="D3" s="8">
        <v>12.5</v>
      </c>
      <c r="E3" s="8">
        <v>10</v>
      </c>
      <c r="F3" s="11">
        <v>456.25</v>
      </c>
      <c r="G3" s="27" t="s">
        <v>30</v>
      </c>
      <c r="H3" s="8">
        <v>0.16</v>
      </c>
    </row>
    <row r="4" spans="1:8" x14ac:dyDescent="0.25">
      <c r="A4" s="1">
        <v>2</v>
      </c>
      <c r="B4" s="2" t="s">
        <v>5</v>
      </c>
      <c r="C4" s="2" t="s">
        <v>17</v>
      </c>
      <c r="D4" s="8">
        <v>100</v>
      </c>
      <c r="E4" s="8">
        <v>100</v>
      </c>
      <c r="F4" s="11">
        <v>365</v>
      </c>
      <c r="G4" s="27" t="s">
        <v>29</v>
      </c>
      <c r="H4" s="18">
        <v>0.69</v>
      </c>
    </row>
    <row r="5" spans="1:8" x14ac:dyDescent="0.25">
      <c r="A5" s="1">
        <v>3</v>
      </c>
      <c r="B5" s="2" t="s">
        <v>4</v>
      </c>
      <c r="C5" s="9" t="s">
        <v>17</v>
      </c>
      <c r="D5" s="8">
        <v>7.5</v>
      </c>
      <c r="E5" s="8">
        <v>5</v>
      </c>
      <c r="F5" s="11">
        <v>547.5</v>
      </c>
      <c r="G5" s="27" t="s">
        <v>28</v>
      </c>
      <c r="H5" s="8">
        <v>0.18</v>
      </c>
    </row>
    <row r="6" spans="1:8" ht="15.75" customHeight="1" x14ac:dyDescent="0.25">
      <c r="A6" s="1">
        <v>4</v>
      </c>
      <c r="B6" s="2" t="s">
        <v>2</v>
      </c>
      <c r="C6" s="10" t="s">
        <v>17</v>
      </c>
      <c r="D6" s="8">
        <v>37.5</v>
      </c>
      <c r="E6" s="8">
        <v>25</v>
      </c>
      <c r="F6" s="8">
        <v>547.5</v>
      </c>
      <c r="G6" s="28" t="s">
        <v>27</v>
      </c>
      <c r="H6" s="19">
        <v>0.19</v>
      </c>
    </row>
    <row r="7" spans="1:8" x14ac:dyDescent="0.25">
      <c r="A7" s="1">
        <v>5</v>
      </c>
      <c r="B7" s="2" t="s">
        <v>6</v>
      </c>
      <c r="C7" s="9" t="s">
        <v>16</v>
      </c>
      <c r="D7" s="8">
        <v>75</v>
      </c>
      <c r="E7" s="8">
        <v>100</v>
      </c>
      <c r="F7" s="11">
        <v>273.75</v>
      </c>
      <c r="G7" s="27" t="s">
        <v>26</v>
      </c>
      <c r="H7" s="8">
        <v>0.17</v>
      </c>
    </row>
    <row r="8" spans="1:8" x14ac:dyDescent="0.25">
      <c r="A8" s="1">
        <v>6</v>
      </c>
      <c r="B8" s="2" t="s">
        <v>7</v>
      </c>
      <c r="C8" s="9" t="s">
        <v>18</v>
      </c>
      <c r="D8" s="8">
        <v>100</v>
      </c>
      <c r="E8" s="8">
        <v>100</v>
      </c>
      <c r="F8" s="11">
        <v>365</v>
      </c>
      <c r="G8" s="27" t="s">
        <v>25</v>
      </c>
      <c r="H8" s="19">
        <v>0.16</v>
      </c>
    </row>
    <row r="9" spans="1:8" x14ac:dyDescent="0.25">
      <c r="A9" s="1"/>
      <c r="B9" s="2"/>
      <c r="C9" s="9" t="s">
        <v>19</v>
      </c>
      <c r="D9" s="8">
        <v>100</v>
      </c>
      <c r="E9" s="8">
        <v>100</v>
      </c>
      <c r="F9" s="11">
        <v>365</v>
      </c>
      <c r="G9" s="27" t="s">
        <v>25</v>
      </c>
      <c r="H9" s="8">
        <v>0.16</v>
      </c>
    </row>
    <row r="10" spans="1:8" x14ac:dyDescent="0.25">
      <c r="A10" s="1">
        <v>7</v>
      </c>
      <c r="B10" s="2" t="s">
        <v>12</v>
      </c>
      <c r="C10" s="9" t="s">
        <v>18</v>
      </c>
      <c r="D10" s="13">
        <v>20</v>
      </c>
      <c r="E10" s="13">
        <v>20</v>
      </c>
      <c r="F10" s="14">
        <v>365</v>
      </c>
      <c r="G10" s="29" t="s">
        <v>24</v>
      </c>
      <c r="H10" s="19">
        <v>0.48</v>
      </c>
    </row>
    <row r="11" spans="1:8" x14ac:dyDescent="0.25">
      <c r="A11" s="1"/>
      <c r="B11" s="2"/>
      <c r="C11" s="9" t="s">
        <v>19</v>
      </c>
      <c r="D11" s="13">
        <v>20</v>
      </c>
      <c r="E11" s="13">
        <v>20</v>
      </c>
      <c r="F11" s="14">
        <v>365</v>
      </c>
      <c r="G11" s="29" t="s">
        <v>24</v>
      </c>
      <c r="H11" s="8">
        <v>0.48</v>
      </c>
    </row>
  </sheetData>
  <pageMargins left="0.17" right="0.1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A8" sqref="A8:XFD8"/>
    </sheetView>
  </sheetViews>
  <sheetFormatPr defaultRowHeight="15" x14ac:dyDescent="0.25"/>
  <cols>
    <col min="1" max="1" width="4.85546875" customWidth="1"/>
    <col min="2" max="2" width="24.5703125" customWidth="1"/>
    <col min="3" max="3" width="40.140625" customWidth="1"/>
    <col min="4" max="4" width="18.5703125" customWidth="1"/>
    <col min="5" max="5" width="14.7109375" customWidth="1"/>
    <col min="6" max="6" width="11.28515625" customWidth="1"/>
    <col min="7" max="7" width="19.7109375" customWidth="1"/>
  </cols>
  <sheetData>
    <row r="1" spans="1:7" ht="90" x14ac:dyDescent="0.25">
      <c r="A1" s="4" t="s">
        <v>13</v>
      </c>
      <c r="B1" s="5" t="s">
        <v>14</v>
      </c>
      <c r="C1" s="5" t="s">
        <v>38</v>
      </c>
      <c r="D1" s="30" t="s">
        <v>52</v>
      </c>
      <c r="E1" s="30" t="s">
        <v>10</v>
      </c>
      <c r="F1" s="30" t="s">
        <v>53</v>
      </c>
      <c r="G1" s="31" t="s">
        <v>31</v>
      </c>
    </row>
    <row r="2" spans="1:7" x14ac:dyDescent="0.25">
      <c r="A2" s="1">
        <v>1</v>
      </c>
      <c r="B2" s="2" t="s">
        <v>3</v>
      </c>
      <c r="C2" s="2" t="s">
        <v>17</v>
      </c>
      <c r="D2" s="32">
        <v>33.999749999999999</v>
      </c>
      <c r="E2" s="33">
        <v>16000.168319999999</v>
      </c>
      <c r="F2" s="19">
        <v>544001.72283791995</v>
      </c>
      <c r="G2" s="34">
        <v>6570069.1163999997</v>
      </c>
    </row>
    <row r="3" spans="1:7" x14ac:dyDescent="0.25">
      <c r="A3" s="1"/>
      <c r="B3" s="2"/>
      <c r="C3" s="2" t="s">
        <v>16</v>
      </c>
      <c r="D3" s="32">
        <v>35.04</v>
      </c>
      <c r="E3" s="33">
        <v>5743.9142399999992</v>
      </c>
      <c r="F3" s="19">
        <v>201266.75496959998</v>
      </c>
      <c r="G3" s="34">
        <v>2620660.8719999995</v>
      </c>
    </row>
    <row r="4" spans="1:7" x14ac:dyDescent="0.25">
      <c r="A4" s="1">
        <v>2</v>
      </c>
      <c r="B4" s="2" t="s">
        <v>5</v>
      </c>
      <c r="C4" s="2" t="s">
        <v>17</v>
      </c>
      <c r="D4" s="32">
        <v>30.221999999999994</v>
      </c>
      <c r="E4" s="33">
        <v>5333.389439999999</v>
      </c>
      <c r="F4" s="19">
        <v>161185.69565567994</v>
      </c>
      <c r="G4" s="34">
        <v>1946687.1455999997</v>
      </c>
    </row>
    <row r="5" spans="1:7" x14ac:dyDescent="0.25">
      <c r="A5" s="1">
        <v>3</v>
      </c>
      <c r="B5" s="2" t="s">
        <v>4</v>
      </c>
      <c r="C5" s="9" t="s">
        <v>17</v>
      </c>
      <c r="D5" s="32">
        <v>35.477999999999994</v>
      </c>
      <c r="E5" s="33">
        <v>16000.168319999999</v>
      </c>
      <c r="F5" s="19">
        <v>567653.97165695985</v>
      </c>
      <c r="G5" s="34">
        <v>8760092.155199999</v>
      </c>
    </row>
    <row r="6" spans="1:7" ht="18.75" customHeight="1" x14ac:dyDescent="0.25">
      <c r="A6" s="1">
        <v>4</v>
      </c>
      <c r="B6" s="2" t="s">
        <v>2</v>
      </c>
      <c r="C6" s="10" t="s">
        <v>17</v>
      </c>
      <c r="D6" s="32">
        <v>24.966000000000001</v>
      </c>
      <c r="E6" s="33">
        <v>10666.778879999998</v>
      </c>
      <c r="F6" s="19">
        <v>266306.80151807994</v>
      </c>
      <c r="G6" s="34">
        <v>5840061.4367999993</v>
      </c>
    </row>
    <row r="7" spans="1:7" x14ac:dyDescent="0.25">
      <c r="A7" s="1">
        <v>5</v>
      </c>
      <c r="B7" s="2" t="s">
        <v>6</v>
      </c>
      <c r="C7" s="9" t="s">
        <v>16</v>
      </c>
      <c r="D7" s="32">
        <v>22.338000000000001</v>
      </c>
      <c r="E7" s="33">
        <v>5743.9142399999992</v>
      </c>
      <c r="F7" s="19">
        <v>128307.55629311998</v>
      </c>
      <c r="G7" s="34">
        <v>1572396.5231999997</v>
      </c>
    </row>
    <row r="8" spans="1:7" x14ac:dyDescent="0.25">
      <c r="A8" s="1">
        <v>6</v>
      </c>
      <c r="B8" s="2" t="s">
        <v>7</v>
      </c>
      <c r="C8" s="9" t="s">
        <v>18</v>
      </c>
      <c r="D8" s="32">
        <v>28.032</v>
      </c>
      <c r="E8" s="33">
        <v>5743.9142399999992</v>
      </c>
      <c r="F8" s="19">
        <v>161013.40397567998</v>
      </c>
      <c r="G8" s="34">
        <v>2096528.6975999996</v>
      </c>
    </row>
    <row r="9" spans="1:7" x14ac:dyDescent="0.25">
      <c r="A9" s="1"/>
      <c r="B9" s="2"/>
      <c r="C9" s="9" t="s">
        <v>19</v>
      </c>
      <c r="D9" s="32">
        <v>28.032</v>
      </c>
      <c r="E9" s="33">
        <v>1101.4079999999999</v>
      </c>
      <c r="F9" s="19">
        <v>30874.669055999999</v>
      </c>
      <c r="G9" s="34">
        <v>402013.92</v>
      </c>
    </row>
    <row r="10" spans="1:7" x14ac:dyDescent="0.25">
      <c r="A10" s="1">
        <v>7</v>
      </c>
      <c r="B10" s="2" t="s">
        <v>12</v>
      </c>
      <c r="C10" s="9" t="s">
        <v>18</v>
      </c>
      <c r="D10" s="32">
        <v>84.095999999999989</v>
      </c>
      <c r="E10" s="33">
        <v>5743.9142399999992</v>
      </c>
      <c r="F10" s="19">
        <v>483040.21192703984</v>
      </c>
      <c r="G10" s="34">
        <v>2096528.6975999996</v>
      </c>
    </row>
    <row r="11" spans="1:7" x14ac:dyDescent="0.25">
      <c r="A11" s="1"/>
      <c r="B11" s="2"/>
      <c r="C11" s="9" t="s">
        <v>19</v>
      </c>
      <c r="D11" s="32">
        <v>84.095999999999989</v>
      </c>
      <c r="E11" s="33">
        <v>1101.4079999999999</v>
      </c>
      <c r="F11" s="19">
        <v>92624.007167999982</v>
      </c>
      <c r="G11" s="34">
        <v>402013.92</v>
      </c>
    </row>
  </sheetData>
  <pageMargins left="0.34" right="0.39"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9"/>
  <sheetViews>
    <sheetView zoomScale="80" zoomScaleNormal="80" workbookViewId="0">
      <selection activeCell="M3" sqref="M3"/>
    </sheetView>
  </sheetViews>
  <sheetFormatPr defaultRowHeight="15" x14ac:dyDescent="0.25"/>
  <cols>
    <col min="1" max="1" width="27.85546875" customWidth="1"/>
    <col min="2" max="2" width="7.85546875" customWidth="1"/>
    <col min="10" max="10" width="12.140625" customWidth="1"/>
    <col min="11" max="11" width="27.42578125" customWidth="1"/>
  </cols>
  <sheetData>
    <row r="2" spans="1:11" ht="54.75" customHeight="1" x14ac:dyDescent="0.25">
      <c r="A2" s="24" t="s">
        <v>32</v>
      </c>
      <c r="B2" s="39" t="s">
        <v>34</v>
      </c>
      <c r="C2" s="39"/>
      <c r="D2" s="39"/>
      <c r="E2" s="39"/>
      <c r="F2" s="39"/>
      <c r="G2" s="39"/>
      <c r="H2" s="39"/>
      <c r="I2" s="39"/>
      <c r="J2" s="39"/>
      <c r="K2" s="39"/>
    </row>
    <row r="3" spans="1:11" ht="93" customHeight="1" x14ac:dyDescent="0.25">
      <c r="A3" s="35" t="s">
        <v>35</v>
      </c>
      <c r="B3" s="37" t="s">
        <v>36</v>
      </c>
      <c r="C3" s="37"/>
      <c r="D3" s="37"/>
      <c r="E3" s="37"/>
      <c r="F3" s="37"/>
      <c r="G3" s="37"/>
      <c r="H3" s="37"/>
      <c r="I3" s="37"/>
      <c r="J3" s="37"/>
      <c r="K3" s="37"/>
    </row>
    <row r="4" spans="1:11" ht="52.5" customHeight="1" x14ac:dyDescent="0.25">
      <c r="A4" s="35" t="s">
        <v>37</v>
      </c>
      <c r="B4" s="38" t="s">
        <v>40</v>
      </c>
      <c r="C4" s="38"/>
      <c r="D4" s="38"/>
      <c r="E4" s="38"/>
      <c r="F4" s="38"/>
      <c r="G4" s="38"/>
      <c r="H4" s="38"/>
      <c r="I4" s="38"/>
      <c r="J4" s="38"/>
      <c r="K4" s="38"/>
    </row>
    <row r="5" spans="1:11" ht="58.5" customHeight="1" x14ac:dyDescent="0.25">
      <c r="A5" s="24" t="s">
        <v>39</v>
      </c>
      <c r="B5" s="36" t="s">
        <v>42</v>
      </c>
      <c r="C5" s="36"/>
      <c r="D5" s="36"/>
      <c r="E5" s="36"/>
      <c r="F5" s="36"/>
      <c r="G5" s="36"/>
      <c r="H5" s="36"/>
      <c r="I5" s="36"/>
      <c r="J5" s="36"/>
      <c r="K5" s="36"/>
    </row>
    <row r="6" spans="1:11" ht="135.75" customHeight="1" x14ac:dyDescent="0.25">
      <c r="A6" s="24" t="s">
        <v>9</v>
      </c>
      <c r="B6" s="36" t="s">
        <v>43</v>
      </c>
      <c r="C6" s="36"/>
      <c r="D6" s="36"/>
      <c r="E6" s="36"/>
      <c r="F6" s="36"/>
      <c r="G6" s="36"/>
      <c r="H6" s="36"/>
      <c r="I6" s="36"/>
      <c r="J6" s="36"/>
      <c r="K6" s="36"/>
    </row>
    <row r="7" spans="1:11" ht="85.5" customHeight="1" x14ac:dyDescent="0.25">
      <c r="A7" s="24" t="s">
        <v>45</v>
      </c>
      <c r="B7" s="36" t="s">
        <v>46</v>
      </c>
      <c r="C7" s="36"/>
      <c r="D7" s="36"/>
      <c r="E7" s="36"/>
      <c r="F7" s="36"/>
      <c r="G7" s="36"/>
      <c r="H7" s="36"/>
      <c r="I7" s="36"/>
      <c r="J7" s="36"/>
      <c r="K7" s="36"/>
    </row>
    <row r="8" spans="1:11" ht="29.25" customHeight="1" x14ac:dyDescent="0.25">
      <c r="A8" s="24" t="s">
        <v>1</v>
      </c>
      <c r="B8" s="36" t="s">
        <v>47</v>
      </c>
      <c r="C8" s="36"/>
      <c r="D8" s="36"/>
      <c r="E8" s="36"/>
      <c r="F8" s="36"/>
      <c r="G8" s="36"/>
      <c r="H8" s="36"/>
      <c r="I8" s="36"/>
      <c r="J8" s="36"/>
      <c r="K8" s="36"/>
    </row>
    <row r="9" spans="1:11" ht="50.25" customHeight="1" x14ac:dyDescent="0.25">
      <c r="A9" s="24" t="s">
        <v>48</v>
      </c>
      <c r="B9" s="36" t="s">
        <v>49</v>
      </c>
      <c r="C9" s="36"/>
      <c r="D9" s="36"/>
      <c r="E9" s="36"/>
      <c r="F9" s="36"/>
      <c r="G9" s="36"/>
      <c r="H9" s="36"/>
      <c r="I9" s="36"/>
      <c r="J9" s="36"/>
      <c r="K9" s="36"/>
    </row>
  </sheetData>
  <mergeCells count="8">
    <mergeCell ref="B8:K8"/>
    <mergeCell ref="B9:K9"/>
    <mergeCell ref="B2:K2"/>
    <mergeCell ref="B3:K3"/>
    <mergeCell ref="B4:K4"/>
    <mergeCell ref="B5:K5"/>
    <mergeCell ref="B6:K6"/>
    <mergeCell ref="B7:K7"/>
  </mergeCells>
  <pageMargins left="0.17" right="0.17" top="0.17" bottom="0.21" header="0.17" footer="0.17"/>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topLeftCell="A23" workbookViewId="0">
      <selection activeCell="E41" sqref="E41"/>
    </sheetView>
  </sheetViews>
  <sheetFormatPr defaultRowHeight="15.75" x14ac:dyDescent="0.25"/>
  <cols>
    <col min="1" max="1" width="4.42578125" style="88" customWidth="1"/>
    <col min="2" max="2" width="38.42578125" style="88" bestFit="1" customWidth="1"/>
    <col min="3" max="3" width="51.140625" style="88" customWidth="1"/>
    <col min="4" max="4" width="21.7109375" style="90" customWidth="1"/>
    <col min="5" max="5" width="44.85546875" style="88" bestFit="1" customWidth="1"/>
    <col min="6" max="16384" width="9.140625" style="88"/>
  </cols>
  <sheetData>
    <row r="1" spans="1:5" x14ac:dyDescent="0.25">
      <c r="C1" s="89"/>
    </row>
    <row r="2" spans="1:5" s="91" customFormat="1" ht="36" x14ac:dyDescent="0.25">
      <c r="A2" s="91" t="s">
        <v>13</v>
      </c>
      <c r="B2" s="92" t="s">
        <v>95</v>
      </c>
      <c r="C2" s="92" t="s">
        <v>145</v>
      </c>
      <c r="D2" s="93" t="s">
        <v>86</v>
      </c>
      <c r="E2" s="92" t="s">
        <v>146</v>
      </c>
    </row>
    <row r="3" spans="1:5" ht="157.5" x14ac:dyDescent="0.25">
      <c r="A3" s="94">
        <v>1</v>
      </c>
      <c r="B3" s="95" t="s">
        <v>3</v>
      </c>
      <c r="C3" s="95" t="s">
        <v>87</v>
      </c>
      <c r="D3" s="96">
        <v>747769.37873975991</v>
      </c>
      <c r="E3" s="97" t="s">
        <v>138</v>
      </c>
    </row>
    <row r="4" spans="1:5" ht="31.5" x14ac:dyDescent="0.25">
      <c r="A4" s="92">
        <v>2</v>
      </c>
      <c r="B4" s="98" t="s">
        <v>56</v>
      </c>
      <c r="C4" s="98" t="s">
        <v>87</v>
      </c>
      <c r="D4" s="99">
        <v>127092.45645719999</v>
      </c>
      <c r="E4" s="100" t="s">
        <v>92</v>
      </c>
    </row>
    <row r="5" spans="1:5" ht="5.25" customHeight="1" x14ac:dyDescent="0.25">
      <c r="A5" s="101"/>
      <c r="B5" s="102"/>
      <c r="C5" s="102"/>
      <c r="D5" s="103"/>
      <c r="E5" s="104"/>
    </row>
    <row r="6" spans="1:5" ht="31.5" x14ac:dyDescent="0.25">
      <c r="A6" s="94">
        <v>3</v>
      </c>
      <c r="B6" s="95" t="s">
        <v>88</v>
      </c>
      <c r="C6" s="95" t="s">
        <v>89</v>
      </c>
      <c r="D6" s="96">
        <v>161726.58725183998</v>
      </c>
      <c r="E6" s="97" t="s">
        <v>91</v>
      </c>
    </row>
    <row r="7" spans="1:5" ht="6" customHeight="1" x14ac:dyDescent="0.25">
      <c r="A7" s="101"/>
      <c r="B7" s="102"/>
      <c r="C7" s="102"/>
      <c r="D7" s="103"/>
      <c r="E7" s="104"/>
    </row>
    <row r="8" spans="1:5" ht="63" x14ac:dyDescent="0.25">
      <c r="A8" s="94">
        <v>4</v>
      </c>
      <c r="B8" s="95" t="s">
        <v>4</v>
      </c>
      <c r="C8" s="95" t="s">
        <v>90</v>
      </c>
      <c r="D8" s="96">
        <v>569558.85075647989</v>
      </c>
      <c r="E8" s="97" t="s">
        <v>139</v>
      </c>
    </row>
    <row r="9" spans="1:5" ht="78.75" x14ac:dyDescent="0.25">
      <c r="A9" s="92">
        <v>5</v>
      </c>
      <c r="B9" s="98" t="s">
        <v>55</v>
      </c>
      <c r="C9" s="98" t="s">
        <v>90</v>
      </c>
      <c r="D9" s="99">
        <v>54409.664143598398</v>
      </c>
      <c r="E9" s="100" t="s">
        <v>140</v>
      </c>
    </row>
    <row r="10" spans="1:5" ht="3.75" customHeight="1" x14ac:dyDescent="0.25">
      <c r="A10" s="101"/>
      <c r="B10" s="102"/>
      <c r="C10" s="102"/>
      <c r="D10" s="103"/>
      <c r="E10" s="104"/>
    </row>
    <row r="11" spans="1:5" ht="63" x14ac:dyDescent="0.25">
      <c r="A11" s="94">
        <v>6</v>
      </c>
      <c r="B11" s="95" t="s">
        <v>6</v>
      </c>
      <c r="C11" s="97" t="s">
        <v>93</v>
      </c>
      <c r="D11" s="96">
        <v>128738.11856256</v>
      </c>
      <c r="E11" s="97" t="s">
        <v>141</v>
      </c>
    </row>
    <row r="12" spans="1:5" ht="78.75" x14ac:dyDescent="0.25">
      <c r="A12" s="92">
        <v>7</v>
      </c>
      <c r="B12" s="98" t="s">
        <v>54</v>
      </c>
      <c r="C12" s="100" t="s">
        <v>94</v>
      </c>
      <c r="D12" s="99">
        <v>646847.51040000014</v>
      </c>
      <c r="E12" s="100" t="s">
        <v>142</v>
      </c>
    </row>
    <row r="13" spans="1:5" ht="4.5" customHeight="1" x14ac:dyDescent="0.25">
      <c r="A13" s="101"/>
      <c r="B13" s="102"/>
      <c r="C13" s="102"/>
      <c r="D13" s="103"/>
      <c r="E13" s="104"/>
    </row>
    <row r="14" spans="1:5" x14ac:dyDescent="0.25">
      <c r="A14" s="94">
        <v>8</v>
      </c>
      <c r="B14" s="95" t="s">
        <v>63</v>
      </c>
      <c r="C14" s="95" t="s">
        <v>96</v>
      </c>
      <c r="D14" s="96">
        <v>298121.61600000004</v>
      </c>
      <c r="E14" s="97"/>
    </row>
    <row r="15" spans="1:5" ht="4.5" customHeight="1" x14ac:dyDescent="0.25">
      <c r="A15" s="101"/>
      <c r="B15" s="102"/>
      <c r="C15" s="102"/>
      <c r="D15" s="103"/>
      <c r="E15" s="104"/>
    </row>
    <row r="16" spans="1:5" ht="31.5" x14ac:dyDescent="0.25">
      <c r="A16" s="92">
        <v>9</v>
      </c>
      <c r="B16" s="98" t="s">
        <v>59</v>
      </c>
      <c r="C16" s="100" t="s">
        <v>97</v>
      </c>
      <c r="D16" s="99">
        <v>3924.1151459999996</v>
      </c>
      <c r="E16" s="100" t="s">
        <v>98</v>
      </c>
    </row>
    <row r="17" spans="1:5" ht="63" x14ac:dyDescent="0.25">
      <c r="A17" s="94">
        <v>10</v>
      </c>
      <c r="B17" s="95" t="s">
        <v>60</v>
      </c>
      <c r="C17" s="95" t="s">
        <v>97</v>
      </c>
      <c r="D17" s="96">
        <v>5350.2336432000011</v>
      </c>
      <c r="E17" s="97" t="s">
        <v>99</v>
      </c>
    </row>
    <row r="18" spans="1:5" ht="3" customHeight="1" x14ac:dyDescent="0.25">
      <c r="A18" s="101"/>
      <c r="B18" s="102"/>
      <c r="C18" s="102"/>
      <c r="D18" s="103"/>
      <c r="E18" s="104"/>
    </row>
    <row r="19" spans="1:5" x14ac:dyDescent="0.25">
      <c r="A19" s="94">
        <v>11</v>
      </c>
      <c r="B19" s="95" t="s">
        <v>62</v>
      </c>
      <c r="C19" s="95" t="s">
        <v>100</v>
      </c>
      <c r="D19" s="96">
        <v>298634.22014400008</v>
      </c>
      <c r="E19" s="97"/>
    </row>
    <row r="20" spans="1:5" ht="3.75" customHeight="1" x14ac:dyDescent="0.25">
      <c r="A20" s="101"/>
      <c r="B20" s="102"/>
      <c r="C20" s="102"/>
      <c r="D20" s="103"/>
      <c r="E20" s="104"/>
    </row>
    <row r="21" spans="1:5" x14ac:dyDescent="0.25">
      <c r="A21" s="94">
        <v>12</v>
      </c>
      <c r="B21" s="95" t="s">
        <v>61</v>
      </c>
      <c r="C21" s="95" t="s">
        <v>101</v>
      </c>
      <c r="D21" s="96">
        <v>205254.16778571429</v>
      </c>
      <c r="E21" s="97"/>
    </row>
    <row r="22" spans="1:5" ht="157.5" x14ac:dyDescent="0.25">
      <c r="A22" s="92">
        <v>13</v>
      </c>
      <c r="B22" s="98" t="s">
        <v>7</v>
      </c>
      <c r="C22" s="100" t="s">
        <v>101</v>
      </c>
      <c r="D22" s="99">
        <v>192531.99273984</v>
      </c>
      <c r="E22" s="100" t="s">
        <v>143</v>
      </c>
    </row>
    <row r="23" spans="1:5" ht="4.5" customHeight="1" x14ac:dyDescent="0.25">
      <c r="A23" s="101"/>
      <c r="B23" s="102"/>
      <c r="C23" s="102"/>
      <c r="D23" s="103"/>
      <c r="E23" s="104"/>
    </row>
    <row r="24" spans="1:5" x14ac:dyDescent="0.25">
      <c r="A24" s="94">
        <v>14</v>
      </c>
      <c r="B24" s="95" t="s">
        <v>66</v>
      </c>
      <c r="C24" s="95" t="s">
        <v>102</v>
      </c>
      <c r="D24" s="96">
        <v>7854.5769120000004</v>
      </c>
      <c r="E24" s="97"/>
    </row>
    <row r="25" spans="1:5" ht="6" customHeight="1" x14ac:dyDescent="0.25">
      <c r="A25" s="101"/>
      <c r="B25" s="102"/>
      <c r="C25" s="102"/>
      <c r="D25" s="103"/>
      <c r="E25" s="104"/>
    </row>
    <row r="26" spans="1:5" ht="47.25" x14ac:dyDescent="0.25">
      <c r="A26" s="92">
        <v>15</v>
      </c>
      <c r="B26" s="98" t="s">
        <v>2</v>
      </c>
      <c r="C26" s="98" t="s">
        <v>103</v>
      </c>
      <c r="D26" s="99">
        <v>267200.44850304007</v>
      </c>
      <c r="E26" s="100" t="s">
        <v>104</v>
      </c>
    </row>
    <row r="27" spans="1:5" ht="31.5" x14ac:dyDescent="0.25">
      <c r="A27" s="94">
        <v>16</v>
      </c>
      <c r="B27" s="95" t="s">
        <v>58</v>
      </c>
      <c r="C27" s="97" t="s">
        <v>103</v>
      </c>
      <c r="D27" s="96">
        <v>53317.450368000013</v>
      </c>
      <c r="E27" s="97" t="s">
        <v>105</v>
      </c>
    </row>
    <row r="28" spans="1:5" x14ac:dyDescent="0.25">
      <c r="A28" s="94">
        <v>17</v>
      </c>
      <c r="B28" s="95" t="s">
        <v>57</v>
      </c>
      <c r="C28" s="95" t="s">
        <v>103</v>
      </c>
      <c r="D28" s="96">
        <v>677649.77280000015</v>
      </c>
      <c r="E28" s="97" t="s">
        <v>106</v>
      </c>
    </row>
    <row r="29" spans="1:5" ht="3.75" customHeight="1" x14ac:dyDescent="0.25">
      <c r="A29" s="101"/>
      <c r="B29" s="102"/>
      <c r="C29" s="102"/>
      <c r="D29" s="103"/>
      <c r="E29" s="104"/>
    </row>
    <row r="30" spans="1:5" x14ac:dyDescent="0.25">
      <c r="A30" s="94">
        <v>18</v>
      </c>
      <c r="B30" s="95" t="s">
        <v>12</v>
      </c>
      <c r="C30" s="95" t="s">
        <v>107</v>
      </c>
      <c r="D30" s="96">
        <v>577595.97821951995</v>
      </c>
      <c r="E30" s="97"/>
    </row>
    <row r="31" spans="1:5" ht="6" customHeight="1" x14ac:dyDescent="0.25">
      <c r="A31" s="101"/>
      <c r="B31" s="102"/>
      <c r="C31" s="102"/>
      <c r="D31" s="103"/>
      <c r="E31" s="104"/>
    </row>
    <row r="32" spans="1:5" x14ac:dyDescent="0.25">
      <c r="A32" s="92">
        <v>19</v>
      </c>
      <c r="B32" s="98" t="s">
        <v>67</v>
      </c>
      <c r="C32" s="100" t="s">
        <v>108</v>
      </c>
      <c r="D32" s="99">
        <v>5390.3959200000018</v>
      </c>
      <c r="E32" s="98"/>
    </row>
    <row r="33" spans="1:5" ht="7.5" customHeight="1" x14ac:dyDescent="0.25">
      <c r="A33" s="101"/>
      <c r="B33" s="102"/>
      <c r="C33" s="102"/>
      <c r="D33" s="103"/>
      <c r="E33" s="104"/>
    </row>
    <row r="34" spans="1:5" x14ac:dyDescent="0.25">
      <c r="A34" s="92">
        <v>20</v>
      </c>
      <c r="B34" s="98" t="s">
        <v>64</v>
      </c>
      <c r="C34" s="100" t="s">
        <v>144</v>
      </c>
      <c r="D34" s="99">
        <v>79131.55513017856</v>
      </c>
      <c r="E34" s="98"/>
    </row>
    <row r="35" spans="1:5" x14ac:dyDescent="0.25">
      <c r="A35" s="92">
        <v>21</v>
      </c>
      <c r="B35" s="98" t="s">
        <v>65</v>
      </c>
      <c r="C35" s="100" t="s">
        <v>144</v>
      </c>
      <c r="D35" s="99">
        <v>95263.056726964292</v>
      </c>
      <c r="E35" s="98"/>
    </row>
    <row r="36" spans="1:5" x14ac:dyDescent="0.25">
      <c r="D36" s="105">
        <f>SUM(D3:D35)</f>
        <v>5203362.1463498957</v>
      </c>
    </row>
    <row r="37" spans="1:5" x14ac:dyDescent="0.25">
      <c r="C37" s="106"/>
    </row>
    <row r="38" spans="1:5" x14ac:dyDescent="0.25">
      <c r="C38" s="106"/>
      <c r="D38" s="107">
        <f>D3+D6+D8+D11+D14+D17+D19+D21+D24+D27+D28+D30</f>
        <v>3731570.9511830746</v>
      </c>
      <c r="E38" s="109">
        <f>D38/12*7</f>
        <v>2176749.72152346</v>
      </c>
    </row>
    <row r="39" spans="1:5" x14ac:dyDescent="0.25">
      <c r="C39" s="106"/>
      <c r="D39" s="107"/>
      <c r="E39" s="109">
        <f>D38/12*6</f>
        <v>1865785.4755915371</v>
      </c>
    </row>
    <row r="40" spans="1:5" x14ac:dyDescent="0.25">
      <c r="C40" s="106"/>
      <c r="E40" s="109">
        <f>D38/12*5</f>
        <v>1554821.2296596144</v>
      </c>
    </row>
    <row r="41" spans="1:5" x14ac:dyDescent="0.25">
      <c r="C41" s="108"/>
    </row>
    <row r="42" spans="1:5" x14ac:dyDescent="0.25">
      <c r="C42" s="108"/>
    </row>
    <row r="43" spans="1:5" x14ac:dyDescent="0.25">
      <c r="C43" s="106"/>
    </row>
    <row r="44" spans="1:5" x14ac:dyDescent="0.25">
      <c r="C44" s="106"/>
    </row>
    <row r="45" spans="1:5" x14ac:dyDescent="0.25">
      <c r="C45" s="106"/>
    </row>
    <row r="46" spans="1:5" x14ac:dyDescent="0.25">
      <c r="C46" s="106"/>
    </row>
    <row r="47" spans="1:5" x14ac:dyDescent="0.25">
      <c r="C47" s="106"/>
    </row>
    <row r="48" spans="1:5" x14ac:dyDescent="0.25">
      <c r="C48" s="106"/>
    </row>
    <row r="49" spans="3:3" x14ac:dyDescent="0.25">
      <c r="C49" s="106"/>
    </row>
  </sheetData>
  <pageMargins left="0.23622047244094491" right="0.23622047244094491" top="0.74803149606299213" bottom="0.74803149606299213" header="0.31496062992125984" footer="0.31496062992125984"/>
  <pageSetup paperSize="9" scale="85" fitToWidth="0" orientation="landscape"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medsCVDs</vt:lpstr>
      <vt:lpstr>Sheet1</vt:lpstr>
      <vt:lpstr>Sheet2</vt:lpstr>
      <vt:lpstr>Sheet3</vt:lpstr>
      <vt:lpstr>Sheet4</vt:lpstr>
      <vt:lpstr>Sheet5</vt:lpstr>
      <vt:lpstr>Sheet6</vt:lpstr>
      <vt:lpstr>Sheet7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2017-04-07T09:33:24Z</dcterms:modified>
</cp:coreProperties>
</file>