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tabRatio="937"/>
  </bookViews>
  <sheets>
    <sheet name="სულ ბიუჯეტი" sheetId="25" r:id="rId1"/>
    <sheet name="2017-გულ-სისხლძარღვთა" sheetId="11" r:id="rId2"/>
    <sheet name="2017-დიაბეტი" sheetId="18" r:id="rId3"/>
    <sheet name="2017-ფარისებრი" sheetId="19" r:id="rId4"/>
    <sheet name="2017-ფილტვი-პრევალენტობ" sheetId="20" r:id="rId5"/>
    <sheet name="2017-ფილტვი-მედიკამენტ" sheetId="21" r:id="rId6"/>
    <sheet name="2017-ფქოდი-ბიუჯეტი" sheetId="23" r:id="rId7"/>
    <sheet name="2017-ასთმა-ბიუჯეტი" sheetId="22" r:id="rId8"/>
    <sheet name="2018-გულ-სისხლძარღვთ" sheetId="24" r:id="rId9"/>
    <sheet name="2018-დიაბეტი" sheetId="26" r:id="rId10"/>
    <sheet name="2018-ფარისებრი" sheetId="27" r:id="rId11"/>
    <sheet name="2018-ფილტვი-1" sheetId="28" r:id="rId12"/>
    <sheet name="2018-ფილტვი-2" sheetId="29" r:id="rId13"/>
    <sheet name="2018-ფილტვი-3" sheetId="30" r:id="rId14"/>
    <sheet name="2018-ფილტვი-4" sheetId="31" r:id="rId15"/>
  </sheets>
  <externalReferences>
    <externalReference r:id="rId16"/>
    <externalReference r:id="rId17"/>
  </externalReferences>
  <calcPr calcId="162913" iterate="1"/>
</workbook>
</file>

<file path=xl/calcChain.xml><?xml version="1.0" encoding="utf-8"?>
<calcChain xmlns="http://schemas.openxmlformats.org/spreadsheetml/2006/main">
  <c r="F9" i="25" l="1"/>
  <c r="E16" i="25"/>
  <c r="E13" i="25" l="1"/>
  <c r="E9" i="25"/>
  <c r="E8" i="25"/>
  <c r="E7" i="25"/>
  <c r="E6" i="25"/>
  <c r="E5" i="25"/>
  <c r="L11" i="31"/>
  <c r="J11" i="31"/>
  <c r="H11" i="31"/>
  <c r="E11" i="31"/>
  <c r="I11" i="31" s="1"/>
  <c r="K11" i="31" s="1"/>
  <c r="C11" i="31"/>
  <c r="L9" i="31"/>
  <c r="I9" i="31"/>
  <c r="K9" i="31" s="1"/>
  <c r="H9" i="31"/>
  <c r="E9" i="31"/>
  <c r="C9" i="31"/>
  <c r="L7" i="31"/>
  <c r="J7" i="31"/>
  <c r="H7" i="31"/>
  <c r="E7" i="31"/>
  <c r="I7" i="31" s="1"/>
  <c r="K7" i="31" s="1"/>
  <c r="C7" i="31"/>
  <c r="L5" i="31"/>
  <c r="K5" i="31"/>
  <c r="J5" i="31"/>
  <c r="J9" i="31" s="1"/>
  <c r="I5" i="31"/>
  <c r="E5" i="31"/>
  <c r="L14" i="30"/>
  <c r="H14" i="30"/>
  <c r="E14" i="30"/>
  <c r="I14" i="30" s="1"/>
  <c r="K14" i="30" s="1"/>
  <c r="L12" i="30"/>
  <c r="H12" i="30"/>
  <c r="I12" i="30" s="1"/>
  <c r="E12" i="30"/>
  <c r="C12" i="30"/>
  <c r="L10" i="30"/>
  <c r="H10" i="30"/>
  <c r="E10" i="30"/>
  <c r="I10" i="30" s="1"/>
  <c r="K10" i="30" s="1"/>
  <c r="C10" i="30"/>
  <c r="L8" i="30"/>
  <c r="J8" i="30"/>
  <c r="J10" i="30" s="1"/>
  <c r="J12" i="30" s="1"/>
  <c r="J14" i="30" s="1"/>
  <c r="H8" i="30"/>
  <c r="E8" i="30"/>
  <c r="I8" i="30" s="1"/>
  <c r="K8" i="30" s="1"/>
  <c r="C8" i="30"/>
  <c r="L6" i="30"/>
  <c r="J6" i="30"/>
  <c r="I6" i="30"/>
  <c r="K6" i="30" s="1"/>
  <c r="H6" i="30"/>
  <c r="E6" i="30"/>
  <c r="C6" i="30"/>
  <c r="K17" i="29"/>
  <c r="J17" i="29"/>
  <c r="K15" i="29"/>
  <c r="J15" i="29"/>
  <c r="H15" i="29"/>
  <c r="I13" i="29"/>
  <c r="J13" i="29" s="1"/>
  <c r="H13" i="29"/>
  <c r="K13" i="29" s="1"/>
  <c r="H11" i="29"/>
  <c r="K11" i="29" s="1"/>
  <c r="H10" i="29"/>
  <c r="K10" i="29" s="1"/>
  <c r="K9" i="29"/>
  <c r="I9" i="29"/>
  <c r="H9" i="29"/>
  <c r="J9" i="29" s="1"/>
  <c r="K7" i="29"/>
  <c r="H7" i="29"/>
  <c r="J7" i="29" s="1"/>
  <c r="K5" i="29"/>
  <c r="J5" i="29"/>
  <c r="H5" i="29"/>
  <c r="H3" i="29"/>
  <c r="K3" i="29" s="1"/>
  <c r="D3" i="28"/>
  <c r="D7" i="28" s="1"/>
  <c r="C3" i="28"/>
  <c r="D2" i="28"/>
  <c r="D8" i="28" s="1"/>
  <c r="K14" i="31" l="1"/>
  <c r="K12" i="30"/>
  <c r="K16" i="30" s="1"/>
  <c r="J3" i="29"/>
  <c r="J11" i="29"/>
  <c r="J10" i="29"/>
  <c r="D6" i="28"/>
  <c r="J7" i="27" l="1"/>
  <c r="L7" i="27" s="1"/>
  <c r="L6" i="27"/>
  <c r="J6" i="27"/>
  <c r="E2" i="27"/>
  <c r="E6" i="27" s="1"/>
  <c r="J8" i="26"/>
  <c r="L8" i="26" s="1"/>
  <c r="J7" i="26"/>
  <c r="L7" i="26" s="1"/>
  <c r="E7" i="26"/>
  <c r="M7" i="26" s="1"/>
  <c r="O7" i="26" s="1"/>
  <c r="J6" i="26"/>
  <c r="L6" i="26" s="1"/>
  <c r="E2" i="26"/>
  <c r="E8" i="26" s="1"/>
  <c r="M8" i="26" s="1"/>
  <c r="O8" i="26" s="1"/>
  <c r="M20" i="24"/>
  <c r="K20" i="24"/>
  <c r="K19" i="24"/>
  <c r="M19" i="24" s="1"/>
  <c r="M18" i="24"/>
  <c r="L18" i="24"/>
  <c r="K18" i="24"/>
  <c r="N17" i="24"/>
  <c r="P17" i="24" s="1"/>
  <c r="M17" i="24"/>
  <c r="O17" i="24" s="1"/>
  <c r="L17" i="24"/>
  <c r="K17" i="24"/>
  <c r="L16" i="24"/>
  <c r="K16" i="24"/>
  <c r="M16" i="24" s="1"/>
  <c r="M15" i="24"/>
  <c r="K15" i="24"/>
  <c r="L14" i="24"/>
  <c r="K14" i="24"/>
  <c r="M14" i="24" s="1"/>
  <c r="L13" i="24"/>
  <c r="K13" i="24"/>
  <c r="M13" i="24" s="1"/>
  <c r="N12" i="24"/>
  <c r="P12" i="24" s="1"/>
  <c r="L12" i="24"/>
  <c r="K12" i="24"/>
  <c r="M12" i="24" s="1"/>
  <c r="O12" i="24" s="1"/>
  <c r="L11" i="24"/>
  <c r="K11" i="24"/>
  <c r="M11" i="24" s="1"/>
  <c r="N10" i="24"/>
  <c r="P10" i="24" s="1"/>
  <c r="L10" i="24"/>
  <c r="K10" i="24"/>
  <c r="M10" i="24" s="1"/>
  <c r="O10" i="24" s="1"/>
  <c r="M9" i="24"/>
  <c r="K9" i="24"/>
  <c r="K8" i="24"/>
  <c r="M8" i="24" s="1"/>
  <c r="M7" i="24"/>
  <c r="K7" i="24"/>
  <c r="K6" i="24"/>
  <c r="M6" i="24" s="1"/>
  <c r="M5" i="24"/>
  <c r="K5" i="24"/>
  <c r="E2" i="24"/>
  <c r="F19" i="24" s="1"/>
  <c r="N19" i="24" s="1"/>
  <c r="P19" i="24" s="1"/>
  <c r="E7" i="27" l="1"/>
  <c r="E24" i="27" s="1"/>
  <c r="E23" i="27"/>
  <c r="E25" i="27" s="1"/>
  <c r="M6" i="27"/>
  <c r="O6" i="27" s="1"/>
  <c r="N7" i="27"/>
  <c r="D24" i="27" s="1"/>
  <c r="F24" i="27" s="1"/>
  <c r="M7" i="27"/>
  <c r="O7" i="27" s="1"/>
  <c r="N7" i="26"/>
  <c r="N8" i="26"/>
  <c r="E6" i="26"/>
  <c r="O19" i="24"/>
  <c r="F15" i="24"/>
  <c r="N15" i="24" s="1"/>
  <c r="P15" i="24" s="1"/>
  <c r="F20" i="24"/>
  <c r="N20" i="24" s="1"/>
  <c r="P20" i="24" s="1"/>
  <c r="F18" i="24"/>
  <c r="N18" i="24" s="1"/>
  <c r="P18" i="24" s="1"/>
  <c r="F5" i="24"/>
  <c r="N5" i="24" s="1"/>
  <c r="P5" i="24" s="1"/>
  <c r="F7" i="24"/>
  <c r="N7" i="24" s="1"/>
  <c r="P7" i="24" s="1"/>
  <c r="F9" i="24"/>
  <c r="N9" i="24" s="1"/>
  <c r="P9" i="24" s="1"/>
  <c r="F11" i="24"/>
  <c r="N11" i="24" s="1"/>
  <c r="P11" i="24" s="1"/>
  <c r="F14" i="24"/>
  <c r="N14" i="24" s="1"/>
  <c r="P14" i="24" s="1"/>
  <c r="F6" i="24"/>
  <c r="N6" i="24" s="1"/>
  <c r="P6" i="24" s="1"/>
  <c r="F8" i="24"/>
  <c r="N8" i="24" s="1"/>
  <c r="P8" i="24" s="1"/>
  <c r="F13" i="24"/>
  <c r="N13" i="24" s="1"/>
  <c r="P13" i="24" s="1"/>
  <c r="F16" i="24"/>
  <c r="N16" i="24" s="1"/>
  <c r="P16" i="24" s="1"/>
  <c r="D11" i="25"/>
  <c r="D9" i="25"/>
  <c r="D8" i="25"/>
  <c r="D7" i="25"/>
  <c r="D6" i="25"/>
  <c r="D5" i="25"/>
  <c r="H11" i="23"/>
  <c r="E11" i="23"/>
  <c r="I11" i="23" s="1"/>
  <c r="C11" i="23"/>
  <c r="I9" i="23"/>
  <c r="H9" i="23"/>
  <c r="E9" i="23"/>
  <c r="C9" i="23"/>
  <c r="H7" i="23"/>
  <c r="E7" i="23"/>
  <c r="I7" i="23" s="1"/>
  <c r="C7" i="23"/>
  <c r="I5" i="23"/>
  <c r="E5" i="23"/>
  <c r="H14" i="22"/>
  <c r="E14" i="22"/>
  <c r="I14" i="22" s="1"/>
  <c r="H12" i="22"/>
  <c r="E12" i="22"/>
  <c r="I12" i="22" s="1"/>
  <c r="C12" i="22"/>
  <c r="H10" i="22"/>
  <c r="E10" i="22"/>
  <c r="I10" i="22" s="1"/>
  <c r="C10" i="22"/>
  <c r="H8" i="22"/>
  <c r="E8" i="22"/>
  <c r="I8" i="22" s="1"/>
  <c r="C8" i="22"/>
  <c r="I6" i="22"/>
  <c r="H6" i="22"/>
  <c r="E6" i="22"/>
  <c r="C6" i="22"/>
  <c r="K17" i="21"/>
  <c r="J17" i="21"/>
  <c r="K15" i="21"/>
  <c r="J15" i="21"/>
  <c r="H15" i="21"/>
  <c r="I13" i="21"/>
  <c r="J13" i="21" s="1"/>
  <c r="H13" i="21"/>
  <c r="K13" i="21" s="1"/>
  <c r="H11" i="21"/>
  <c r="K11" i="21" s="1"/>
  <c r="H10" i="21"/>
  <c r="K10" i="21" s="1"/>
  <c r="K9" i="21"/>
  <c r="I9" i="21"/>
  <c r="H9" i="21"/>
  <c r="J9" i="21" s="1"/>
  <c r="K7" i="21"/>
  <c r="H7" i="21"/>
  <c r="J7" i="21" s="1"/>
  <c r="K5" i="21"/>
  <c r="J5" i="21"/>
  <c r="H5" i="21"/>
  <c r="H3" i="21"/>
  <c r="J3" i="21" s="1"/>
  <c r="D6" i="20"/>
  <c r="D3" i="20"/>
  <c r="D7" i="20" s="1"/>
  <c r="C3" i="20"/>
  <c r="D2" i="20"/>
  <c r="D8" i="20" s="1"/>
  <c r="N6" i="27" l="1"/>
  <c r="E24" i="26"/>
  <c r="E25" i="26" s="1"/>
  <c r="M6" i="26"/>
  <c r="O14" i="24"/>
  <c r="O15" i="24"/>
  <c r="O8" i="24"/>
  <c r="O13" i="24"/>
  <c r="O18" i="24"/>
  <c r="O5" i="24"/>
  <c r="O7" i="24"/>
  <c r="O16" i="24"/>
  <c r="O11" i="24"/>
  <c r="O20" i="24"/>
  <c r="O9" i="24"/>
  <c r="O6" i="24"/>
  <c r="J11" i="21"/>
  <c r="K3" i="21"/>
  <c r="J10" i="21"/>
  <c r="D23" i="27" l="1"/>
  <c r="N8" i="27"/>
  <c r="O6" i="26"/>
  <c r="N6" i="26"/>
  <c r="N9" i="26" s="1"/>
  <c r="D24" i="26" s="1"/>
  <c r="O21" i="24"/>
  <c r="J6" i="22"/>
  <c r="J5" i="23"/>
  <c r="D25" i="27" l="1"/>
  <c r="F25" i="27" s="1"/>
  <c r="F23" i="27"/>
  <c r="D25" i="26"/>
  <c r="F25" i="26" s="1"/>
  <c r="F24" i="26"/>
  <c r="J7" i="23"/>
  <c r="K7" i="23" s="1"/>
  <c r="K5" i="23"/>
  <c r="J9" i="23"/>
  <c r="K9" i="23" s="1"/>
  <c r="J11" i="23"/>
  <c r="K11" i="23" s="1"/>
  <c r="J8" i="22"/>
  <c r="K6" i="22"/>
  <c r="L5" i="23"/>
  <c r="L6" i="22" l="1"/>
  <c r="K14" i="23"/>
  <c r="J10" i="22"/>
  <c r="K8" i="22"/>
  <c r="L7" i="23"/>
  <c r="L9" i="23"/>
  <c r="L11" i="23"/>
  <c r="J12" i="22" l="1"/>
  <c r="K10" i="22"/>
  <c r="L8" i="22"/>
  <c r="L10" i="22" l="1"/>
  <c r="J14" i="22"/>
  <c r="K14" i="22" s="1"/>
  <c r="K12" i="22"/>
  <c r="K16" i="22" s="1"/>
  <c r="L12" i="22" l="1"/>
  <c r="L14" i="22"/>
  <c r="J7" i="19" l="1"/>
  <c r="L7" i="19" s="1"/>
  <c r="E7" i="19"/>
  <c r="E24" i="19" s="1"/>
  <c r="L6" i="19"/>
  <c r="J6" i="19"/>
  <c r="E2" i="19"/>
  <c r="E6" i="19" s="1"/>
  <c r="E23" i="19" l="1"/>
  <c r="E25" i="19" s="1"/>
  <c r="M6" i="19"/>
  <c r="O6" i="19" s="1"/>
  <c r="M7" i="19"/>
  <c r="O7" i="19" s="1"/>
  <c r="J8" i="18"/>
  <c r="L8" i="18" s="1"/>
  <c r="J7" i="18"/>
  <c r="L7" i="18" s="1"/>
  <c r="E7" i="18"/>
  <c r="M7" i="18" s="1"/>
  <c r="O7" i="18" s="1"/>
  <c r="J6" i="18"/>
  <c r="L6" i="18" s="1"/>
  <c r="E2" i="18"/>
  <c r="E8" i="18" s="1"/>
  <c r="M8" i="18" s="1"/>
  <c r="O8" i="18" s="1"/>
  <c r="N7" i="19" l="1"/>
  <c r="D24" i="19" s="1"/>
  <c r="F24" i="19" s="1"/>
  <c r="N6" i="19"/>
  <c r="N7" i="18"/>
  <c r="N8" i="18"/>
  <c r="E6" i="18"/>
  <c r="D23" i="19" l="1"/>
  <c r="N8" i="19"/>
  <c r="E24" i="18"/>
  <c r="E25" i="18" s="1"/>
  <c r="M6" i="18"/>
  <c r="D25" i="19" l="1"/>
  <c r="F25" i="19" s="1"/>
  <c r="F23" i="19"/>
  <c r="O6" i="18"/>
  <c r="N6" i="18"/>
  <c r="N9" i="18" s="1"/>
  <c r="D24" i="18" s="1"/>
  <c r="D25" i="18" l="1"/>
  <c r="F25" i="18" s="1"/>
  <c r="F24" i="18"/>
  <c r="E2" i="11" l="1"/>
  <c r="N17" i="11" l="1"/>
  <c r="N12" i="11"/>
  <c r="N10" i="11"/>
  <c r="L18" i="11"/>
  <c r="L17" i="11"/>
  <c r="L16" i="11"/>
  <c r="L14" i="11"/>
  <c r="L13" i="11"/>
  <c r="L12" i="11"/>
  <c r="L11" i="11"/>
  <c r="L10" i="11"/>
  <c r="K16" i="11" l="1"/>
  <c r="M16" i="11" s="1"/>
  <c r="K17" i="11" l="1"/>
  <c r="K12" i="11"/>
  <c r="K10" i="11"/>
  <c r="M17" i="11" l="1"/>
  <c r="O17" i="11" s="1"/>
  <c r="P17" i="11"/>
  <c r="M10" i="11"/>
  <c r="O10" i="11" s="1"/>
  <c r="P10" i="11"/>
  <c r="M12" i="11"/>
  <c r="O12" i="11" s="1"/>
  <c r="P12" i="11"/>
  <c r="K11" i="11"/>
  <c r="M11" i="11" s="1"/>
  <c r="K18" i="11"/>
  <c r="M18" i="11" s="1"/>
  <c r="K13" i="11" l="1"/>
  <c r="M13" i="11" s="1"/>
  <c r="K15" i="11"/>
  <c r="M15" i="11" s="1"/>
  <c r="K14" i="11"/>
  <c r="M14" i="11" s="1"/>
  <c r="K20" i="11" l="1"/>
  <c r="M20" i="11" s="1"/>
  <c r="K19" i="11"/>
  <c r="M19" i="11" s="1"/>
  <c r="K9" i="11"/>
  <c r="M9" i="11" s="1"/>
  <c r="K8" i="11"/>
  <c r="M8" i="11" s="1"/>
  <c r="K7" i="11"/>
  <c r="M7" i="11" s="1"/>
  <c r="K6" i="11"/>
  <c r="M6" i="11" s="1"/>
  <c r="K5" i="11"/>
  <c r="M5" i="11" s="1"/>
  <c r="F11" i="11" l="1"/>
  <c r="N11" i="11" s="1"/>
  <c r="F18" i="11"/>
  <c r="N18" i="11" s="1"/>
  <c r="F13" i="11"/>
  <c r="N13" i="11" s="1"/>
  <c r="F15" i="11"/>
  <c r="N15" i="11" s="1"/>
  <c r="F16" i="11"/>
  <c r="N16" i="11" s="1"/>
  <c r="F14" i="11"/>
  <c r="N14" i="11" s="1"/>
  <c r="F19" i="11"/>
  <c r="N19" i="11" s="1"/>
  <c r="O19" i="11" s="1"/>
  <c r="F6" i="11"/>
  <c r="F8" i="11"/>
  <c r="N8" i="11" s="1"/>
  <c r="P8" i="11" s="1"/>
  <c r="F9" i="11"/>
  <c r="N9" i="11" s="1"/>
  <c r="P9" i="11" s="1"/>
  <c r="F20" i="11"/>
  <c r="N20" i="11" s="1"/>
  <c r="P20" i="11" s="1"/>
  <c r="F5" i="11"/>
  <c r="N5" i="11" s="1"/>
  <c r="F7" i="11"/>
  <c r="N7" i="11" s="1"/>
  <c r="P7" i="11" s="1"/>
  <c r="P19" i="11" l="1"/>
  <c r="P16" i="11"/>
  <c r="O16" i="11"/>
  <c r="P13" i="11"/>
  <c r="O13" i="11"/>
  <c r="P11" i="11"/>
  <c r="O11" i="11"/>
  <c r="P14" i="11"/>
  <c r="O14" i="11"/>
  <c r="P15" i="11"/>
  <c r="O15" i="11"/>
  <c r="P18" i="11"/>
  <c r="O18" i="11"/>
  <c r="N6" i="11"/>
  <c r="P6" i="11" s="1"/>
  <c r="P5" i="11"/>
  <c r="O8" i="11"/>
  <c r="O7" i="11"/>
  <c r="O20" i="11"/>
  <c r="O9" i="11"/>
  <c r="O5" i="11" l="1"/>
  <c r="O6" i="11"/>
  <c r="O21" i="11" l="1"/>
</calcChain>
</file>

<file path=xl/comments1.xml><?xml version="1.0" encoding="utf-8"?>
<comments xmlns="http://schemas.openxmlformats.org/spreadsheetml/2006/main">
  <authors>
    <author>Author</author>
  </authors>
  <commentList>
    <comment ref="M6" authorId="0" shapeId="0">
      <text>
        <r>
          <rPr>
            <b/>
            <sz val="9"/>
            <color indexed="81"/>
            <rFont val="Tahoma"/>
            <charset val="1"/>
          </rPr>
          <t>Author:</t>
        </r>
        <r>
          <rPr>
            <sz val="9"/>
            <color indexed="81"/>
            <rFont val="Tahoma"/>
            <charset val="1"/>
          </rPr>
          <t xml:space="preserve">
70%?</t>
        </r>
      </text>
    </comment>
  </commentList>
</comments>
</file>

<file path=xl/comments2.xml><?xml version="1.0" encoding="utf-8"?>
<comments xmlns="http://schemas.openxmlformats.org/spreadsheetml/2006/main">
  <authors>
    <author>Author</author>
  </authors>
  <commentList>
    <comment ref="M6" authorId="0" shapeId="0">
      <text>
        <r>
          <rPr>
            <b/>
            <sz val="9"/>
            <color indexed="81"/>
            <rFont val="Tahoma"/>
            <charset val="1"/>
          </rPr>
          <t>Author:</t>
        </r>
        <r>
          <rPr>
            <sz val="9"/>
            <color indexed="81"/>
            <rFont val="Tahoma"/>
            <charset val="1"/>
          </rPr>
          <t xml:space="preserve">
70%?</t>
        </r>
      </text>
    </comment>
  </commentList>
</comments>
</file>

<file path=xl/sharedStrings.xml><?xml version="1.0" encoding="utf-8"?>
<sst xmlns="http://schemas.openxmlformats.org/spreadsheetml/2006/main" count="659" uniqueCount="202">
  <si>
    <t xml:space="preserve">გადათვლის ინდექსი </t>
  </si>
  <si>
    <t>საშუალო დღიური დოზა</t>
  </si>
  <si>
    <t>ენალაპრილი</t>
  </si>
  <si>
    <t>ამლოდიპინი</t>
  </si>
  <si>
    <t>მეტოპროლოლი</t>
  </si>
  <si>
    <t>მედკამენტის უტილიზაცია</t>
  </si>
  <si>
    <t>მედიკამენტის უტილიზაცია</t>
  </si>
  <si>
    <t>ბენეფიციარების რაოდენობა</t>
  </si>
  <si>
    <t>მოსახლეობის რაოდენობა</t>
  </si>
  <si>
    <t>ატორვასტატინი</t>
  </si>
  <si>
    <t>N</t>
  </si>
  <si>
    <t>მედიკამეტი</t>
  </si>
  <si>
    <t>მიზნობრივი პოპულაციის რაოდენობა</t>
  </si>
  <si>
    <t>გულის იშემიური დაავადების მართვა</t>
  </si>
  <si>
    <t>არტერიული ჰიპერტენზიის მართვა</t>
  </si>
  <si>
    <t>გულის იშემიური დაავადება მართვა</t>
  </si>
  <si>
    <t>ცერებროვასკულური დაავადება მართვა</t>
  </si>
  <si>
    <t>მიზნობრივი დაავადების პრევალენტურობა n/100000 (NCDC სტატისტიკური ცნობარი)</t>
  </si>
  <si>
    <t>საშუალო დღიური დოზა (მგ/დღეში)</t>
  </si>
  <si>
    <t>ერთეულის ჯერადობა წლის განმავლობაში   (n   ტაბლეტი)</t>
  </si>
  <si>
    <t>მოთხოვნილი ბიუჯეტირებადი ერთეული 1 წლის განმავლობაში            (n ტაბლეტი)</t>
  </si>
  <si>
    <t>გადათვლის დაშვებები</t>
  </si>
  <si>
    <t>ფორმულის შემცველი ველები</t>
  </si>
  <si>
    <t>დაშვებები დაფუძნებულია  საქართველოში 2015 წლისათვის არსებულ დაავადებათა გავრცელების მაჩნებლებზე 100000 მოსახლეზე (NC DC სტატისტიკური ცნობარი 2016) და საერთაშორისო კლინკურ და ეპიდემიოლოგიურ მტკიცებულებებზე, მათ შორის ასახულზე ეროვნულ კლინიკურ რეკომენდაციებში</t>
  </si>
  <si>
    <t>მიზნობრივი პოპულაცია</t>
  </si>
  <si>
    <t>მიზნობრივობა</t>
  </si>
  <si>
    <t xml:space="preserve"> მიზნობრივობა</t>
  </si>
  <si>
    <t>მედიკამენტები</t>
  </si>
  <si>
    <t>ყველაზე ხშირად გამოვლენადი გულ-სისხლძარღვთა დაავადებები (არტერიული ჰიპერტენზია, გულის იშემური დაავადება, ცერებროვასკულური დაავადება) , რომლებსაც განმსაზღვრელი მნიშვნელობა აქვთ ავადობის, ინვალიდობის და სიკვდილობის განვითარებაში</t>
  </si>
  <si>
    <t>გადათვლებისას დაშვებულია მედიკამენტების მაღალი უტილიზაცია - 80%. დიკამენტების გამოყენებას შეზღუდავს ძირითად უკუჩვენებები, მოსალოდნელი გვერდითი ეფექტები , წამლის აუტანლობა - ჯამში ბენეფიციართა 20%-ში. ლოზარტანის (არბ) შედარებით დაბალი უტილიზაცია (20%) გათვალისწინებულია იმის გამო, რომ იგი წარმოადგენს ენალაპრილის (აგე-ი-ის) ალტერნატივას უკუჩვენებების, მოსალოდნელი გვერდითი ეფექტების , წამლის აუტანლობის პირობებში გამოყენებისათვის. ჰიდროქლორთიაზიდის 40%-იანი უტილიზაცია გათვალისწინებულია იმ განსჯით, რომ არტერიული ჰიპერტენზიის მართვისთვის მისი გამოყენება უპირატესად სხვა მედიკამენტთან კომბინაციაში ხდება, ხოლო არტერიული ჰიპერტენზიის მართვისთვის შემთხვევების უმეტესობაში (2 მედიკამენტი) გამოყენებული იქნება ენალაპრილის (აგე-ი-ის) და ამლოდიპინის (კალციუმის არხების ბლოკატორი) შემთხვევათა 60%-ში.</t>
  </si>
  <si>
    <t>დამყოლობის მაჩვენებელი (%) ზოგადად დაავადების მედიკამენტური მკურნალობისთვის</t>
  </si>
  <si>
    <t>დამყოლობის მაჩვენებელი (%)</t>
  </si>
  <si>
    <t>მედიკამენტური მკურნალობის სერვისებზე ბენეფიციართა (პაციენტთა) დამყოლობის მაჩვენებლად დაშვებულია 60% - საშუალოზე მაღალი მაჩვენებელი, რაც დაფუძნებულია შემდეგ დაშვებაზე: დადგენილი გულსისხლძარღვთა დაავადებების (გულის იშემიური დაავადება, ცერებროვასკულური დაავადება) მქონე პაციენტთა დამყოლობა მედიკამენტურ მკურნლობაზე მაღალია (70-80%), სოლო არტერიული ჰიპერტენზიით პაციენტებში - დაბალია (საშუალოდ 50%-მდე).</t>
  </si>
  <si>
    <t>შეესაბამება მიზნობრივი დაავადებების ხანგრძლივი მედიკამენტური მართვისთვის რეკომედებულ დოზებს</t>
  </si>
  <si>
    <t>ნიმუში მედიკამენტის ერთეულის საცალო ფასის დადგენისთვის</t>
  </si>
  <si>
    <t>ფასის დადგენისთვის შერჩეულია სააფთიაქო ქსელში დღეს არსებული ჯენერიკული მედიკამენტის მომწოდებელი ევროპული ფარმაცევტული კომპანიების მედიკამენტებზე დადგენილი ფასები</t>
  </si>
  <si>
    <t>სპირონოლაქტონი</t>
  </si>
  <si>
    <t>ფუროსემიდი</t>
  </si>
  <si>
    <t>იზოსორბიდდინიტრატი</t>
  </si>
  <si>
    <t>კლოპიდოგრელი</t>
  </si>
  <si>
    <t>ვარფარინი</t>
  </si>
  <si>
    <t>ამიოდარონი</t>
  </si>
  <si>
    <t>დიგოქსინი</t>
  </si>
  <si>
    <t>გადატანილი კორონარული რევასკულარიზაცია</t>
  </si>
  <si>
    <t>-</t>
  </si>
  <si>
    <r>
      <t>წლიური</t>
    </r>
    <r>
      <rPr>
        <b/>
        <sz val="12"/>
        <color rgb="FFFF0000"/>
        <rFont val="Calibri"/>
        <family val="2"/>
        <charset val="204"/>
        <scheme val="minor"/>
      </rPr>
      <t xml:space="preserve"> </t>
    </r>
    <r>
      <rPr>
        <b/>
        <sz val="12"/>
        <color rgb="FFFF0000"/>
        <rFont val="Sylfaen"/>
        <family val="1"/>
        <charset val="204"/>
      </rPr>
      <t>ბიუჯეტი ლარში</t>
    </r>
  </si>
  <si>
    <t>ლოსარტანი</t>
  </si>
  <si>
    <r>
      <t>ბიუჯეტირებადი</t>
    </r>
    <r>
      <rPr>
        <sz val="12"/>
        <color theme="1"/>
        <rFont val="Calibri"/>
        <family val="2"/>
        <charset val="204"/>
        <scheme val="minor"/>
      </rPr>
      <t xml:space="preserve"> </t>
    </r>
    <r>
      <rPr>
        <sz val="12"/>
        <color theme="1"/>
        <rFont val="Sylfaen"/>
        <family val="1"/>
        <charset val="204"/>
      </rPr>
      <t>ერთეული          (მგ-იანი ტაბლეტი)</t>
    </r>
  </si>
  <si>
    <r>
      <t>ერთეულის</t>
    </r>
    <r>
      <rPr>
        <sz val="12"/>
        <color theme="1"/>
        <rFont val="Calibri"/>
        <family val="2"/>
        <charset val="204"/>
        <scheme val="minor"/>
      </rPr>
      <t xml:space="preserve"> </t>
    </r>
    <r>
      <rPr>
        <sz val="12"/>
        <color theme="1"/>
        <rFont val="Sylfaen"/>
        <family val="1"/>
        <charset val="204"/>
      </rPr>
      <t>საცალო</t>
    </r>
    <r>
      <rPr>
        <sz val="12"/>
        <color theme="1"/>
        <rFont val="Calibri"/>
        <family val="2"/>
        <charset val="204"/>
        <scheme val="minor"/>
      </rPr>
      <t xml:space="preserve"> </t>
    </r>
    <r>
      <rPr>
        <sz val="12"/>
        <color theme="1"/>
        <rFont val="Sylfaen"/>
        <family val="1"/>
        <charset val="204"/>
      </rPr>
      <t>ფასი ლარში</t>
    </r>
  </si>
  <si>
    <r>
      <t>წლიური</t>
    </r>
    <r>
      <rPr>
        <b/>
        <sz val="12"/>
        <color rgb="FFFF0000"/>
        <rFont val="Calibri"/>
        <family val="2"/>
        <charset val="204"/>
        <scheme val="minor"/>
      </rPr>
      <t xml:space="preserve"> </t>
    </r>
    <r>
      <rPr>
        <b/>
        <sz val="12"/>
        <color rgb="FFFF0000"/>
        <rFont val="Sylfaen"/>
        <family val="1"/>
        <charset val="204"/>
      </rPr>
      <t>თანხა</t>
    </r>
    <r>
      <rPr>
        <b/>
        <sz val="12"/>
        <color rgb="FFFF0000"/>
        <rFont val="Calibri"/>
        <family val="2"/>
        <charset val="204"/>
        <scheme val="minor"/>
      </rPr>
      <t xml:space="preserve"> </t>
    </r>
    <r>
      <rPr>
        <b/>
        <sz val="12"/>
        <color rgb="FFFF0000"/>
        <rFont val="Sylfaen"/>
        <family val="1"/>
        <charset val="204"/>
      </rPr>
      <t>ერთ</t>
    </r>
    <r>
      <rPr>
        <b/>
        <sz val="12"/>
        <color rgb="FFFF0000"/>
        <rFont val="Calibri"/>
        <family val="2"/>
        <charset val="204"/>
        <scheme val="minor"/>
      </rPr>
      <t xml:space="preserve"> </t>
    </r>
    <r>
      <rPr>
        <b/>
        <sz val="12"/>
        <color rgb="FFFF0000"/>
        <rFont val="Sylfaen"/>
        <family val="1"/>
        <charset val="204"/>
      </rPr>
      <t>ბენეფიციარზე</t>
    </r>
  </si>
  <si>
    <t xml:space="preserve">სოციალურად დაუცველი პირები </t>
  </si>
  <si>
    <t xml:space="preserve">პარკუჭოვანი არითმიები (მაღალი გრადაციის) </t>
  </si>
  <si>
    <t xml:space="preserve">მოციმციმე არითმიის მართვა </t>
  </si>
  <si>
    <t>სტაბილური სტენოკარდია</t>
  </si>
  <si>
    <t>გულის უკმარისობა</t>
  </si>
  <si>
    <r>
      <t>მოციმციმე არითმიის მართვა</t>
    </r>
    <r>
      <rPr>
        <vertAlign val="superscript"/>
        <sz val="12"/>
        <color theme="1"/>
        <rFont val="Calibri"/>
        <family val="2"/>
        <charset val="204"/>
        <scheme val="minor"/>
      </rPr>
      <t>7</t>
    </r>
  </si>
  <si>
    <r>
      <t xml:space="preserve">მიზნობრივი დაავადების გათვლილი პრევალენტურობა </t>
    </r>
    <r>
      <rPr>
        <sz val="12"/>
        <color theme="1"/>
        <rFont val="Calibri"/>
        <family val="2"/>
        <scheme val="minor"/>
      </rPr>
      <t xml:space="preserve"> </t>
    </r>
  </si>
  <si>
    <t xml:space="preserve">მიზნობრივი პოპულაციის რაოდენობა </t>
  </si>
  <si>
    <t>სოციალურად დაუცველი პირები - სულ 670000 პირი.  ქრ. არაგადამდები დაავადებების (მ.შ. გსდ-ს სპეციფიური) ეპიდემიოლოგიური მაჩვენებლები მიზნობრივი პოპულაციისათვის შესწავლილი არ არის, თუმცა ძირითადი დემოგრაფიული მონაცემებით სარწმუნო განსხვავება ქვეყნის მთლიან პოპულაციასთან შედარებით არ დგინდება. ამდენად, პოტენციური ბენეფიციარების რაოდენობის გადათვლისას გამოყენებული იქნა აქტუალური ძირითადი დაავადებების გავრცელების მაჩვენებლები, რომლებიც მოწოდებულია ქვეყნის საერთო პოპულაციისთვის)</t>
  </si>
  <si>
    <t>ესენციური მედიკამენტები, რომლებიც თანამედროვე კლინიკური რეკომენდაციებით გამოიყენება აღნიშნული დაავადებების ქრონიკული მედიკამეტური მკურნალობისათვის (მონოთერაპიაში, კომბინაციებში და მაღალი ეფექტურობის მედიკამენტურ ნაკრებებში) რუტინულ ამბულატორიულ კლინიკურ პრაქტიკაში.</t>
  </si>
  <si>
    <r>
      <t>ბიუჯეტირებადი</t>
    </r>
    <r>
      <rPr>
        <sz val="11"/>
        <color theme="1"/>
        <rFont val="Calibri"/>
        <family val="2"/>
        <charset val="204"/>
        <scheme val="minor"/>
      </rPr>
      <t xml:space="preserve"> </t>
    </r>
    <r>
      <rPr>
        <sz val="11"/>
        <color theme="1"/>
        <rFont val="Sylfaen"/>
        <family val="1"/>
        <charset val="204"/>
      </rPr>
      <t>ერთეული  (მგ-იანი ტაბლეტი)</t>
    </r>
  </si>
  <si>
    <r>
      <t>ერთეულის</t>
    </r>
    <r>
      <rPr>
        <sz val="11"/>
        <color theme="1"/>
        <rFont val="Calibri"/>
        <family val="2"/>
        <charset val="204"/>
        <scheme val="minor"/>
      </rPr>
      <t xml:space="preserve"> </t>
    </r>
    <r>
      <rPr>
        <sz val="11"/>
        <color theme="1"/>
        <rFont val="Sylfaen"/>
        <family val="1"/>
        <charset val="204"/>
      </rPr>
      <t>საცალო</t>
    </r>
    <r>
      <rPr>
        <sz val="11"/>
        <color theme="1"/>
        <rFont val="Calibri"/>
        <family val="2"/>
        <charset val="204"/>
        <scheme val="minor"/>
      </rPr>
      <t xml:space="preserve"> </t>
    </r>
    <r>
      <rPr>
        <sz val="11"/>
        <color theme="1"/>
        <rFont val="Sylfaen"/>
        <family val="1"/>
        <charset val="204"/>
      </rPr>
      <t>ფასი ლარში</t>
    </r>
  </si>
  <si>
    <r>
      <t>წლიური</t>
    </r>
    <r>
      <rPr>
        <b/>
        <sz val="11"/>
        <color rgb="FFFF0000"/>
        <rFont val="Calibri"/>
        <family val="2"/>
        <charset val="204"/>
        <scheme val="minor"/>
      </rPr>
      <t xml:space="preserve"> </t>
    </r>
    <r>
      <rPr>
        <b/>
        <sz val="11"/>
        <color rgb="FFFF0000"/>
        <rFont val="Sylfaen"/>
        <family val="1"/>
        <charset val="204"/>
      </rPr>
      <t>თანხა</t>
    </r>
    <r>
      <rPr>
        <b/>
        <sz val="11"/>
        <color rgb="FFFF0000"/>
        <rFont val="Calibri"/>
        <family val="2"/>
        <charset val="204"/>
        <scheme val="minor"/>
      </rPr>
      <t xml:space="preserve"> </t>
    </r>
    <r>
      <rPr>
        <b/>
        <sz val="11"/>
        <color rgb="FFFF0000"/>
        <rFont val="Sylfaen"/>
        <family val="1"/>
        <charset val="204"/>
      </rPr>
      <t>ერთ</t>
    </r>
    <r>
      <rPr>
        <b/>
        <sz val="11"/>
        <color rgb="FFFF0000"/>
        <rFont val="Calibri"/>
        <family val="2"/>
        <charset val="204"/>
        <scheme val="minor"/>
      </rPr>
      <t xml:space="preserve"> </t>
    </r>
    <r>
      <rPr>
        <b/>
        <sz val="11"/>
        <color rgb="FFFF0000"/>
        <rFont val="Sylfaen"/>
        <family val="1"/>
        <charset val="204"/>
      </rPr>
      <t>ბენეფიციარზე</t>
    </r>
  </si>
  <si>
    <r>
      <t>წლიური</t>
    </r>
    <r>
      <rPr>
        <b/>
        <sz val="11"/>
        <color rgb="FFFF0000"/>
        <rFont val="Calibri"/>
        <family val="2"/>
        <charset val="204"/>
        <scheme val="minor"/>
      </rPr>
      <t xml:space="preserve"> </t>
    </r>
    <r>
      <rPr>
        <b/>
        <sz val="11"/>
        <color rgb="FFFF0000"/>
        <rFont val="Sylfaen"/>
        <family val="1"/>
        <charset val="204"/>
      </rPr>
      <t>ბიუჯეტი ლარში</t>
    </r>
  </si>
  <si>
    <t xml:space="preserve">გულის უკმარისობის შემთხვევები, რომლებისთვისაც ნაჩვენებია ხანმოკლე მოქმედების აგე ინჰიბირების სუბჰიპოტენზიური დოზების გამოყენება </t>
  </si>
  <si>
    <t>მეტფორმინი</t>
  </si>
  <si>
    <t>დიაბეტი ტიპი 2-ის მართვა</t>
  </si>
  <si>
    <t>გლიკლაზიდი</t>
  </si>
  <si>
    <t>გლიმეპირიდი</t>
  </si>
  <si>
    <t>უმწეოები (470000 მოზრდილი) და მარტოხელა პენსიონერები (126000 მოზრდილი) - სულ 596 000 პირი.  არაგადამდები დაავადებების ეპიდემიოლოგიური მაჩვენებლები მიზნობრივი პოპულაციისათვის შესწავლილი არ არის, თუმცა ძირითადი დემოგრაფიული მონაცემებით სარწმუნო განსხვავება ქვეყნის მთლიან პოპულაციასთან შედარებით არ დგინდება. ამდენად, პოტენციური ბენეფიციარების რაოდენობის გადათვლისას გამოყენებული იქნა აქტუალური ძირითადი დაავადებების გავრცელების მაჩვენებლები, რომლებიც მოწოდებულია ქვეყნის საერთო პოპულაციისთვის)</t>
  </si>
  <si>
    <t>ერთერთი ყველაზე გავრცელებული არაგადამდები დაავადებაა დიაბეტი ტიპი 2, რომელსაც სერიოზული მნიშვნელობა აქვს ავადობის, ინვალიდობის და სიკვდილობის განვითარებაში</t>
  </si>
  <si>
    <t>ესენციური მედიკამენტები, რომლებიც თანამედროვე კლინიკური რეკომენდაციებით გამოიყენება დიაბეტის მედიკამენტური მკურნალობისათვის რუტინულ ამბულატორიულ კლინიკურ პრაქტიკაში.</t>
  </si>
  <si>
    <t>გადათვლებისას დაშვებულია მედიკამენტების მაღალი უტილიზაცია - 80-95%</t>
  </si>
  <si>
    <t>მედიკამენტური მკურნალობის სერვისებზე ბენეფიციართა (პაციენტთა) დამყოლობის მაჩვენებლად დაშვებულია 60% - საშუალოზე მაღალი მაჩვენებელი, რაც დაფუძნებულია შემდეგ დაშვებაზე: დადგენილი დიაბეტის მქონე პაციენტთა დამყოლობა მედიკამენტურ მკურნლობაზე, კერძოდ მეტფორმინზე მაღალია (90-95%), სულფანილშარდოვანას შემთხვევაში გლიკლაზიდი, გლიმეპირიდი) კი - დაბალია (საშუალოდ 50%).</t>
  </si>
  <si>
    <t>კომპონენტი</t>
  </si>
  <si>
    <t>ბიუჯეტი (ლარი)</t>
  </si>
  <si>
    <t>ბენეფიცართა რაოდენობა (n)</t>
  </si>
  <si>
    <t>ბიუჯეტი ერთ ბენეფიციარზე (ლარი)</t>
  </si>
  <si>
    <t>დიაბეტი ტიპი 2</t>
  </si>
  <si>
    <t>სულ, პროგრამის ბიუჯეტი</t>
  </si>
  <si>
    <r>
      <t>ბიუჯეტირებადი</t>
    </r>
    <r>
      <rPr>
        <sz val="11"/>
        <color theme="1"/>
        <rFont val="Calibri"/>
        <family val="2"/>
        <charset val="204"/>
        <scheme val="minor"/>
      </rPr>
      <t xml:space="preserve"> </t>
    </r>
    <r>
      <rPr>
        <sz val="11"/>
        <color theme="1"/>
        <rFont val="Sylfaen"/>
        <family val="1"/>
        <charset val="204"/>
      </rPr>
      <t>ერთეული          (მგ-იანი ტაბლეტი)</t>
    </r>
  </si>
  <si>
    <t>თიამაზოლი</t>
  </si>
  <si>
    <t>თირეოტოქსიკოზის (ჰიპერთირეოზი) მართვა</t>
  </si>
  <si>
    <t>თიროზოლი 5მგ-იანი, N50 - 10 ლარი</t>
  </si>
  <si>
    <t>ლევოთიროქსინი (L-თიროქსინი, ეუთიროქსი)</t>
  </si>
  <si>
    <t>სუბკლინიკური იოდდეფიციტური ჰიპოთირეოზის და ჰიპოთირეოზის სხვა ფორმების, თიროიდიტის მართვა</t>
  </si>
  <si>
    <t>L-თიროქსინი, 50-მკ-იანი N100 - 7.50 ლარი</t>
  </si>
  <si>
    <t>დაშვებები დაფუძნებულია  საქართველოში 2015 წლისათვის არსებულ დაავადებათა გავრცელების მაჩნებლებზე 100000 მოსახლეზე (NCDC სტატისტიკური ცნობარი 2016) და საერთაშორისო კლინკურ და ეპიდემიოლოგიურ მტკიცებულებებზე, მათ შორის ასახულზე ეროვნულ კლინიკურ რეკომენდაციებში</t>
  </si>
  <si>
    <t>უმწეოები (470000 მოზრდილი) და მარტოხელა პენსიონერები (126000 მოზრდილი) - სულ 596 000 პირი.  ფარისებრი ჯირკვლის დაავადებების ეპიდემიოლოგიური მაჩვენებლები მიზნობრივი პოპულაციისათვის შესწავლილი არ არის, თუმცაძირითადი დემოგრაფიული მონაცემებით სარწმუნო განსხვავება ქვეყნის მთლიან პოპულაციასთან შედარებით არ დგინდება. ამდენად, პოტენციური ბენეფიციარების რაოდენობის გადათვლისას გამოყენებული იქნა აქტუალური ძირითადი დაავადებების გავრცელების მაჩვენებლები, რომლებიც მოწოდებულია ქვეყნის საერთო პოპულაციისთვის)</t>
  </si>
  <si>
    <t>ერთერთი ყველაზე ხშირად გამოვლენადი ფარისებრი ჯირკვლის დაავადებები (სუბკლინიკური იოდდეფიციტური ჰიპოთირეოზი და ჰიპოთირეოზის სხვა ფორმები, თიროიდიტი, თირეოტოქსიკოზი (ჰიპერთირეოზი)), რომლებსაც სერიოზული მნიშვნელობა აქვთ ავადობის და ინვალიდობის განვითარებაში</t>
  </si>
  <si>
    <t xml:space="preserve">ესენციური მედიკამენტები, რომლებიც თანამედროვე კლინიკური რეკომენდაციებით გამოიყენება აღნიშნული დაავადებების ქრონიკული მედიკამენტური მკურნალობისათვის </t>
  </si>
  <si>
    <t xml:space="preserve">გადათვლებისას დაშვებულია მედიკამენტების მაღალი უტილიზაცია - 80%. </t>
  </si>
  <si>
    <t>მედიკამენტური მკურნალობის სერვისებზე ბენეფიციართა (პაციენტთა) დამყოლობის მაჩვენებლად დაშვებულია 60%.</t>
  </si>
  <si>
    <t>თირეოტოქსიკოზი</t>
  </si>
  <si>
    <t>სუბკლინიკური იოდდეფიციტური ჰიპოთირეოზი და ჰიპოთირეოზის სხვა ფორმები, თიროიდიტი</t>
  </si>
  <si>
    <t>სამიზნე ბენეფიციართა საშუალო წლიური რაოდენობა</t>
  </si>
  <si>
    <t>მათ შორის &lt;15 წლამდე ასაკის  საშუალო წლიური მოსახლეობა</t>
  </si>
  <si>
    <t>#</t>
  </si>
  <si>
    <t>მაჩვენებელი 100,000 მოსახლეზე</t>
  </si>
  <si>
    <t xml:space="preserve">გავრცელების მაჩვენებელი ( (წლიური ფორმის მიხედვით) </t>
  </si>
  <si>
    <t>7.</t>
  </si>
  <si>
    <t>ბრონქული ასთმის პრევალენტობა 100 000 მოსახლეზე (NCDC, 2015)</t>
  </si>
  <si>
    <t>8.</t>
  </si>
  <si>
    <t>ბრონქული ასთმის პრევალენტობა &lt;15 წლის მოსახლეობაში 100 000 მოსახლეზე (NCDC, 2015)</t>
  </si>
  <si>
    <t>9.</t>
  </si>
  <si>
    <t>ფილტვის ქრონიკული ობსტრუქციული დაავადება პრევალენტობა 100 000 მოსახლეზე (NCDC, 2015)</t>
  </si>
  <si>
    <t>ფორმულების შემცველი ველები</t>
  </si>
  <si>
    <t>მედიკამენტების დოზირების გათვლა ერთ ბენეფიციარზე გადაანგარიშებით</t>
  </si>
  <si>
    <t>მედიკამენტი</t>
  </si>
  <si>
    <t>დოზის განზ.-ბა</t>
  </si>
  <si>
    <r>
      <t>ბიუჯეტირებადი</t>
    </r>
    <r>
      <rPr>
        <b/>
        <sz val="11"/>
        <color theme="1"/>
        <rFont val="Calibri"/>
        <family val="2"/>
        <charset val="204"/>
        <scheme val="minor"/>
      </rPr>
      <t xml:space="preserve"> </t>
    </r>
    <r>
      <rPr>
        <b/>
        <sz val="11"/>
        <color theme="1"/>
        <rFont val="Sylfaen"/>
        <family val="1"/>
        <charset val="204"/>
      </rPr>
      <t>ერთეული</t>
    </r>
  </si>
  <si>
    <r>
      <t>ბიუჯეტირებადი</t>
    </r>
    <r>
      <rPr>
        <b/>
        <sz val="11"/>
        <color theme="1"/>
        <rFont val="Calibri"/>
        <family val="2"/>
        <charset val="204"/>
        <scheme val="minor"/>
      </rPr>
      <t xml:space="preserve"> </t>
    </r>
    <r>
      <rPr>
        <b/>
        <sz val="11"/>
        <color theme="1"/>
        <rFont val="Sylfaen"/>
        <family val="1"/>
        <charset val="204"/>
      </rPr>
      <t>ერთეულის განზ.-ბა</t>
    </r>
  </si>
  <si>
    <t>ჯერადობა წლის განმავლობაში</t>
  </si>
  <si>
    <r>
      <t>ერთეულის</t>
    </r>
    <r>
      <rPr>
        <b/>
        <sz val="11"/>
        <color theme="1"/>
        <rFont val="Calibri"/>
        <family val="2"/>
        <charset val="204"/>
        <scheme val="minor"/>
      </rPr>
      <t xml:space="preserve"> </t>
    </r>
    <r>
      <rPr>
        <b/>
        <sz val="11"/>
        <color theme="1"/>
        <rFont val="Sylfaen"/>
        <family val="1"/>
        <charset val="204"/>
      </rPr>
      <t>საბაზრო</t>
    </r>
    <r>
      <rPr>
        <b/>
        <sz val="11"/>
        <color theme="1"/>
        <rFont val="Calibri"/>
        <family val="2"/>
        <charset val="204"/>
        <scheme val="minor"/>
      </rPr>
      <t xml:space="preserve"> </t>
    </r>
    <r>
      <rPr>
        <b/>
        <sz val="11"/>
        <color theme="1"/>
        <rFont val="Sylfaen"/>
        <family val="1"/>
        <charset val="204"/>
      </rPr>
      <t>ფასი (ლარი)</t>
    </r>
  </si>
  <si>
    <t>წლიური დოზის ფასი საქართველოში</t>
  </si>
  <si>
    <t>წლიური რაოდენობა</t>
  </si>
  <si>
    <t>მედიკამენტის ფორმა</t>
  </si>
  <si>
    <t>ბრონქული ასთმა</t>
  </si>
  <si>
    <r>
      <t xml:space="preserve">ბუდენოზიდი,     </t>
    </r>
    <r>
      <rPr>
        <sz val="9"/>
        <color theme="1"/>
        <rFont val="Sylfaen"/>
        <family val="1"/>
        <charset val="204"/>
      </rPr>
      <t xml:space="preserve">სუსპენზია ნებულაიზერისათვის </t>
    </r>
  </si>
  <si>
    <t>მკგ/დღეში</t>
  </si>
  <si>
    <t>მკგ-იანი ამპულა</t>
  </si>
  <si>
    <t>0,5მგ/მლ საინჰალაციო სუსპენზია 2 მლ ერთჯერადი კონტეინერი</t>
  </si>
  <si>
    <r>
      <t xml:space="preserve">ალბუტეროლი,        </t>
    </r>
    <r>
      <rPr>
        <sz val="9"/>
        <color theme="1"/>
        <rFont val="Sylfaen"/>
        <family val="1"/>
        <charset val="204"/>
      </rPr>
      <t>ხსნარი ნებულაიზერისათვის</t>
    </r>
  </si>
  <si>
    <t>მგ/დღეში</t>
  </si>
  <si>
    <t>მგ-იანი ამპულა</t>
  </si>
  <si>
    <t>0,5%-იანი საინჰალაციო ხსნარი 0,5მლ ფლაკონი</t>
  </si>
  <si>
    <t>ბუდესონიდი, საინჰალაციო აეროზოლი</t>
  </si>
  <si>
    <t>მკგ-იანი დოზირებული ინჰალატორი 60 დოზა</t>
  </si>
  <si>
    <t>200მკგ-იანი საინჰალაციო აეროზოლი 60 დოზა</t>
  </si>
  <si>
    <r>
      <t xml:space="preserve">სალბუტამოლი,        </t>
    </r>
    <r>
      <rPr>
        <sz val="9"/>
        <color theme="1"/>
        <rFont val="Sylfaen"/>
        <family val="1"/>
        <charset val="204"/>
      </rPr>
      <t>საინჰალაციო აეროზოლი</t>
    </r>
  </si>
  <si>
    <t>მკგ-იანი დოზა</t>
  </si>
  <si>
    <t>100მკგ 200 დოზიანი საინჰალაციო აეროზოლი</t>
  </si>
  <si>
    <t>სალმეტეროლ/ფლუტიკაზონი</t>
  </si>
  <si>
    <t>50/250მკგ 60 დოზა</t>
  </si>
  <si>
    <t>დისკჰალერი</t>
  </si>
  <si>
    <t>50/250მკგ 60-დოზიანი დისკჰალერი</t>
  </si>
  <si>
    <t>ფილტვის ქრ. ობსტრუქციული დაავადება</t>
  </si>
  <si>
    <t>სალბუტამოლი, დოზირებული ინჰალატორი 100მკგ/200 დოზა</t>
  </si>
  <si>
    <t>200 მკგ დოზა</t>
  </si>
  <si>
    <t>თიოტროპიუმის ბრომიდი 18მკგ საინჰალაციო ფხვნილი, 90 კაფსულა</t>
  </si>
  <si>
    <t>კაფსულებიანი შეფუთვა</t>
  </si>
  <si>
    <t>18მკგ საინჰალაციო ფხვნილი 30 კაფსულა აპარატით</t>
  </si>
  <si>
    <t>მეთილპრედნიზოლონი ტაბლეტი</t>
  </si>
  <si>
    <t>14 ტაბლეტიანი შეფუთვა</t>
  </si>
  <si>
    <t>ტაბლეტიანი ბლისტერი</t>
  </si>
  <si>
    <t>16მგ-იანი 14 ტაბლეტიანი ბლისტერი</t>
  </si>
  <si>
    <t>დოზა</t>
  </si>
  <si>
    <t>ერთეულისჯერადობა წლის განმავლობაში</t>
  </si>
  <si>
    <t>ცალკეული მედიკამენტის უტილიზაციის %</t>
  </si>
  <si>
    <t>დამყოლობის პროცენტი</t>
  </si>
  <si>
    <r>
      <t>ერთეულის</t>
    </r>
    <r>
      <rPr>
        <b/>
        <sz val="11"/>
        <color theme="1"/>
        <rFont val="Calibri"/>
        <family val="2"/>
        <charset val="204"/>
        <scheme val="minor"/>
      </rPr>
      <t xml:space="preserve"> </t>
    </r>
    <r>
      <rPr>
        <b/>
        <sz val="11"/>
        <color theme="1"/>
        <rFont val="Sylfaen"/>
        <family val="1"/>
        <charset val="204"/>
      </rPr>
      <t>საბაზრო</t>
    </r>
    <r>
      <rPr>
        <b/>
        <sz val="11"/>
        <color theme="1"/>
        <rFont val="Calibri"/>
        <family val="2"/>
        <charset val="204"/>
        <scheme val="minor"/>
      </rPr>
      <t xml:space="preserve"> </t>
    </r>
    <r>
      <rPr>
        <b/>
        <sz val="11"/>
        <color theme="1"/>
        <rFont val="Sylfaen"/>
        <family val="1"/>
        <charset val="204"/>
      </rPr>
      <t>ფასი</t>
    </r>
  </si>
  <si>
    <r>
      <t>წლიური</t>
    </r>
    <r>
      <rPr>
        <b/>
        <sz val="11"/>
        <color theme="1"/>
        <rFont val="Calibri"/>
        <family val="2"/>
        <charset val="204"/>
        <scheme val="minor"/>
      </rPr>
      <t xml:space="preserve"> </t>
    </r>
    <r>
      <rPr>
        <b/>
        <sz val="11"/>
        <color theme="1"/>
        <rFont val="Sylfaen"/>
        <family val="1"/>
        <charset val="204"/>
      </rPr>
      <t>თანხა</t>
    </r>
    <r>
      <rPr>
        <b/>
        <sz val="11"/>
        <color theme="1"/>
        <rFont val="Calibri"/>
        <family val="2"/>
        <charset val="204"/>
        <scheme val="minor"/>
      </rPr>
      <t xml:space="preserve"> </t>
    </r>
    <r>
      <rPr>
        <b/>
        <sz val="11"/>
        <color theme="1"/>
        <rFont val="Sylfaen"/>
        <family val="1"/>
        <charset val="204"/>
      </rPr>
      <t>ერთ</t>
    </r>
    <r>
      <rPr>
        <b/>
        <sz val="11"/>
        <color theme="1"/>
        <rFont val="Calibri"/>
        <family val="2"/>
        <charset val="204"/>
        <scheme val="minor"/>
      </rPr>
      <t xml:space="preserve"> </t>
    </r>
    <r>
      <rPr>
        <b/>
        <sz val="11"/>
        <color theme="1"/>
        <rFont val="Sylfaen"/>
        <family val="1"/>
        <charset val="204"/>
      </rPr>
      <t>ბენეფიციარზე</t>
    </r>
  </si>
  <si>
    <t>ბენეფიციართა რაოდენობა ასთმის პრევალენტობის მიხედვით</t>
  </si>
  <si>
    <r>
      <t>წლიური</t>
    </r>
    <r>
      <rPr>
        <b/>
        <sz val="11"/>
        <color theme="1"/>
        <rFont val="Calibri"/>
        <family val="2"/>
        <charset val="204"/>
        <scheme val="minor"/>
      </rPr>
      <t xml:space="preserve"> </t>
    </r>
    <r>
      <rPr>
        <b/>
        <sz val="11"/>
        <color theme="1"/>
        <rFont val="Sylfaen"/>
        <family val="1"/>
        <charset val="204"/>
      </rPr>
      <t>ბიუჯეტი ლარში</t>
    </r>
  </si>
  <si>
    <r>
      <t>წლიური</t>
    </r>
    <r>
      <rPr>
        <b/>
        <sz val="11"/>
        <color theme="1"/>
        <rFont val="Calibri"/>
        <family val="2"/>
        <charset val="204"/>
        <scheme val="minor"/>
      </rPr>
      <t xml:space="preserve"> </t>
    </r>
    <r>
      <rPr>
        <b/>
        <sz val="11"/>
        <color theme="1"/>
        <rFont val="Sylfaen"/>
        <family val="1"/>
        <charset val="204"/>
      </rPr>
      <t>რაოდენობა</t>
    </r>
  </si>
  <si>
    <t>პროგრამის კომპონენტის ბიუჯეტი ასთმით დაავადებული პაციენტებისათვის</t>
  </si>
  <si>
    <t>ერთეულის ჯერადობა წლის განმავლობაში</t>
  </si>
  <si>
    <t>ბენეფიციართა რაოდენობა პრევალენტობის მიხედვით</t>
  </si>
  <si>
    <t xml:space="preserve">ბუდეზონიდი,                          სუსპენზია ნებულაიზერისათვის </t>
  </si>
  <si>
    <t>0,5მგ/მლ 2 მლ-იანი ნებულა</t>
  </si>
  <si>
    <t>დღეში</t>
  </si>
  <si>
    <t>ალბუტეროლი,                           ხსნარი ნებულაიზერისათვის</t>
  </si>
  <si>
    <r>
      <t>2,5</t>
    </r>
    <r>
      <rPr>
        <sz val="10"/>
        <color theme="1"/>
        <rFont val="Sylfaen"/>
        <family val="1"/>
        <charset val="204"/>
      </rPr>
      <t>მგ</t>
    </r>
    <r>
      <rPr>
        <sz val="10"/>
        <color theme="1"/>
        <rFont val="Calibri"/>
        <family val="2"/>
        <charset val="204"/>
        <scheme val="minor"/>
      </rPr>
      <t>-</t>
    </r>
    <r>
      <rPr>
        <sz val="10"/>
        <color theme="1"/>
        <rFont val="Sylfaen"/>
        <family val="1"/>
        <charset val="204"/>
      </rPr>
      <t>იანი</t>
    </r>
    <r>
      <rPr>
        <sz val="10"/>
        <color theme="1"/>
        <rFont val="Calibri"/>
        <family val="2"/>
        <charset val="204"/>
        <scheme val="minor"/>
      </rPr>
      <t xml:space="preserve"> </t>
    </r>
    <r>
      <rPr>
        <sz val="10"/>
        <color theme="1"/>
        <rFont val="Sylfaen"/>
        <family val="1"/>
        <charset val="204"/>
      </rPr>
      <t>ამპულა</t>
    </r>
  </si>
  <si>
    <t>ბუდეზონიდი,                           საინჰალაციო აეროზოლი</t>
  </si>
  <si>
    <t>200მკგ დოზირებული ინჰალატორი</t>
  </si>
  <si>
    <t>სალბუტამოლი,                  საინჰალაციო აეროზოლი</t>
  </si>
  <si>
    <r>
      <t>100მკ</t>
    </r>
    <r>
      <rPr>
        <sz val="10"/>
        <color theme="1"/>
        <rFont val="Sylfaen"/>
        <family val="1"/>
        <charset val="204"/>
      </rPr>
      <t>გ</t>
    </r>
    <r>
      <rPr>
        <sz val="10"/>
        <color theme="1"/>
        <rFont val="Calibri"/>
        <family val="2"/>
        <charset val="204"/>
        <scheme val="minor"/>
      </rPr>
      <t>-</t>
    </r>
    <r>
      <rPr>
        <sz val="10"/>
        <color theme="1"/>
        <rFont val="Sylfaen"/>
        <family val="1"/>
        <charset val="204"/>
      </rPr>
      <t>იანი</t>
    </r>
    <r>
      <rPr>
        <sz val="10"/>
        <color theme="1"/>
        <rFont val="Calibri"/>
        <family val="2"/>
        <charset val="204"/>
        <scheme val="minor"/>
      </rPr>
      <t xml:space="preserve"> </t>
    </r>
    <r>
      <rPr>
        <sz val="10"/>
        <color theme="1"/>
        <rFont val="Sylfaen"/>
        <family val="1"/>
        <charset val="204"/>
      </rPr>
      <t>დოზა</t>
    </r>
  </si>
  <si>
    <r>
      <t>/</t>
    </r>
    <r>
      <rPr>
        <sz val="10"/>
        <color theme="1"/>
        <rFont val="Sylfaen"/>
        <family val="1"/>
        <charset val="204"/>
      </rPr>
      <t>დღეში</t>
    </r>
  </si>
  <si>
    <t>50/250მკგ 60 დოზიანი დისკუსი</t>
  </si>
  <si>
    <t>/დღეში</t>
  </si>
  <si>
    <r>
      <t>სულ:</t>
    </r>
    <r>
      <rPr>
        <b/>
        <sz val="10"/>
        <color theme="1"/>
        <rFont val="Calibri"/>
        <family val="2"/>
        <charset val="204"/>
        <scheme val="minor"/>
      </rPr>
      <t xml:space="preserve"> </t>
    </r>
    <r>
      <rPr>
        <b/>
        <sz val="10"/>
        <color theme="1"/>
        <rFont val="Sylfaen"/>
        <family val="1"/>
        <charset val="204"/>
      </rPr>
      <t>პროგრამის</t>
    </r>
    <r>
      <rPr>
        <b/>
        <sz val="10"/>
        <color theme="1"/>
        <rFont val="Calibri"/>
        <family val="2"/>
        <charset val="204"/>
        <scheme val="minor"/>
      </rPr>
      <t xml:space="preserve"> </t>
    </r>
    <r>
      <rPr>
        <b/>
        <sz val="10"/>
        <color theme="1"/>
        <rFont val="Sylfaen"/>
        <family val="1"/>
        <charset val="204"/>
      </rPr>
      <t>ბიუჯეტი</t>
    </r>
  </si>
  <si>
    <t>ბიუჯეტირების პროცესში ასახული დაშვებები</t>
  </si>
  <si>
    <t>1) ასთმის პროგრამის ბენეფიციართა რაოდენობად განისაზღვრა პაციენტთა რიცხვი, საქართველოს ჯანდაცვის სტატისტიკური ცნობარის 2015 წლის ასთმის პრევალენტობის მაჩვენებლის მიხედვით</t>
  </si>
  <si>
    <t>2)სხვადასხვა საერთაშორისო კვლევაზე დაყრდნობით სავარაუდოა, რომ ასთმით დიაგნოსტირებული ბავშვების დაახლოებით 45%  და მოზრდილების 60%  საჭიროებს ასთმის რეგულარულ მედიკამენტურ მართვას (თუმცა,  ასთმის მართვის დაბალი ხარისხის პირობებში, საქართველოში რეგულარულ მედიკამენტურ მართვას დაქვემდებარებული პაციენტების წილი შესაძლოა უფრო მაღალი იყოს).</t>
  </si>
  <si>
    <t>3) ბუდესონიდის სუსპენზია და ალბუტეროლის ხსნარი ნებულაიზერისთვის გამოიყენება ძირითადად ასთმის გამწვავების სამკურნალოდ. შესაბამისად, გამწვავებების საშუალო რაოდენობად აღებული იქნა წელიწადში 2  გამწვავება, როდესაც ნებულაიზეროთერაპიის საჭიროება შესაძლებელია დადგეს მთლიანობაში 20 დღის განმავლობაში.</t>
  </si>
  <si>
    <t>3) სალბუტამოლის ინჰალაცია გათვალისწინებულია შემთხვევათა 95%-ში დანარჩენ 5%-ში შესაძლებელია აღინიშნის გვერდითი ეფექტების  და უკუჩვენებების არსებობა</t>
  </si>
  <si>
    <r>
      <t>ბიუჯეტირებადი</t>
    </r>
    <r>
      <rPr>
        <b/>
        <sz val="10"/>
        <color theme="1"/>
        <rFont val="Calibri"/>
        <family val="2"/>
        <charset val="204"/>
        <scheme val="minor"/>
      </rPr>
      <t xml:space="preserve"> </t>
    </r>
    <r>
      <rPr>
        <b/>
        <sz val="10"/>
        <color theme="1"/>
        <rFont val="Sylfaen"/>
        <family val="1"/>
        <charset val="204"/>
      </rPr>
      <t>ერთეული</t>
    </r>
  </si>
  <si>
    <r>
      <t>ერთეულის</t>
    </r>
    <r>
      <rPr>
        <b/>
        <sz val="10"/>
        <color theme="1"/>
        <rFont val="Calibri"/>
        <family val="2"/>
        <charset val="204"/>
        <scheme val="minor"/>
      </rPr>
      <t xml:space="preserve"> </t>
    </r>
    <r>
      <rPr>
        <b/>
        <sz val="10"/>
        <color theme="1"/>
        <rFont val="Sylfaen"/>
        <family val="1"/>
        <charset val="204"/>
      </rPr>
      <t>საბაზრო</t>
    </r>
    <r>
      <rPr>
        <b/>
        <sz val="10"/>
        <color theme="1"/>
        <rFont val="Calibri"/>
        <family val="2"/>
        <charset val="204"/>
        <scheme val="minor"/>
      </rPr>
      <t xml:space="preserve"> </t>
    </r>
    <r>
      <rPr>
        <b/>
        <sz val="10"/>
        <color theme="1"/>
        <rFont val="Sylfaen"/>
        <family val="1"/>
        <charset val="204"/>
      </rPr>
      <t>ფასი, GEL</t>
    </r>
  </si>
  <si>
    <r>
      <t>წლიური</t>
    </r>
    <r>
      <rPr>
        <b/>
        <sz val="10"/>
        <color theme="1"/>
        <rFont val="Calibri"/>
        <family val="2"/>
        <charset val="204"/>
        <scheme val="minor"/>
      </rPr>
      <t xml:space="preserve"> </t>
    </r>
    <r>
      <rPr>
        <b/>
        <sz val="10"/>
        <color theme="1"/>
        <rFont val="Sylfaen"/>
        <family val="1"/>
        <charset val="204"/>
      </rPr>
      <t>თანხა</t>
    </r>
    <r>
      <rPr>
        <b/>
        <sz val="10"/>
        <color theme="1"/>
        <rFont val="Calibri"/>
        <family val="2"/>
        <charset val="204"/>
        <scheme val="minor"/>
      </rPr>
      <t xml:space="preserve"> </t>
    </r>
    <r>
      <rPr>
        <b/>
        <sz val="10"/>
        <color theme="1"/>
        <rFont val="Sylfaen"/>
        <family val="1"/>
        <charset val="204"/>
      </rPr>
      <t>ერთ</t>
    </r>
    <r>
      <rPr>
        <b/>
        <sz val="10"/>
        <color theme="1"/>
        <rFont val="Calibri"/>
        <family val="2"/>
        <charset val="204"/>
        <scheme val="minor"/>
      </rPr>
      <t xml:space="preserve"> </t>
    </r>
    <r>
      <rPr>
        <b/>
        <sz val="10"/>
        <color theme="1"/>
        <rFont val="Sylfaen"/>
        <family val="1"/>
        <charset val="204"/>
      </rPr>
      <t>ბენეფიციარზე</t>
    </r>
  </si>
  <si>
    <t>ბენეფიციართა რაოდენობა სპირომეტრიულად დადასტურებული დიაგნოზით</t>
  </si>
  <si>
    <r>
      <t>წლიური</t>
    </r>
    <r>
      <rPr>
        <b/>
        <sz val="10"/>
        <color theme="1"/>
        <rFont val="Calibri"/>
        <family val="2"/>
        <charset val="204"/>
        <scheme val="minor"/>
      </rPr>
      <t xml:space="preserve"> </t>
    </r>
    <r>
      <rPr>
        <b/>
        <sz val="10"/>
        <color theme="1"/>
        <rFont val="Sylfaen"/>
        <family val="1"/>
        <charset val="204"/>
      </rPr>
      <t>ბიუჯეტი ლარში</t>
    </r>
  </si>
  <si>
    <t>პროგრამის კომპონენტის ბიუჯეტი ფქოდ-ით დაავადებული პაციენტებისათვის</t>
  </si>
  <si>
    <t>სალმეტეროლ/ფლუტიკაზონი 50/250</t>
  </si>
  <si>
    <t>50/200მკ-იანი 60 დოზიანი დისკუსი</t>
  </si>
  <si>
    <t>200 დოზიანი ინჰალატორი</t>
  </si>
  <si>
    <t>თიოტროპიუმის ბრომიდი 18მკგ საინჰალაციო ფხვნილი, 30 კაფსულა</t>
  </si>
  <si>
    <t>30 კაფსულიანი შეფუთვა</t>
  </si>
  <si>
    <t>მეთილპრედნიზოლონი</t>
  </si>
  <si>
    <t>1) ფქოდ-ის პროგრამის ბენეფიციართა რაოდენობად განისაზღვრა პაციენტთა რიცხვი, რომელთაც სპირომეტრიულად აქვთ დადასტურებული ფქოდ-ის დიაგნოზი (40%). მონაცემები ეყრდნობა USAID-ის ჯანდაცვის გაუმჯობესების პროექტის კვლევისა და საერთაშორისო კვლევების მონაცემებს. საბაზისო მაჩვენებლად აღებული იქნა საქართველოს ჯანმრთელობი დაცვის 2015 წლის სტატისტიკური ცნობარის პრევალენტობის მაჩვენებელი ქრონიკული და დაუზუსტებელი ბრონქიტის, ემფიზემის და ფილტვის სხვა ქრონიკული ობსტრუქციული ავადმყოფობების მიხედვით.</t>
  </si>
  <si>
    <t>2)სხვადასხვა საერთაშორისო კვლევაზე დაყრდნობით სავარაუდოა, რომ ფქოდ-ის რეგულარული მედიკამენტური თერაპია მაკონტროლებელი პრეპარატებით ესაჭიროება პაციენტთა დაახლოებით 60%-ს, რომელთაც დაავადების საშუალო ან მძიმე ფორმა აქვთ. ამავე რაოდენობას ასევე შესაძლებელია აღენიშნებოდეს წელიწადში საშუალოდ ორი გამწვავება, რაც გათვალისწინებულია მეთილპრედნიზოლონის ბიუჯეტის გათვლისას.</t>
  </si>
  <si>
    <t>3) სალბუტამოლის ინჰალაცია გათვალისწინებულია შემთხვევათა 95%-ში დანარჩენ 5%-ში შესაძლებელია აღინიშნის გვერდითი ეფექტების  და უკუჩვენბების არსებობა</t>
  </si>
  <si>
    <t>გულ-სისხლძარღვთა დაავადებები</t>
  </si>
  <si>
    <t>ფარისებრი ჯირკვლის დაავადებები</t>
  </si>
  <si>
    <t>ფილტვის ქრონიკული დაავადებები</t>
  </si>
  <si>
    <t>დიაბეტი (ტიპი 2)</t>
  </si>
  <si>
    <t>სულ წლიური საჭიროება</t>
  </si>
  <si>
    <t>5 თვის საჭიროება (აგვისტო-დეკემბერი)</t>
  </si>
  <si>
    <t>საპენსიო და სხვა</t>
  </si>
  <si>
    <t>3 თვის საჭიროება (ოქტომბერი-დეკემბერი)</t>
  </si>
  <si>
    <t>სულ 2018 საჭირო ბიუჯეტი</t>
  </si>
  <si>
    <t>2017 (სოცდაუცველი)</t>
  </si>
  <si>
    <t>2018
 (საპენსიო და შშმპ)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</si>
</sst>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0.0"/>
  </numFmts>
  <fonts count="48" x14ac:knownFonts="1">
    <font>
      <sz val="11"/>
      <color theme="1"/>
      <name val="Calibri"/>
      <family val="2"/>
      <scheme val="minor"/>
    </font>
    <font>
      <sz val="11"/>
      <color theme="1"/>
      <name val="Calibri"/>
      <family val="2"/>
      <charset val="204"/>
      <scheme val="minor"/>
    </font>
    <font>
      <b/>
      <sz val="12"/>
      <color rgb="FF000099"/>
      <name val="Calibri"/>
      <family val="2"/>
      <charset val="204"/>
      <scheme val="minor"/>
    </font>
    <font>
      <sz val="11"/>
      <name val="Calibri"/>
      <family val="2"/>
      <charset val="204"/>
      <scheme val="minor"/>
    </font>
    <font>
      <b/>
      <sz val="11"/>
      <color theme="1"/>
      <name val="Calibri"/>
      <family val="2"/>
      <charset val="204"/>
      <scheme val="minor"/>
    </font>
    <font>
      <b/>
      <sz val="11"/>
      <color theme="1"/>
      <name val="Calibri"/>
      <family val="2"/>
      <scheme val="minor"/>
    </font>
    <font>
      <sz val="11"/>
      <color theme="1"/>
      <name val="Sylfaen"/>
      <family val="1"/>
      <charset val="204"/>
    </font>
    <font>
      <sz val="11"/>
      <color theme="1"/>
      <name val="Calibri"/>
      <family val="2"/>
      <scheme val="minor"/>
    </font>
    <font>
      <b/>
      <sz val="12"/>
      <color theme="1"/>
      <name val="Calibri"/>
      <family val="2"/>
      <scheme val="minor"/>
    </font>
    <font>
      <b/>
      <sz val="12"/>
      <color rgb="FFFF0000"/>
      <name val="Sylfaen"/>
      <family val="1"/>
      <charset val="204"/>
    </font>
    <font>
      <b/>
      <sz val="12"/>
      <color rgb="FFFF0000"/>
      <name val="Calibri"/>
      <family val="2"/>
      <charset val="204"/>
      <scheme val="minor"/>
    </font>
    <font>
      <b/>
      <sz val="12"/>
      <color rgb="FFFF0000"/>
      <name val="Calibri"/>
      <family val="2"/>
      <scheme val="minor"/>
    </font>
    <font>
      <sz val="12"/>
      <color theme="1"/>
      <name val="Calibri"/>
      <family val="2"/>
      <scheme val="minor"/>
    </font>
    <font>
      <b/>
      <sz val="12"/>
      <color theme="1"/>
      <name val="Calibri"/>
      <family val="2"/>
      <charset val="204"/>
      <scheme val="minor"/>
    </font>
    <font>
      <sz val="12"/>
      <name val="Calibri"/>
      <family val="2"/>
      <charset val="204"/>
      <scheme val="minor"/>
    </font>
    <font>
      <vertAlign val="superscript"/>
      <sz val="12"/>
      <color theme="1"/>
      <name val="Calibri"/>
      <family val="2"/>
      <charset val="204"/>
      <scheme val="minor"/>
    </font>
    <font>
      <sz val="12"/>
      <color theme="1"/>
      <name val="Sylfaen"/>
      <family val="1"/>
      <charset val="204"/>
    </font>
    <font>
      <sz val="12"/>
      <color theme="1"/>
      <name val="Calibri"/>
      <family val="2"/>
      <charset val="204"/>
      <scheme val="minor"/>
    </font>
    <font>
      <b/>
      <sz val="11"/>
      <color rgb="FFFF0000"/>
      <name val="Sylfaen"/>
      <family val="1"/>
      <charset val="204"/>
    </font>
    <font>
      <b/>
      <sz val="11"/>
      <color rgb="FFFF0000"/>
      <name val="Calibri"/>
      <family val="2"/>
      <charset val="204"/>
      <scheme val="minor"/>
    </font>
    <font>
      <sz val="18"/>
      <color theme="1"/>
      <name val="Calibri"/>
      <family val="2"/>
      <scheme val="minor"/>
    </font>
    <font>
      <sz val="10"/>
      <color theme="1"/>
      <name val="Calibri"/>
      <family val="2"/>
      <charset val="1"/>
      <scheme val="minor"/>
    </font>
    <font>
      <b/>
      <sz val="16"/>
      <color rgb="FFFF0000"/>
      <name val="Calibri"/>
      <family val="2"/>
      <charset val="204"/>
      <scheme val="minor"/>
    </font>
    <font>
      <b/>
      <sz val="11"/>
      <color theme="1"/>
      <name val="Sylfaen"/>
      <family val="1"/>
      <charset val="204"/>
    </font>
    <font>
      <b/>
      <sz val="12"/>
      <color theme="0"/>
      <name val="Calibri"/>
      <family val="2"/>
      <charset val="204"/>
      <scheme val="minor"/>
    </font>
    <font>
      <b/>
      <sz val="14"/>
      <color theme="1"/>
      <name val="Calibri"/>
      <family val="2"/>
      <charset val="204"/>
    </font>
    <font>
      <b/>
      <sz val="12"/>
      <name val="Calibri"/>
      <family val="2"/>
      <charset val="204"/>
      <scheme val="minor"/>
    </font>
    <font>
      <sz val="14"/>
      <color rgb="FF000099"/>
      <name val="Calibri"/>
      <family val="2"/>
      <charset val="204"/>
    </font>
    <font>
      <b/>
      <sz val="9"/>
      <color indexed="81"/>
      <name val="Tahoma"/>
      <charset val="1"/>
    </font>
    <font>
      <sz val="9"/>
      <color indexed="81"/>
      <name val="Tahoma"/>
      <charset val="1"/>
    </font>
    <font>
      <b/>
      <sz val="14"/>
      <color theme="1"/>
      <name val="Calibri"/>
      <family val="2"/>
      <charset val="204"/>
      <scheme val="minor"/>
    </font>
    <font>
      <sz val="14"/>
      <color theme="1"/>
      <name val="Calibri"/>
      <family val="2"/>
      <charset val="204"/>
      <scheme val="minor"/>
    </font>
    <font>
      <sz val="14"/>
      <name val="Calibri"/>
      <family val="2"/>
      <charset val="204"/>
      <scheme val="minor"/>
    </font>
    <font>
      <sz val="14"/>
      <color rgb="FF000099"/>
      <name val="Calibri"/>
      <family val="2"/>
      <charset val="204"/>
      <scheme val="minor"/>
    </font>
    <font>
      <sz val="11"/>
      <name val="Arial"/>
      <family val="2"/>
      <charset val="204"/>
    </font>
    <font>
      <b/>
      <sz val="10"/>
      <color theme="1"/>
      <name val="Calibri"/>
      <family val="2"/>
      <charset val="204"/>
      <scheme val="minor"/>
    </font>
    <font>
      <sz val="10"/>
      <color theme="1"/>
      <name val="Calibri"/>
      <family val="2"/>
      <charset val="204"/>
      <scheme val="minor"/>
    </font>
    <font>
      <b/>
      <sz val="14"/>
      <color theme="1"/>
      <name val="Calibri"/>
      <family val="2"/>
      <scheme val="minor"/>
    </font>
    <font>
      <b/>
      <sz val="11"/>
      <name val="Calibri"/>
      <family val="2"/>
      <charset val="204"/>
      <scheme val="minor"/>
    </font>
    <font>
      <sz val="9"/>
      <color theme="1"/>
      <name val="Sylfaen"/>
      <family val="1"/>
      <charset val="204"/>
    </font>
    <font>
      <sz val="11"/>
      <color rgb="FF000099"/>
      <name val="Sylfaen"/>
      <family val="1"/>
      <charset val="204"/>
    </font>
    <font>
      <sz val="10"/>
      <color theme="1"/>
      <name val="Sylfaen"/>
      <family val="1"/>
      <charset val="204"/>
    </font>
    <font>
      <b/>
      <sz val="11"/>
      <color rgb="FF000099"/>
      <name val="Sylfaen"/>
      <family val="1"/>
      <charset val="204"/>
    </font>
    <font>
      <b/>
      <sz val="11"/>
      <color rgb="FF000099"/>
      <name val="Calibri"/>
      <family val="2"/>
      <charset val="204"/>
      <scheme val="minor"/>
    </font>
    <font>
      <b/>
      <sz val="10"/>
      <color theme="1"/>
      <name val="Sylfaen"/>
      <family val="1"/>
      <charset val="204"/>
    </font>
    <font>
      <b/>
      <sz val="11"/>
      <color rgb="FFFF0000"/>
      <name val="Calibri"/>
      <family val="2"/>
      <scheme val="minor"/>
    </font>
    <font>
      <b/>
      <sz val="12"/>
      <color rgb="FF000099"/>
      <name val="Sylfaen"/>
      <family val="1"/>
      <charset val="204"/>
    </font>
    <font>
      <sz val="8"/>
      <color theme="1"/>
      <name val="Calibri"/>
      <family val="2"/>
      <scheme val="minor"/>
    </font>
  </fonts>
  <fills count="14">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9900"/>
        <bgColor indexed="64"/>
      </patternFill>
    </fill>
    <fill>
      <patternFill patternType="solid">
        <fgColor rgb="FF00B05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7" fillId="0" borderId="0" applyFont="0" applyFill="0" applyBorder="0" applyAlignment="0" applyProtection="0"/>
    <xf numFmtId="164" fontId="7" fillId="0" borderId="0" applyFont="0" applyFill="0" applyBorder="0" applyAlignment="0" applyProtection="0"/>
  </cellStyleXfs>
  <cellXfs count="247">
    <xf numFmtId="0" fontId="0" fillId="0" borderId="0" xfId="0"/>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0" fillId="2" borderId="0" xfId="0" applyFont="1" applyFill="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xf numFmtId="165" fontId="0" fillId="0" borderId="1" xfId="0" applyNumberFormat="1" applyBorder="1"/>
    <xf numFmtId="2" fontId="2" fillId="0" borderId="0" xfId="0" applyNumberFormat="1" applyFont="1" applyBorder="1" applyAlignment="1">
      <alignment horizontal="center" vertical="top" wrapText="1"/>
    </xf>
    <xf numFmtId="9" fontId="0" fillId="0" borderId="1" xfId="1" applyFont="1" applyBorder="1" applyAlignment="1">
      <alignment horizontal="center"/>
    </xf>
    <xf numFmtId="1" fontId="0" fillId="0" borderId="1" xfId="0" applyNumberFormat="1" applyBorder="1" applyAlignment="1">
      <alignment horizontal="center" vertical="center"/>
    </xf>
    <xf numFmtId="2" fontId="0" fillId="0" borderId="1" xfId="0" applyNumberFormat="1" applyBorder="1"/>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1" xfId="0" applyFont="1" applyBorder="1" applyAlignment="1">
      <alignment vertical="center" wrapText="1"/>
    </xf>
    <xf numFmtId="2" fontId="2" fillId="0" borderId="0" xfId="0" applyNumberFormat="1" applyFont="1" applyBorder="1" applyAlignment="1">
      <alignment horizontal="center" vertical="center" wrapText="1"/>
    </xf>
    <xf numFmtId="0" fontId="0" fillId="0" borderId="1" xfId="0" applyBorder="1" applyAlignment="1">
      <alignment vertical="center" wrapText="1"/>
    </xf>
    <xf numFmtId="0" fontId="9" fillId="2" borderId="1" xfId="0" applyFont="1" applyFill="1" applyBorder="1" applyAlignment="1">
      <alignment horizontal="center" vertical="center" wrapText="1"/>
    </xf>
    <xf numFmtId="0" fontId="12" fillId="0" borderId="0" xfId="0" applyFont="1"/>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Border="1" applyAlignment="1">
      <alignment horizontal="center" vertical="top" wrapText="1"/>
    </xf>
    <xf numFmtId="2" fontId="12" fillId="0" borderId="0" xfId="0" applyNumberFormat="1" applyFont="1"/>
    <xf numFmtId="0" fontId="12" fillId="0" borderId="1" xfId="0" applyFont="1" applyBorder="1" applyAlignment="1">
      <alignment horizontal="left" vertical="center" wrapText="1"/>
    </xf>
    <xf numFmtId="1" fontId="14" fillId="0" borderId="1" xfId="0" applyNumberFormat="1" applyFont="1" applyBorder="1" applyAlignment="1">
      <alignment horizontal="center" vertical="center" wrapText="1"/>
    </xf>
    <xf numFmtId="0" fontId="12" fillId="0" borderId="0" xfId="0" applyFont="1" applyBorder="1" applyAlignment="1">
      <alignment horizontal="center" vertical="center" wrapText="1"/>
    </xf>
    <xf numFmtId="1" fontId="14" fillId="0" borderId="0" xfId="0" applyNumberFormat="1" applyFont="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1" fontId="12" fillId="0" borderId="1" xfId="0" applyNumberFormat="1" applyFont="1" applyBorder="1" applyAlignment="1">
      <alignment horizontal="center" vertical="center"/>
    </xf>
    <xf numFmtId="9" fontId="12" fillId="0" borderId="1" xfId="1" applyFont="1" applyBorder="1" applyAlignment="1">
      <alignment horizontal="center"/>
    </xf>
    <xf numFmtId="0" fontId="12" fillId="0" borderId="1" xfId="0" applyFont="1" applyBorder="1"/>
    <xf numFmtId="165" fontId="12" fillId="0" borderId="1" xfId="0" applyNumberFormat="1" applyFont="1" applyBorder="1"/>
    <xf numFmtId="2" fontId="12" fillId="0" borderId="1" xfId="0" applyNumberFormat="1" applyFont="1" applyBorder="1"/>
    <xf numFmtId="2" fontId="12" fillId="2" borderId="1" xfId="0" applyNumberFormat="1" applyFont="1" applyFill="1" applyBorder="1" applyAlignment="1">
      <alignment horizontal="center" vertical="center"/>
    </xf>
    <xf numFmtId="1" fontId="12" fillId="2" borderId="1" xfId="0" applyNumberFormat="1" applyFont="1" applyFill="1" applyBorder="1" applyAlignment="1">
      <alignment horizontal="center" vertical="center"/>
    </xf>
    <xf numFmtId="1" fontId="12" fillId="2" borderId="1" xfId="0" applyNumberFormat="1" applyFont="1" applyFill="1" applyBorder="1"/>
    <xf numFmtId="0" fontId="12" fillId="0" borderId="1" xfId="0" applyFont="1" applyFill="1" applyBorder="1" applyAlignment="1">
      <alignment vertical="center"/>
    </xf>
    <xf numFmtId="2" fontId="12" fillId="0" borderId="1" xfId="0" applyNumberFormat="1" applyFont="1" applyFill="1" applyBorder="1"/>
    <xf numFmtId="165" fontId="12" fillId="0" borderId="1" xfId="0" applyNumberFormat="1" applyFont="1" applyBorder="1" applyAlignment="1">
      <alignment horizontal="center" vertical="center"/>
    </xf>
    <xf numFmtId="0" fontId="12" fillId="0" borderId="1" xfId="0" applyFont="1" applyFill="1" applyBorder="1"/>
    <xf numFmtId="165" fontId="12" fillId="0" borderId="1" xfId="0" applyNumberFormat="1" applyFont="1" applyFill="1" applyBorder="1"/>
    <xf numFmtId="0" fontId="12" fillId="2" borderId="0" xfId="0" applyFont="1" applyFill="1"/>
    <xf numFmtId="2" fontId="10" fillId="0" borderId="0" xfId="0" applyNumberFormat="1" applyFont="1"/>
    <xf numFmtId="0" fontId="17" fillId="0" borderId="0" xfId="0" applyFont="1"/>
    <xf numFmtId="0" fontId="13" fillId="0" borderId="1" xfId="0" applyFont="1" applyBorder="1" applyAlignment="1">
      <alignment vertical="center"/>
    </xf>
    <xf numFmtId="0" fontId="13"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vertical="center" wrapText="1"/>
    </xf>
    <xf numFmtId="0" fontId="12" fillId="0" borderId="1" xfId="0" applyFont="1" applyBorder="1" applyAlignment="1">
      <alignment horizontal="left" vertical="center" wrapText="1"/>
    </xf>
    <xf numFmtId="0" fontId="0" fillId="0" borderId="1" xfId="0" applyBorder="1" applyAlignment="1">
      <alignment vertical="center" wrapText="1"/>
    </xf>
    <xf numFmtId="164" fontId="8" fillId="0" borderId="0" xfId="2" applyFont="1"/>
    <xf numFmtId="164" fontId="9" fillId="2" borderId="1" xfId="2" applyFont="1" applyFill="1" applyBorder="1" applyAlignment="1">
      <alignment horizontal="center" vertical="center" wrapText="1"/>
    </xf>
    <xf numFmtId="164" fontId="8" fillId="2" borderId="1" xfId="2" applyFont="1" applyFill="1" applyBorder="1"/>
    <xf numFmtId="164" fontId="11" fillId="0" borderId="0" xfId="2" applyFont="1"/>
    <xf numFmtId="0" fontId="4" fillId="0" borderId="0" xfId="0" applyFont="1" applyBorder="1" applyAlignment="1">
      <alignment horizontal="center" vertical="top" wrapText="1"/>
    </xf>
    <xf numFmtId="0" fontId="0" fillId="0" borderId="0" xfId="0" applyBorder="1" applyAlignment="1">
      <alignment horizontal="center" vertical="center" wrapText="1"/>
    </xf>
    <xf numFmtId="1" fontId="3" fillId="0" borderId="0" xfId="0"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0" fillId="0" borderId="1" xfId="0" applyBorder="1" applyAlignment="1">
      <alignment horizontal="left" vertical="center"/>
    </xf>
    <xf numFmtId="0" fontId="20" fillId="0" borderId="1" xfId="0" applyFont="1" applyBorder="1" applyAlignment="1">
      <alignment horizontal="center" vertical="center"/>
    </xf>
    <xf numFmtId="1" fontId="0" fillId="0" borderId="0" xfId="0" applyNumberFormat="1"/>
    <xf numFmtId="0" fontId="21" fillId="0" borderId="0" xfId="0" applyFont="1" applyAlignment="1">
      <alignment vertical="center"/>
    </xf>
    <xf numFmtId="2"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xf numFmtId="0" fontId="0" fillId="2" borderId="0" xfId="0" applyFill="1"/>
    <xf numFmtId="1" fontId="0" fillId="0" borderId="0" xfId="0" applyNumberFormat="1" applyFill="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xf>
    <xf numFmtId="0" fontId="1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4" fillId="4" borderId="1" xfId="0" applyFont="1" applyFill="1" applyBorder="1" applyAlignment="1">
      <alignment horizontal="center" vertical="center"/>
    </xf>
    <xf numFmtId="1" fontId="25" fillId="3" borderId="1" xfId="0" applyNumberFormat="1" applyFont="1" applyFill="1" applyBorder="1" applyAlignment="1">
      <alignment horizontal="center" vertical="center"/>
    </xf>
    <xf numFmtId="2" fontId="25" fillId="3" borderId="1" xfId="0" applyNumberFormat="1" applyFont="1" applyFill="1" applyBorder="1" applyAlignment="1">
      <alignment horizontal="center" vertical="center"/>
    </xf>
    <xf numFmtId="0" fontId="26" fillId="5" borderId="1" xfId="0" applyFont="1" applyFill="1" applyBorder="1" applyAlignment="1">
      <alignment horizontal="center" vertical="center"/>
    </xf>
    <xf numFmtId="1" fontId="27" fillId="5" borderId="1" xfId="0" applyNumberFormat="1" applyFont="1" applyFill="1" applyBorder="1" applyAlignment="1">
      <alignment horizontal="center" vertical="center"/>
    </xf>
    <xf numFmtId="2" fontId="27" fillId="5" borderId="1" xfId="0" applyNumberFormat="1" applyFont="1" applyFill="1" applyBorder="1" applyAlignment="1">
      <alignment horizontal="center" vertical="center"/>
    </xf>
    <xf numFmtId="164" fontId="0" fillId="0" borderId="0" xfId="2" applyFont="1"/>
    <xf numFmtId="164" fontId="18" fillId="2" borderId="1" xfId="2" applyFont="1" applyFill="1" applyBorder="1" applyAlignment="1">
      <alignment horizontal="center" vertical="center" wrapText="1"/>
    </xf>
    <xf numFmtId="164" fontId="0" fillId="2" borderId="1" xfId="2" applyFont="1" applyFill="1" applyBorder="1"/>
    <xf numFmtId="164" fontId="22" fillId="0" borderId="0" xfId="2" applyFont="1"/>
    <xf numFmtId="0" fontId="12" fillId="0" borderId="1" xfId="0" applyFont="1" applyBorder="1" applyAlignment="1">
      <alignment horizontal="left" vertical="center" wrapText="1"/>
    </xf>
    <xf numFmtId="0" fontId="0" fillId="0" borderId="1" xfId="0" applyBorder="1" applyAlignment="1">
      <alignment vertical="center" wrapText="1"/>
    </xf>
    <xf numFmtId="0" fontId="21" fillId="0" borderId="1" xfId="0" applyFont="1" applyBorder="1" applyAlignment="1">
      <alignment vertical="center"/>
    </xf>
    <xf numFmtId="165"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2" borderId="1" xfId="0" applyFill="1" applyBorder="1" applyAlignment="1">
      <alignment horizontal="center" vertical="center"/>
    </xf>
    <xf numFmtId="9" fontId="0" fillId="0" borderId="1" xfId="1" applyFont="1" applyBorder="1" applyAlignment="1">
      <alignment horizontal="center" vertical="center"/>
    </xf>
    <xf numFmtId="0" fontId="0" fillId="0" borderId="0" xfId="0" applyAlignment="1">
      <alignment horizontal="center" vertical="center"/>
    </xf>
    <xf numFmtId="1" fontId="30" fillId="3" borderId="1" xfId="0" applyNumberFormat="1" applyFont="1" applyFill="1" applyBorder="1" applyAlignment="1">
      <alignment horizontal="center" vertical="center"/>
    </xf>
    <xf numFmtId="2" fontId="30" fillId="3" borderId="1" xfId="0" applyNumberFormat="1" applyFont="1" applyFill="1" applyBorder="1" applyAlignment="1">
      <alignment horizontal="center" vertical="center"/>
    </xf>
    <xf numFmtId="1" fontId="31" fillId="6" borderId="1" xfId="0" applyNumberFormat="1" applyFont="1" applyFill="1" applyBorder="1" applyAlignment="1">
      <alignment horizontal="center" vertical="center"/>
    </xf>
    <xf numFmtId="1" fontId="32" fillId="6" borderId="1" xfId="0" applyNumberFormat="1" applyFont="1" applyFill="1" applyBorder="1" applyAlignment="1">
      <alignment horizontal="center" vertical="center"/>
    </xf>
    <xf numFmtId="2" fontId="31" fillId="6" borderId="1" xfId="0" applyNumberFormat="1" applyFont="1" applyFill="1" applyBorder="1" applyAlignment="1">
      <alignment horizontal="center" vertical="center"/>
    </xf>
    <xf numFmtId="1" fontId="33" fillId="5" borderId="1" xfId="0" applyNumberFormat="1" applyFont="1" applyFill="1" applyBorder="1" applyAlignment="1">
      <alignment horizontal="center" vertical="center"/>
    </xf>
    <xf numFmtId="2" fontId="33" fillId="5" borderId="1" xfId="0" applyNumberFormat="1" applyFont="1" applyFill="1" applyBorder="1" applyAlignment="1">
      <alignment horizontal="center" vertical="center"/>
    </xf>
    <xf numFmtId="164" fontId="0" fillId="2" borderId="1" xfId="2" applyFont="1" applyFill="1" applyBorder="1" applyAlignment="1">
      <alignment horizontal="center" vertical="center"/>
    </xf>
    <xf numFmtId="0" fontId="0" fillId="0" borderId="0" xfId="0" applyAlignment="1">
      <alignment vertical="top" wrapText="1"/>
    </xf>
    <xf numFmtId="0" fontId="5" fillId="0" borderId="0" xfId="0" applyFont="1" applyAlignment="1">
      <alignment horizontal="center" vertical="top" wrapText="1"/>
    </xf>
    <xf numFmtId="0" fontId="4" fillId="0" borderId="1" xfId="0" applyFont="1" applyBorder="1" applyAlignment="1">
      <alignment horizontal="center" vertical="top" wrapText="1"/>
    </xf>
    <xf numFmtId="0" fontId="0" fillId="0" borderId="2" xfId="0" applyBorder="1" applyAlignment="1">
      <alignment vertical="top" wrapText="1"/>
    </xf>
    <xf numFmtId="1" fontId="3" fillId="0" borderId="2"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0" fontId="0" fillId="0" borderId="1" xfId="0" applyBorder="1" applyAlignment="1">
      <alignment vertical="top" wrapText="1"/>
    </xf>
    <xf numFmtId="1" fontId="34" fillId="0" borderId="1" xfId="0" applyNumberFormat="1" applyFont="1" applyBorder="1" applyAlignment="1">
      <alignment horizontal="center" vertical="top" wrapText="1"/>
    </xf>
    <xf numFmtId="2" fontId="2" fillId="0" borderId="1" xfId="0" applyNumberFormat="1" applyFont="1" applyBorder="1" applyAlignment="1">
      <alignment horizontal="center" vertical="top" wrapText="1"/>
    </xf>
    <xf numFmtId="0" fontId="30" fillId="7" borderId="1" xfId="0" applyFont="1" applyFill="1" applyBorder="1" applyAlignment="1">
      <alignment horizontal="center" vertical="center"/>
    </xf>
    <xf numFmtId="0" fontId="35" fillId="7" borderId="1" xfId="0" applyFont="1" applyFill="1" applyBorder="1" applyAlignment="1">
      <alignment horizontal="center" vertical="top" wrapText="1"/>
    </xf>
    <xf numFmtId="0" fontId="36" fillId="7" borderId="1" xfId="0" applyFont="1" applyFill="1" applyBorder="1" applyAlignment="1">
      <alignment horizontal="center" vertical="top" wrapText="1"/>
    </xf>
    <xf numFmtId="0" fontId="0" fillId="8" borderId="1" xfId="0" applyFill="1" applyBorder="1" applyAlignment="1">
      <alignment vertical="top" wrapText="1"/>
    </xf>
    <xf numFmtId="0" fontId="12" fillId="0" borderId="1" xfId="0" applyFont="1" applyBorder="1" applyAlignment="1">
      <alignment horizontal="center" vertical="top" wrapText="1"/>
    </xf>
    <xf numFmtId="1" fontId="2" fillId="9" borderId="1" xfId="0" applyNumberFormat="1" applyFont="1" applyFill="1" applyBorder="1" applyAlignment="1">
      <alignment horizontal="center" vertical="top" wrapText="1"/>
    </xf>
    <xf numFmtId="0" fontId="0" fillId="2" borderId="1" xfId="0" applyFill="1" applyBorder="1" applyAlignment="1">
      <alignment vertical="top" wrapText="1"/>
    </xf>
    <xf numFmtId="0" fontId="0" fillId="9" borderId="1" xfId="0" applyFill="1" applyBorder="1"/>
    <xf numFmtId="0" fontId="0" fillId="0" borderId="0" xfId="0" applyAlignment="1">
      <alignment wrapText="1"/>
    </xf>
    <xf numFmtId="0" fontId="13" fillId="2" borderId="6" xfId="0"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0" fillId="0" borderId="0" xfId="0" applyFill="1" applyBorder="1"/>
    <xf numFmtId="0" fontId="38" fillId="11"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65" fontId="1" fillId="8" borderId="1" xfId="0" applyNumberFormat="1" applyFont="1" applyFill="1" applyBorder="1" applyAlignment="1">
      <alignment horizontal="center" vertical="center" wrapText="1"/>
    </xf>
    <xf numFmtId="2" fontId="1" fillId="8" borderId="1" xfId="0" applyNumberFormat="1" applyFont="1" applyFill="1" applyBorder="1" applyAlignment="1">
      <alignment horizontal="center" vertical="center" wrapText="1"/>
    </xf>
    <xf numFmtId="2" fontId="6" fillId="8" borderId="1" xfId="0" applyNumberFormat="1" applyFont="1" applyFill="1" applyBorder="1" applyAlignment="1">
      <alignment horizontal="center" vertical="center" wrapText="1"/>
    </xf>
    <xf numFmtId="1" fontId="40" fillId="8" borderId="1" xfId="0" applyNumberFormat="1" applyFont="1" applyFill="1" applyBorder="1" applyAlignment="1">
      <alignment horizontal="center" vertical="center" wrapText="1"/>
    </xf>
    <xf numFmtId="9" fontId="40" fillId="8" borderId="1" xfId="1" applyFont="1" applyFill="1" applyBorder="1" applyAlignment="1">
      <alignment horizontal="center" vertical="top" wrapText="1"/>
    </xf>
    <xf numFmtId="0" fontId="0" fillId="0" borderId="1" xfId="0" applyBorder="1" applyAlignment="1">
      <alignment vertical="center"/>
    </xf>
    <xf numFmtId="0" fontId="0" fillId="8" borderId="1" xfId="0" applyFill="1" applyBorder="1"/>
    <xf numFmtId="9" fontId="0" fillId="0" borderId="0" xfId="1" applyFont="1"/>
    <xf numFmtId="164" fontId="23" fillId="2" borderId="1" xfId="2" applyFont="1" applyFill="1" applyBorder="1" applyAlignment="1">
      <alignment horizontal="center" vertical="center" wrapText="1"/>
    </xf>
    <xf numFmtId="0" fontId="36" fillId="0" borderId="1" xfId="0" applyFont="1" applyFill="1" applyBorder="1" applyAlignment="1">
      <alignment horizontal="center" vertical="top" wrapText="1"/>
    </xf>
    <xf numFmtId="0" fontId="41" fillId="0" borderId="1" xfId="0" applyFont="1" applyFill="1" applyBorder="1" applyAlignment="1">
      <alignment horizontal="center" vertical="top" wrapText="1"/>
    </xf>
    <xf numFmtId="164" fontId="4" fillId="13" borderId="1" xfId="2" applyFont="1" applyFill="1" applyBorder="1" applyAlignment="1">
      <alignment horizontal="center" vertical="center" wrapText="1"/>
    </xf>
    <xf numFmtId="1" fontId="4" fillId="13" borderId="1" xfId="0" applyNumberFormat="1" applyFont="1" applyFill="1" applyBorder="1" applyAlignment="1">
      <alignment horizontal="center" vertical="center" wrapText="1"/>
    </xf>
    <xf numFmtId="0" fontId="0" fillId="13" borderId="1" xfId="0" applyFill="1" applyBorder="1"/>
    <xf numFmtId="0" fontId="45" fillId="0" borderId="0" xfId="0" applyFont="1"/>
    <xf numFmtId="0" fontId="44" fillId="2" borderId="1" xfId="0" applyFont="1" applyFill="1" applyBorder="1" applyAlignment="1">
      <alignment horizontal="center" vertical="center" wrapText="1"/>
    </xf>
    <xf numFmtId="164" fontId="44" fillId="2" borderId="1" xfId="2" applyFont="1" applyFill="1" applyBorder="1" applyAlignment="1">
      <alignment horizontal="center" vertical="center" wrapText="1"/>
    </xf>
    <xf numFmtId="9" fontId="36" fillId="13" borderId="2" xfId="1" applyFont="1" applyFill="1" applyBorder="1" applyAlignment="1">
      <alignment horizontal="center" vertical="center" wrapText="1"/>
    </xf>
    <xf numFmtId="9" fontId="36" fillId="13" borderId="6" xfId="1" applyFont="1" applyFill="1" applyBorder="1" applyAlignment="1">
      <alignment horizontal="center" vertical="center" wrapText="1"/>
    </xf>
    <xf numFmtId="0" fontId="41" fillId="0" borderId="6" xfId="0" applyFont="1" applyFill="1" applyBorder="1" applyAlignment="1">
      <alignment horizontal="center" vertical="center" wrapText="1"/>
    </xf>
    <xf numFmtId="0" fontId="36" fillId="0" borderId="6" xfId="0" applyFont="1" applyFill="1" applyBorder="1" applyAlignment="1">
      <alignment horizontal="center" vertical="center" wrapText="1"/>
    </xf>
    <xf numFmtId="165" fontId="36" fillId="13" borderId="6" xfId="0" applyNumberFormat="1" applyFont="1" applyFill="1" applyBorder="1" applyAlignment="1">
      <alignment horizontal="center" vertical="center" wrapText="1"/>
    </xf>
    <xf numFmtId="2" fontId="36" fillId="13" borderId="1" xfId="0" applyNumberFormat="1" applyFont="1" applyFill="1" applyBorder="1" applyAlignment="1">
      <alignment horizontal="center" vertical="center" wrapText="1"/>
    </xf>
    <xf numFmtId="1" fontId="1" fillId="13" borderId="6" xfId="0" applyNumberFormat="1" applyFont="1" applyFill="1" applyBorder="1" applyAlignment="1">
      <alignment horizontal="center" vertical="center" wrapText="1"/>
    </xf>
    <xf numFmtId="164" fontId="1" fillId="13" borderId="1" xfId="2" applyFont="1" applyFill="1" applyBorder="1" applyAlignment="1">
      <alignment horizontal="center" vertical="center" wrapText="1"/>
    </xf>
    <xf numFmtId="1" fontId="1" fillId="13" borderId="1" xfId="0" applyNumberFormat="1" applyFont="1" applyFill="1" applyBorder="1" applyAlignment="1">
      <alignment horizontal="center" vertical="center" wrapText="1"/>
    </xf>
    <xf numFmtId="164" fontId="0" fillId="0" borderId="0" xfId="2" applyFont="1" applyAlignment="1">
      <alignment horizontal="center"/>
    </xf>
    <xf numFmtId="0" fontId="47" fillId="0" borderId="0" xfId="0" applyFont="1" applyAlignment="1">
      <alignment horizontal="center" vertical="center" wrapText="1"/>
    </xf>
    <xf numFmtId="164" fontId="47" fillId="0" borderId="0" xfId="2" applyFont="1" applyAlignment="1">
      <alignment horizontal="center" vertical="center" wrapText="1"/>
    </xf>
    <xf numFmtId="43" fontId="0" fillId="0" borderId="0" xfId="0" applyNumberFormat="1"/>
    <xf numFmtId="164" fontId="0" fillId="0" borderId="0" xfId="2" applyFont="1" applyAlignment="1">
      <alignment horizontal="center" vertical="center" wrapText="1"/>
    </xf>
    <xf numFmtId="0" fontId="17" fillId="0" borderId="1" xfId="0" applyFont="1" applyBorder="1" applyAlignment="1">
      <alignment horizontal="left" vertical="center" wrapText="1"/>
    </xf>
    <xf numFmtId="0" fontId="12" fillId="0" borderId="1" xfId="0" applyFont="1" applyBorder="1" applyAlignment="1">
      <alignment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wrapText="1"/>
    </xf>
    <xf numFmtId="0" fontId="37" fillId="10" borderId="3" xfId="0" applyFont="1" applyFill="1" applyBorder="1" applyAlignment="1">
      <alignment horizontal="center" vertical="center"/>
    </xf>
    <xf numFmtId="0" fontId="37" fillId="10" borderId="4" xfId="0" applyFont="1" applyFill="1" applyBorder="1" applyAlignment="1">
      <alignment horizontal="center" vertical="center"/>
    </xf>
    <xf numFmtId="0" fontId="37" fillId="10" borderId="5" xfId="0" applyFont="1" applyFill="1" applyBorder="1" applyAlignment="1">
      <alignment horizontal="center" vertical="center"/>
    </xf>
    <xf numFmtId="0" fontId="38" fillId="11"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xf>
    <xf numFmtId="165" fontId="1" fillId="8" borderId="1" xfId="0" applyNumberFormat="1" applyFont="1" applyFill="1" applyBorder="1" applyAlignment="1">
      <alignment horizontal="center" vertical="center" wrapText="1"/>
    </xf>
    <xf numFmtId="2" fontId="1" fillId="8" borderId="1" xfId="0" applyNumberFormat="1" applyFont="1" applyFill="1" applyBorder="1" applyAlignment="1">
      <alignment horizontal="center" vertical="center" wrapText="1"/>
    </xf>
    <xf numFmtId="2" fontId="6" fillId="8" borderId="2" xfId="0" applyNumberFormat="1" applyFont="1" applyFill="1" applyBorder="1" applyAlignment="1">
      <alignment horizontal="center" vertical="center" wrapText="1"/>
    </xf>
    <xf numFmtId="2" fontId="6" fillId="8" borderId="6" xfId="0" applyNumberFormat="1" applyFont="1" applyFill="1" applyBorder="1" applyAlignment="1">
      <alignment horizontal="center" vertical="center" wrapText="1"/>
    </xf>
    <xf numFmtId="1" fontId="40" fillId="8" borderId="2" xfId="0" applyNumberFormat="1" applyFont="1" applyFill="1" applyBorder="1" applyAlignment="1">
      <alignment horizontal="center" vertical="center" wrapText="1"/>
    </xf>
    <xf numFmtId="1" fontId="40" fillId="8" borderId="6" xfId="0" applyNumberFormat="1" applyFont="1" applyFill="1" applyBorder="1" applyAlignment="1">
      <alignment horizontal="center" vertical="center" wrapText="1"/>
    </xf>
    <xf numFmtId="9" fontId="40" fillId="8" borderId="1" xfId="1" applyFont="1" applyFill="1" applyBorder="1" applyAlignment="1">
      <alignment horizontal="center" vertical="top" wrapText="1"/>
    </xf>
    <xf numFmtId="2" fontId="1" fillId="8" borderId="0" xfId="0" applyNumberFormat="1" applyFont="1" applyFill="1" applyBorder="1" applyAlignment="1">
      <alignment horizontal="center" vertical="center" wrapText="1"/>
    </xf>
    <xf numFmtId="0" fontId="38" fillId="12" borderId="6" xfId="0" applyFont="1" applyFill="1" applyBorder="1" applyAlignment="1">
      <alignment horizontal="center" vertical="center" wrapText="1"/>
    </xf>
    <xf numFmtId="0" fontId="38" fillId="12" borderId="1"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1" fillId="3"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0" fillId="0" borderId="1" xfId="0" applyBorder="1" applyAlignment="1">
      <alignment vertical="center"/>
    </xf>
    <xf numFmtId="165" fontId="36" fillId="8" borderId="6" xfId="0" applyNumberFormat="1" applyFont="1" applyFill="1" applyBorder="1" applyAlignment="1">
      <alignment horizontal="center" vertical="center" wrapText="1"/>
    </xf>
    <xf numFmtId="165" fontId="36" fillId="8" borderId="1" xfId="0" applyNumberFormat="1" applyFont="1" applyFill="1" applyBorder="1" applyAlignment="1">
      <alignment horizontal="center" vertical="center" wrapText="1"/>
    </xf>
    <xf numFmtId="2" fontId="36" fillId="8" borderId="6" xfId="0" applyNumberFormat="1" applyFont="1" applyFill="1" applyBorder="1" applyAlignment="1">
      <alignment horizontal="center" vertical="center" wrapText="1"/>
    </xf>
    <xf numFmtId="0" fontId="36" fillId="8" borderId="1" xfId="0" applyFont="1" applyFill="1" applyBorder="1" applyAlignment="1">
      <alignment horizontal="center" vertical="center" wrapText="1"/>
    </xf>
    <xf numFmtId="0" fontId="41" fillId="3" borderId="2" xfId="0" applyFont="1" applyFill="1" applyBorder="1" applyAlignment="1">
      <alignment horizontal="center" vertical="top" wrapText="1"/>
    </xf>
    <xf numFmtId="0" fontId="41" fillId="3" borderId="6" xfId="0" applyFont="1" applyFill="1" applyBorder="1" applyAlignment="1">
      <alignment horizontal="center" vertical="top" wrapText="1"/>
    </xf>
    <xf numFmtId="0" fontId="36" fillId="0" borderId="1" xfId="0" applyFont="1" applyFill="1" applyBorder="1" applyAlignment="1">
      <alignment horizontal="center" vertical="center" wrapText="1"/>
    </xf>
    <xf numFmtId="2" fontId="36" fillId="8" borderId="0" xfId="0" applyNumberFormat="1" applyFont="1" applyFill="1" applyBorder="1" applyAlignment="1">
      <alignment horizontal="center" vertical="center" wrapText="1"/>
    </xf>
    <xf numFmtId="2" fontId="6" fillId="8" borderId="7" xfId="0" applyNumberFormat="1" applyFont="1" applyFill="1" applyBorder="1" applyAlignment="1">
      <alignment horizontal="center" vertical="center" wrapText="1"/>
    </xf>
    <xf numFmtId="1" fontId="40" fillId="8" borderId="7" xfId="0" applyNumberFormat="1" applyFont="1" applyFill="1" applyBorder="1" applyAlignment="1">
      <alignment horizontal="center" vertical="center" wrapText="1"/>
    </xf>
    <xf numFmtId="0" fontId="36" fillId="8" borderId="0" xfId="0" applyFont="1" applyFill="1" applyBorder="1" applyAlignment="1">
      <alignment horizontal="center" vertical="center" wrapText="1"/>
    </xf>
    <xf numFmtId="2" fontId="36" fillId="8" borderId="1" xfId="0" applyNumberFormat="1" applyFont="1" applyFill="1" applyBorder="1" applyAlignment="1">
      <alignment horizontal="center" vertical="center" wrapText="1"/>
    </xf>
    <xf numFmtId="165" fontId="36" fillId="8" borderId="0"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165" fontId="36" fillId="8" borderId="2" xfId="0" applyNumberFormat="1" applyFont="1" applyFill="1" applyBorder="1" applyAlignment="1">
      <alignment horizontal="center" vertical="center" wrapText="1"/>
    </xf>
    <xf numFmtId="0" fontId="41" fillId="3" borderId="2" xfId="0" applyFont="1" applyFill="1" applyBorder="1" applyAlignment="1">
      <alignment horizontal="center" vertical="center" wrapText="1"/>
    </xf>
    <xf numFmtId="9" fontId="40" fillId="8" borderId="1" xfId="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41" fillId="0" borderId="2" xfId="0" applyFont="1" applyFill="1" applyBorder="1" applyAlignment="1">
      <alignment horizontal="center" vertical="top" wrapText="1"/>
    </xf>
    <xf numFmtId="0" fontId="41" fillId="0" borderId="6" xfId="0" applyFont="1" applyFill="1" applyBorder="1" applyAlignment="1">
      <alignment horizontal="center" vertical="top" wrapText="1"/>
    </xf>
    <xf numFmtId="1" fontId="36" fillId="13" borderId="1" xfId="0" applyNumberFormat="1" applyFont="1" applyFill="1" applyBorder="1" applyAlignment="1">
      <alignment horizontal="center" vertical="center" wrapText="1"/>
    </xf>
    <xf numFmtId="9" fontId="36" fillId="13" borderId="2" xfId="1" applyFont="1" applyFill="1" applyBorder="1" applyAlignment="1">
      <alignment horizontal="center" vertical="center" wrapText="1"/>
    </xf>
    <xf numFmtId="9" fontId="36" fillId="13" borderId="6" xfId="1" applyFont="1" applyFill="1" applyBorder="1" applyAlignment="1">
      <alignment horizontal="center" vertical="center" wrapText="1"/>
    </xf>
    <xf numFmtId="2" fontId="36" fillId="13" borderId="1" xfId="0" applyNumberFormat="1" applyFont="1" applyFill="1" applyBorder="1" applyAlignment="1">
      <alignment horizontal="center" vertical="center" wrapText="1"/>
    </xf>
    <xf numFmtId="0" fontId="36" fillId="13" borderId="1" xfId="0" applyFont="1" applyFill="1" applyBorder="1" applyAlignment="1">
      <alignment horizontal="center" vertical="center" wrapText="1"/>
    </xf>
    <xf numFmtId="1" fontId="1" fillId="13" borderId="2" xfId="0" applyNumberFormat="1" applyFont="1" applyFill="1" applyBorder="1" applyAlignment="1">
      <alignment horizontal="center" vertical="center" wrapText="1"/>
    </xf>
    <xf numFmtId="1" fontId="1" fillId="13" borderId="6" xfId="0" applyNumberFormat="1" applyFont="1" applyFill="1" applyBorder="1" applyAlignment="1">
      <alignment horizontal="center" vertical="center" wrapText="1"/>
    </xf>
    <xf numFmtId="164" fontId="1" fillId="13" borderId="1" xfId="2" applyFont="1" applyFill="1" applyBorder="1" applyAlignment="1">
      <alignment horizontal="center" vertical="center" wrapText="1"/>
    </xf>
    <xf numFmtId="1" fontId="2" fillId="13" borderId="1" xfId="0" applyNumberFormat="1" applyFont="1" applyFill="1" applyBorder="1" applyAlignment="1">
      <alignment horizontal="center" vertical="center" wrapText="1"/>
    </xf>
    <xf numFmtId="9" fontId="46" fillId="13" borderId="1" xfId="1" applyFont="1" applyFill="1" applyBorder="1" applyAlignment="1">
      <alignment horizontal="center" vertical="top" wrapText="1"/>
    </xf>
    <xf numFmtId="1" fontId="36" fillId="13" borderId="2" xfId="0" applyNumberFormat="1" applyFont="1" applyFill="1" applyBorder="1" applyAlignment="1">
      <alignment horizontal="center" vertical="center" wrapText="1"/>
    </xf>
    <xf numFmtId="1" fontId="36" fillId="13" borderId="6" xfId="0" applyNumberFormat="1" applyFont="1" applyFill="1" applyBorder="1" applyAlignment="1">
      <alignment horizontal="center" vertical="center" wrapText="1"/>
    </xf>
    <xf numFmtId="165" fontId="36" fillId="13" borderId="2" xfId="0" applyNumberFormat="1" applyFont="1" applyFill="1" applyBorder="1" applyAlignment="1">
      <alignment horizontal="center" vertical="center" wrapText="1"/>
    </xf>
    <xf numFmtId="165" fontId="36" fillId="13" borderId="6" xfId="0" applyNumberFormat="1" applyFont="1" applyFill="1" applyBorder="1" applyAlignment="1">
      <alignment horizontal="center" vertical="center" wrapText="1"/>
    </xf>
    <xf numFmtId="9" fontId="46" fillId="13" borderId="1" xfId="1" applyFont="1" applyFill="1" applyBorder="1" applyAlignment="1">
      <alignment horizontal="center" vertical="center" wrapText="1"/>
    </xf>
    <xf numFmtId="0" fontId="44" fillId="0" borderId="1" xfId="0" applyFont="1" applyFill="1" applyBorder="1" applyAlignment="1">
      <alignment horizontal="center" vertical="top" wrapText="1"/>
    </xf>
    <xf numFmtId="0" fontId="0" fillId="0" borderId="0" xfId="0" applyAlignment="1">
      <alignment horizontal="left" vertical="top" wrapText="1"/>
    </xf>
    <xf numFmtId="0" fontId="41" fillId="0" borderId="2"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0" fillId="0" borderId="4" xfId="0" applyBorder="1" applyAlignment="1">
      <alignment horizontal="left" vertical="top" wrapText="1"/>
    </xf>
    <xf numFmtId="0" fontId="41" fillId="0" borderId="1" xfId="0" applyFont="1" applyFill="1" applyBorder="1" applyAlignment="1">
      <alignment horizontal="center" vertical="center" wrapText="1"/>
    </xf>
    <xf numFmtId="9" fontId="36" fillId="13" borderId="1" xfId="1" applyFont="1" applyFill="1" applyBorder="1" applyAlignment="1">
      <alignment horizontal="center" vertical="center" wrapText="1"/>
    </xf>
    <xf numFmtId="1" fontId="1" fillId="13" borderId="1" xfId="0" applyNumberFormat="1" applyFont="1" applyFill="1" applyBorder="1" applyAlignment="1">
      <alignment horizontal="center" vertical="center" wrapText="1"/>
    </xf>
    <xf numFmtId="0" fontId="1" fillId="13" borderId="1" xfId="0" applyFont="1" applyFill="1" applyBorder="1" applyAlignment="1">
      <alignment horizontal="center" vertical="center" wrapText="1"/>
    </xf>
    <xf numFmtId="9" fontId="42" fillId="13" borderId="1" xfId="1" applyFont="1" applyFill="1" applyBorder="1" applyAlignment="1">
      <alignment horizontal="center" vertical="top" wrapText="1"/>
    </xf>
    <xf numFmtId="1" fontId="43" fillId="13" borderId="1" xfId="0" applyNumberFormat="1" applyFont="1" applyFill="1" applyBorder="1" applyAlignment="1">
      <alignment horizontal="center" vertical="top" wrapText="1"/>
    </xf>
    <xf numFmtId="1" fontId="43" fillId="13" borderId="2" xfId="0" applyNumberFormat="1" applyFont="1" applyFill="1" applyBorder="1" applyAlignment="1">
      <alignment horizontal="center" vertical="top" wrapText="1"/>
    </xf>
    <xf numFmtId="1" fontId="43" fillId="13" borderId="6" xfId="0" applyNumberFormat="1" applyFont="1" applyFill="1" applyBorder="1" applyAlignment="1">
      <alignment horizontal="center" vertical="top" wrapText="1"/>
    </xf>
  </cellXfs>
  <cellStyles count="3">
    <cellStyle name="Comma" xfId="2" builtinId="3"/>
    <cellStyle name="Normal" xfId="0" builtinId="0"/>
    <cellStyle name="Percent" xfId="1" builtinId="5"/>
  </cellStyles>
  <dxfs count="0"/>
  <tableStyles count="0" defaultTableStyle="TableStyleMedium9" defaultPivotStyle="PivotStyleLight16"/>
  <colors>
    <mruColors>
      <color rgb="FF000099"/>
      <color rgb="FFFF9900"/>
      <color rgb="FF6633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9525</xdr:colOff>
      <xdr:row>18</xdr:row>
      <xdr:rowOff>28575</xdr:rowOff>
    </xdr:from>
    <xdr:to>
      <xdr:col>6</xdr:col>
      <xdr:colOff>542926</xdr:colOff>
      <xdr:row>35</xdr:row>
      <xdr:rowOff>161925</xdr:rowOff>
    </xdr:to>
    <xdr:sp macro="" textlink="">
      <xdr:nvSpPr>
        <xdr:cNvPr id="2" name="TextBox 1"/>
        <xdr:cNvSpPr txBox="1"/>
      </xdr:nvSpPr>
      <xdr:spPr>
        <a:xfrm>
          <a:off x="1228725" y="3743325"/>
          <a:ext cx="6600826" cy="337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ka-GE" sz="1100"/>
            <a:t>*2017-ის შიტებზე მოცემულია ცალკეული მიმართულებით საჭირო მედიკამენტების</a:t>
          </a:r>
          <a:r>
            <a:rPr lang="ka-GE" sz="1100" baseline="0"/>
            <a:t> რაოდენობების გათვლები და შესაბამისი ბიუჯეტი, მხოლოდ სოციალურად დაუცველ პირთათვის (670 000 პირი).</a:t>
          </a:r>
        </a:p>
        <a:p>
          <a:endParaRPr lang="ka-GE" sz="1100" baseline="0"/>
        </a:p>
        <a:p>
          <a:r>
            <a:rPr lang="ka-GE" sz="1100" baseline="0"/>
            <a:t>*2018-ის შიტებზე მოცემულია ცალეკული მიმართულებით საჭირო მედიკამენტების რაოდენობების გათვლები და შესაბამისი ბიუჯეტი, საპენსიო ასაკის პირთათვის და შშმ პირებისათვის (900 000 პირი).</a:t>
          </a:r>
        </a:p>
        <a:p>
          <a:endParaRPr lang="ka-GE" sz="1100" baseline="0"/>
        </a:p>
        <a:p>
          <a:r>
            <a:rPr lang="ka-GE" sz="1100" baseline="0"/>
            <a:t>*2017 წელს პროგრამა დაიწყო ივლისის თვიდან, შესაბამისად, ბიუჯეტი გადაითვალა 5 თვის საჭიროებაზე და შეადგინა დაახლოებით 3 460 000 ლარი.</a:t>
          </a:r>
        </a:p>
        <a:p>
          <a:endParaRPr lang="ka-GE" sz="1100" baseline="0"/>
        </a:p>
        <a:p>
          <a:r>
            <a:rPr lang="ka-GE" sz="1100" baseline="0"/>
            <a:t>*2018 წლის ბიუჯეტი შედგება </a:t>
          </a:r>
          <a:r>
            <a:rPr lang="ka-GE" sz="1100" b="1" baseline="0"/>
            <a:t>სოცდაუცველთათვის წლიურად საჭირო ბიუჯეტისა (2017 წლიური- 8 293 397.27) </a:t>
          </a:r>
          <a:r>
            <a:rPr lang="ka-GE" sz="1100" baseline="0"/>
            <a:t>და  </a:t>
          </a:r>
          <a:r>
            <a:rPr lang="ka-GE" sz="1100" b="1" baseline="0"/>
            <a:t>2018 წელს ახლად დამატებული ბენეფიციარებისათვის საჭირო ბიუჯეტის ჯამით. </a:t>
          </a:r>
          <a:r>
            <a:rPr lang="ka-GE" sz="1100" baseline="0"/>
            <a:t>ამასთან, 2018 წელს გაფართოვება დაიგეგმა დაახლოებით შემოდგომიდან, ანუ პირობითად გათვლილია სამ თვეზე (2 751 584, 59). შესაბამისად, სულ, 2018 წლის საჭირო ბიუჯეტი განისაზღვრა დაახლოებით 11 044 981.86 ლარით.</a:t>
          </a:r>
        </a:p>
        <a:p>
          <a:endParaRPr lang="ka-GE" sz="1100" baseline="0"/>
        </a:p>
        <a:p>
          <a:r>
            <a:rPr lang="ka-GE" sz="1100" baseline="0"/>
            <a:t>ამავე ლოგიკით, 2019 წლის საჭირო ბიუჯეტი შეადგენს დაახლოებით 19 300 000 ლარს.</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Rar$DIa0.147\Drugs%20for%20Asthma_COP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drugs\Drugs%20for%20Asthma_COPD%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Components"/>
      <sheetName val="PrevaleceIncidence"/>
      <sheetName val="Medications_doses"/>
      <sheetName val="ASTHMA"/>
      <sheetName val="COPD"/>
    </sheetNames>
    <sheetDataSet>
      <sheetData sheetId="0" refreshError="1"/>
      <sheetData sheetId="1">
        <row r="6">
          <cell r="D6">
            <v>2318.8700000000003</v>
          </cell>
        </row>
        <row r="8">
          <cell r="D8">
            <v>5334.5400000000009</v>
          </cell>
        </row>
      </sheetData>
      <sheetData sheetId="2">
        <row r="3">
          <cell r="D3">
            <v>1000</v>
          </cell>
          <cell r="H3">
            <v>40</v>
          </cell>
          <cell r="I3">
            <v>3.75</v>
          </cell>
          <cell r="K3">
            <v>40</v>
          </cell>
        </row>
        <row r="5">
          <cell r="D5">
            <v>10</v>
          </cell>
          <cell r="H5">
            <v>80</v>
          </cell>
          <cell r="I5">
            <v>2.25</v>
          </cell>
          <cell r="K5">
            <v>80</v>
          </cell>
        </row>
        <row r="7">
          <cell r="D7">
            <v>600</v>
          </cell>
          <cell r="H7">
            <v>18.25</v>
          </cell>
          <cell r="I7">
            <v>27.5</v>
          </cell>
          <cell r="K7">
            <v>18.25</v>
          </cell>
        </row>
        <row r="9">
          <cell r="D9">
            <v>400</v>
          </cell>
          <cell r="H9">
            <v>1460</v>
          </cell>
          <cell r="I9">
            <v>4.5199999999999997E-2</v>
          </cell>
          <cell r="K9">
            <v>1.825</v>
          </cell>
        </row>
        <row r="10">
          <cell r="H10">
            <v>12.166666666666666</v>
          </cell>
          <cell r="I10">
            <v>54.71</v>
          </cell>
          <cell r="K10">
            <v>12.166666666666666</v>
          </cell>
        </row>
        <row r="11">
          <cell r="H11">
            <v>12.166666666666666</v>
          </cell>
          <cell r="K11">
            <v>12.166666666666666</v>
          </cell>
        </row>
        <row r="13">
          <cell r="D13">
            <v>200</v>
          </cell>
          <cell r="H13">
            <v>730</v>
          </cell>
          <cell r="I13">
            <v>4.5199999999999997E-2</v>
          </cell>
          <cell r="K13">
            <v>1.825</v>
          </cell>
        </row>
        <row r="15">
          <cell r="D15">
            <v>18</v>
          </cell>
          <cell r="H15">
            <v>12.166666666666666</v>
          </cell>
          <cell r="I15">
            <v>137.30000000000001</v>
          </cell>
          <cell r="K15">
            <v>12.166666666666666</v>
          </cell>
        </row>
        <row r="17">
          <cell r="D17">
            <v>16</v>
          </cell>
          <cell r="H17">
            <v>2</v>
          </cell>
          <cell r="I17">
            <v>5.26</v>
          </cell>
          <cell r="K17">
            <v>2</v>
          </cell>
        </row>
      </sheetData>
      <sheetData sheetId="3">
        <row r="6">
          <cell r="J6">
            <v>2318.8700000000003</v>
          </cell>
        </row>
        <row r="8">
          <cell r="J8">
            <v>2318.8700000000003</v>
          </cell>
        </row>
        <row r="10">
          <cell r="J10">
            <v>2318.8700000000003</v>
          </cell>
        </row>
        <row r="12">
          <cell r="J12">
            <v>2318.8700000000003</v>
          </cell>
        </row>
        <row r="14">
          <cell r="J14">
            <v>2318.8700000000003</v>
          </cell>
        </row>
      </sheetData>
      <sheetData sheetId="4">
        <row r="5">
          <cell r="J5">
            <v>2133.8160000000003</v>
          </cell>
        </row>
        <row r="7">
          <cell r="J7">
            <v>2133.8160000000003</v>
          </cell>
        </row>
        <row r="9">
          <cell r="J9">
            <v>2133.8160000000003</v>
          </cell>
        </row>
        <row r="11">
          <cell r="J11">
            <v>2133.8160000000003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Components"/>
      <sheetName val="PrevaleceIncidence"/>
      <sheetName val="Medications_doses"/>
      <sheetName val="ASTHMA"/>
      <sheetName val="COPD"/>
    </sheetNames>
    <sheetDataSet>
      <sheetData sheetId="0"/>
      <sheetData sheetId="1">
        <row r="6">
          <cell r="D6">
            <v>3114.9</v>
          </cell>
        </row>
        <row r="8">
          <cell r="D8">
            <v>7165.8</v>
          </cell>
        </row>
      </sheetData>
      <sheetData sheetId="2">
        <row r="3">
          <cell r="D3">
            <v>1000</v>
          </cell>
          <cell r="H3">
            <v>40</v>
          </cell>
          <cell r="I3">
            <v>3.75</v>
          </cell>
          <cell r="K3">
            <v>40</v>
          </cell>
        </row>
        <row r="5">
          <cell r="D5">
            <v>10</v>
          </cell>
          <cell r="H5">
            <v>80</v>
          </cell>
          <cell r="I5">
            <v>2.25</v>
          </cell>
          <cell r="K5">
            <v>80</v>
          </cell>
        </row>
        <row r="7">
          <cell r="D7">
            <v>600</v>
          </cell>
          <cell r="H7">
            <v>18.25</v>
          </cell>
          <cell r="I7">
            <v>27.5</v>
          </cell>
          <cell r="K7">
            <v>18.25</v>
          </cell>
        </row>
        <row r="9">
          <cell r="D9">
            <v>400</v>
          </cell>
          <cell r="H9">
            <v>1460</v>
          </cell>
          <cell r="I9">
            <v>4.5199999999999997E-2</v>
          </cell>
          <cell r="K9">
            <v>1.825</v>
          </cell>
        </row>
        <row r="10">
          <cell r="H10">
            <v>12.166666666666666</v>
          </cell>
          <cell r="I10">
            <v>54.71</v>
          </cell>
          <cell r="K10">
            <v>12.166666666666666</v>
          </cell>
        </row>
        <row r="11">
          <cell r="H11">
            <v>12.166666666666666</v>
          </cell>
          <cell r="K11">
            <v>12.166666666666666</v>
          </cell>
        </row>
        <row r="13">
          <cell r="D13">
            <v>200</v>
          </cell>
          <cell r="H13">
            <v>730</v>
          </cell>
          <cell r="I13">
            <v>4.5199999999999997E-2</v>
          </cell>
          <cell r="K13">
            <v>1.825</v>
          </cell>
        </row>
        <row r="15">
          <cell r="D15">
            <v>18</v>
          </cell>
          <cell r="H15">
            <v>12.166666666666666</v>
          </cell>
          <cell r="I15">
            <v>137.30000000000001</v>
          </cell>
          <cell r="K15">
            <v>12.166666666666666</v>
          </cell>
        </row>
        <row r="17">
          <cell r="D17">
            <v>16</v>
          </cell>
          <cell r="H17">
            <v>2</v>
          </cell>
          <cell r="I17">
            <v>5.26</v>
          </cell>
          <cell r="K17">
            <v>2</v>
          </cell>
        </row>
      </sheetData>
      <sheetData sheetId="3">
        <row r="6">
          <cell r="J6">
            <v>3114.9</v>
          </cell>
        </row>
        <row r="8">
          <cell r="J8">
            <v>3114.9</v>
          </cell>
        </row>
        <row r="10">
          <cell r="J10">
            <v>3114.9</v>
          </cell>
        </row>
        <row r="12">
          <cell r="J12">
            <v>3114.9</v>
          </cell>
        </row>
        <row r="14">
          <cell r="J14">
            <v>3114.9</v>
          </cell>
        </row>
      </sheetData>
      <sheetData sheetId="4">
        <row r="5">
          <cell r="J5">
            <v>2866.32</v>
          </cell>
        </row>
        <row r="7">
          <cell r="J7">
            <v>2866.32</v>
          </cell>
        </row>
        <row r="9">
          <cell r="J9">
            <v>2866.32</v>
          </cell>
        </row>
        <row r="11">
          <cell r="J11">
            <v>2866.32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F16"/>
  <sheetViews>
    <sheetView tabSelected="1" topLeftCell="A13" workbookViewId="0">
      <selection activeCell="M21" sqref="M21"/>
    </sheetView>
  </sheetViews>
  <sheetFormatPr defaultRowHeight="15" x14ac:dyDescent="0.25"/>
  <cols>
    <col min="3" max="3" width="43.5703125" customWidth="1"/>
    <col min="4" max="4" width="15.140625" style="160" bestFit="1" customWidth="1"/>
    <col min="5" max="5" width="18" style="89" customWidth="1"/>
    <col min="6" max="6" width="14.28515625" bestFit="1" customWidth="1"/>
  </cols>
  <sheetData>
    <row r="3" spans="3:6" ht="30" customHeight="1" x14ac:dyDescent="0.25">
      <c r="D3" s="164" t="s">
        <v>75</v>
      </c>
      <c r="E3" s="164"/>
      <c r="F3" s="164"/>
    </row>
    <row r="4" spans="3:6" ht="22.5" x14ac:dyDescent="0.25">
      <c r="D4" s="161" t="s">
        <v>200</v>
      </c>
      <c r="E4" s="162" t="s">
        <v>201</v>
      </c>
      <c r="F4" s="161">
        <v>2019</v>
      </c>
    </row>
    <row r="5" spans="3:6" x14ac:dyDescent="0.25">
      <c r="C5" t="s">
        <v>191</v>
      </c>
      <c r="D5" s="160">
        <f>'2017-გულ-სისხლძარღვთა'!O21</f>
        <v>4133842.5377741139</v>
      </c>
      <c r="E5" s="89">
        <f>'2018-გულ-სისხლძარღვთ'!O21</f>
        <v>5418876.7727177134</v>
      </c>
    </row>
    <row r="6" spans="3:6" x14ac:dyDescent="0.25">
      <c r="C6" t="s">
        <v>194</v>
      </c>
      <c r="D6" s="160">
        <f>'2017-დიაბეტი'!N9</f>
        <v>270472.48919170577</v>
      </c>
      <c r="E6" s="89">
        <f>'2018-დიაბეტი'!N9</f>
        <v>363321.25413811224</v>
      </c>
    </row>
    <row r="7" spans="3:6" x14ac:dyDescent="0.25">
      <c r="C7" t="s">
        <v>192</v>
      </c>
      <c r="D7" s="160">
        <f>'2017-ფარისებრი'!N8</f>
        <v>66107.382047999999</v>
      </c>
      <c r="E7" s="89">
        <f>'2018-ფარისებრი'!N8</f>
        <v>88800.960959999997</v>
      </c>
    </row>
    <row r="8" spans="3:6" x14ac:dyDescent="0.25">
      <c r="C8" t="s">
        <v>193</v>
      </c>
      <c r="D8" s="160">
        <f>'2017-ფქოდი-ბიუჯეტი'!K14+'2017-ასთმა-ბიუჯეტი'!K16</f>
        <v>3822974.8600113867</v>
      </c>
      <c r="E8" s="89">
        <f>'2018-ფილტვი-3'!K16+'2018-ფილტვი-4'!K14</f>
        <v>5135339.3641943997</v>
      </c>
    </row>
    <row r="9" spans="3:6" x14ac:dyDescent="0.25">
      <c r="C9" t="s">
        <v>195</v>
      </c>
      <c r="D9" s="160">
        <f>SUM(D5:D8)</f>
        <v>8293397.2690252056</v>
      </c>
      <c r="E9" s="160">
        <f>SUM(E5:E8)</f>
        <v>11006338.352010224</v>
      </c>
      <c r="F9" s="163">
        <f>D9+E9</f>
        <v>19299735.621035431</v>
      </c>
    </row>
    <row r="11" spans="3:6" x14ac:dyDescent="0.25">
      <c r="C11" t="s">
        <v>196</v>
      </c>
      <c r="D11" s="160">
        <f>D9/12*5</f>
        <v>3455582.1954271691</v>
      </c>
    </row>
    <row r="13" spans="3:6" x14ac:dyDescent="0.25">
      <c r="C13" t="s">
        <v>198</v>
      </c>
      <c r="E13" s="89">
        <f>E9/12*3</f>
        <v>2751584.588002556</v>
      </c>
    </row>
    <row r="16" spans="3:6" x14ac:dyDescent="0.25">
      <c r="C16" t="s">
        <v>199</v>
      </c>
      <c r="E16" s="89">
        <f>D9+E13</f>
        <v>11044981.857027762</v>
      </c>
    </row>
  </sheetData>
  <mergeCells count="1">
    <mergeCell ref="D3:F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5"/>
  <sheetViews>
    <sheetView topLeftCell="H1" workbookViewId="0">
      <selection activeCell="D3" sqref="D3"/>
    </sheetView>
  </sheetViews>
  <sheetFormatPr defaultRowHeight="15" x14ac:dyDescent="0.25"/>
  <cols>
    <col min="1" max="1" width="5.140625" customWidth="1"/>
    <col min="2" max="2" width="23.42578125" customWidth="1"/>
    <col min="3" max="3" width="40.42578125" customWidth="1"/>
    <col min="4" max="4" width="31.28515625" customWidth="1"/>
    <col min="5" max="5" width="16.85546875" customWidth="1"/>
    <col min="6" max="6" width="17.85546875" customWidth="1"/>
    <col min="7" max="7" width="19.85546875" customWidth="1"/>
    <col min="8" max="8" width="13.7109375" customWidth="1"/>
    <col min="9" max="9" width="19" customWidth="1"/>
    <col min="10" max="10" width="17" customWidth="1"/>
    <col min="11" max="11" width="12.85546875" customWidth="1"/>
    <col min="12" max="12" width="24.5703125" customWidth="1"/>
    <col min="13" max="13" width="21.85546875" customWidth="1"/>
    <col min="14" max="14" width="24.5703125" style="89" customWidth="1"/>
    <col min="15" max="15" width="21.7109375" customWidth="1"/>
  </cols>
  <sheetData>
    <row r="1" spans="1:15" ht="30" x14ac:dyDescent="0.25">
      <c r="C1" s="3"/>
      <c r="D1" s="14" t="s">
        <v>8</v>
      </c>
      <c r="E1" s="15" t="s">
        <v>0</v>
      </c>
      <c r="F1" s="64"/>
      <c r="G1" s="64"/>
    </row>
    <row r="2" spans="1:15" ht="15.75" x14ac:dyDescent="0.25">
      <c r="C2" s="93" t="s">
        <v>197</v>
      </c>
      <c r="D2" s="28">
        <v>900000</v>
      </c>
      <c r="E2" s="16">
        <f>D2/100000</f>
        <v>9</v>
      </c>
      <c r="F2" s="10"/>
      <c r="G2" s="10"/>
    </row>
    <row r="3" spans="1:15" ht="15.75" x14ac:dyDescent="0.25">
      <c r="C3" s="65"/>
      <c r="D3" s="66"/>
      <c r="E3" s="18"/>
      <c r="F3" s="10"/>
      <c r="G3" s="10"/>
    </row>
    <row r="4" spans="1:15" s="4" customFormat="1" ht="105" x14ac:dyDescent="0.25">
      <c r="A4" s="4" t="s">
        <v>10</v>
      </c>
      <c r="B4" s="5" t="s">
        <v>11</v>
      </c>
      <c r="C4" s="5" t="s">
        <v>26</v>
      </c>
      <c r="D4" s="6" t="s">
        <v>17</v>
      </c>
      <c r="E4" s="6" t="s">
        <v>12</v>
      </c>
      <c r="F4" s="7" t="s">
        <v>5</v>
      </c>
      <c r="G4" s="7" t="s">
        <v>30</v>
      </c>
      <c r="H4" s="6" t="s">
        <v>18</v>
      </c>
      <c r="I4" s="7" t="s">
        <v>60</v>
      </c>
      <c r="J4" s="7" t="s">
        <v>19</v>
      </c>
      <c r="K4" s="7" t="s">
        <v>61</v>
      </c>
      <c r="L4" s="67" t="s">
        <v>62</v>
      </c>
      <c r="M4" s="67" t="s">
        <v>7</v>
      </c>
      <c r="N4" s="90" t="s">
        <v>63</v>
      </c>
      <c r="O4" s="68" t="s">
        <v>20</v>
      </c>
    </row>
    <row r="5" spans="1:15" ht="75" hidden="1" x14ac:dyDescent="0.25">
      <c r="A5" s="1"/>
      <c r="B5" s="69"/>
      <c r="C5" s="94" t="s">
        <v>64</v>
      </c>
      <c r="D5" s="70" t="s">
        <v>44</v>
      </c>
      <c r="E5" s="71"/>
      <c r="F5" s="71"/>
      <c r="G5" s="71"/>
    </row>
    <row r="6" spans="1:15" ht="15" customHeight="1" x14ac:dyDescent="0.25">
      <c r="A6" s="1">
        <v>1</v>
      </c>
      <c r="B6" s="72" t="s">
        <v>65</v>
      </c>
      <c r="C6" s="139" t="s">
        <v>66</v>
      </c>
      <c r="D6" s="1">
        <v>1861.9</v>
      </c>
      <c r="E6" s="12">
        <f>D6*E2</f>
        <v>16757.100000000002</v>
      </c>
      <c r="F6" s="11">
        <v>0.93</v>
      </c>
      <c r="G6" s="11">
        <v>0.8</v>
      </c>
      <c r="H6" s="8">
        <v>1000</v>
      </c>
      <c r="I6" s="8">
        <v>1000</v>
      </c>
      <c r="J6" s="9">
        <f>H6/I6*365</f>
        <v>365</v>
      </c>
      <c r="K6" s="13">
        <v>0.14000000000000001</v>
      </c>
      <c r="L6" s="73">
        <f>F6*G6*J6*K6</f>
        <v>38.018400000000014</v>
      </c>
      <c r="M6" s="74">
        <f>E6*F6*G6*70%</f>
        <v>8727.0976800000026</v>
      </c>
      <c r="N6" s="91">
        <f>L6*M6</f>
        <v>331790.29043731221</v>
      </c>
      <c r="O6" s="75">
        <f>M6*J6</f>
        <v>3185390.653200001</v>
      </c>
    </row>
    <row r="7" spans="1:15" x14ac:dyDescent="0.25">
      <c r="A7" s="1">
        <v>2</v>
      </c>
      <c r="B7" s="72" t="s">
        <v>67</v>
      </c>
      <c r="C7" s="139" t="s">
        <v>66</v>
      </c>
      <c r="D7" s="1">
        <v>1861.9</v>
      </c>
      <c r="E7" s="12">
        <f>D7*E2</f>
        <v>16757.100000000002</v>
      </c>
      <c r="F7" s="11">
        <v>0.8</v>
      </c>
      <c r="G7" s="11">
        <v>0.5</v>
      </c>
      <c r="H7" s="8">
        <v>60</v>
      </c>
      <c r="I7" s="8">
        <v>60</v>
      </c>
      <c r="J7" s="9">
        <f>H7/I7*365</f>
        <v>365</v>
      </c>
      <c r="K7" s="13">
        <v>0.53300000000000003</v>
      </c>
      <c r="L7" s="73">
        <f>F7*G7*J7*K7</f>
        <v>77.817999999999998</v>
      </c>
      <c r="M7" s="74">
        <f>E7*F7*G7*30%*15%</f>
        <v>301.62780000000004</v>
      </c>
      <c r="N7" s="91">
        <f t="shared" ref="N7:N8" si="0">L7*M7</f>
        <v>23472.072140400003</v>
      </c>
      <c r="O7" s="75">
        <f>M7*J7</f>
        <v>110094.14700000001</v>
      </c>
    </row>
    <row r="8" spans="1:15" x14ac:dyDescent="0.25">
      <c r="A8" s="1">
        <v>3</v>
      </c>
      <c r="B8" s="72" t="s">
        <v>68</v>
      </c>
      <c r="C8" s="139" t="s">
        <v>66</v>
      </c>
      <c r="D8" s="1">
        <v>1861.9</v>
      </c>
      <c r="E8" s="12">
        <f>D8*E2</f>
        <v>16757.100000000002</v>
      </c>
      <c r="F8" s="11">
        <v>0.8</v>
      </c>
      <c r="G8" s="11">
        <v>0.5</v>
      </c>
      <c r="H8" s="8">
        <v>2</v>
      </c>
      <c r="I8" s="8">
        <v>2</v>
      </c>
      <c r="J8" s="9">
        <f>H8/I8*365</f>
        <v>365</v>
      </c>
      <c r="K8" s="8">
        <v>0.183</v>
      </c>
      <c r="L8" s="73">
        <f>F8*G8*J8*K8</f>
        <v>26.718</v>
      </c>
      <c r="M8" s="74">
        <f>E8*F8*G8*30%*15%</f>
        <v>301.62780000000004</v>
      </c>
      <c r="N8" s="91">
        <f t="shared" si="0"/>
        <v>8058.8915604000013</v>
      </c>
      <c r="O8" s="75">
        <f>M8*J8</f>
        <v>110094.14700000001</v>
      </c>
    </row>
    <row r="9" spans="1:15" ht="21" x14ac:dyDescent="0.35">
      <c r="A9" s="76"/>
      <c r="B9" t="s">
        <v>22</v>
      </c>
      <c r="N9" s="92">
        <f>SUM(N6:N8)</f>
        <v>363321.25413811224</v>
      </c>
    </row>
    <row r="10" spans="1:15" x14ac:dyDescent="0.25">
      <c r="M10" s="77"/>
    </row>
    <row r="13" spans="1:15" ht="41.25" customHeight="1" x14ac:dyDescent="0.25">
      <c r="C13" s="78" t="s">
        <v>21</v>
      </c>
      <c r="D13" s="170" t="s">
        <v>23</v>
      </c>
      <c r="E13" s="170"/>
      <c r="F13" s="170"/>
      <c r="G13" s="170"/>
      <c r="H13" s="170"/>
      <c r="I13" s="170"/>
      <c r="J13" s="170"/>
      <c r="K13" s="170"/>
      <c r="L13" s="170"/>
    </row>
    <row r="14" spans="1:15" ht="60.75" customHeight="1" x14ac:dyDescent="0.25">
      <c r="C14" s="79" t="s">
        <v>24</v>
      </c>
      <c r="D14" s="171" t="s">
        <v>69</v>
      </c>
      <c r="E14" s="171"/>
      <c r="F14" s="171"/>
      <c r="G14" s="171"/>
      <c r="H14" s="171"/>
      <c r="I14" s="171"/>
      <c r="J14" s="171"/>
      <c r="K14" s="171"/>
      <c r="L14" s="171"/>
    </row>
    <row r="15" spans="1:15" ht="30" customHeight="1" x14ac:dyDescent="0.25">
      <c r="C15" s="79" t="s">
        <v>25</v>
      </c>
      <c r="D15" s="172" t="s">
        <v>70</v>
      </c>
      <c r="E15" s="172"/>
      <c r="F15" s="172"/>
      <c r="G15" s="172"/>
      <c r="H15" s="172"/>
      <c r="I15" s="172"/>
      <c r="J15" s="172"/>
      <c r="K15" s="172"/>
      <c r="L15" s="172"/>
    </row>
    <row r="16" spans="1:15" ht="32.25" customHeight="1" x14ac:dyDescent="0.25">
      <c r="C16" s="78" t="s">
        <v>27</v>
      </c>
      <c r="D16" s="169" t="s">
        <v>71</v>
      </c>
      <c r="E16" s="169"/>
      <c r="F16" s="169"/>
      <c r="G16" s="169"/>
      <c r="H16" s="169"/>
      <c r="I16" s="169"/>
      <c r="J16" s="169"/>
      <c r="K16" s="169"/>
      <c r="L16" s="169"/>
    </row>
    <row r="17" spans="3:12" ht="33" customHeight="1" x14ac:dyDescent="0.25">
      <c r="C17" s="78" t="s">
        <v>6</v>
      </c>
      <c r="D17" s="169" t="s">
        <v>72</v>
      </c>
      <c r="E17" s="169"/>
      <c r="F17" s="169"/>
      <c r="G17" s="169"/>
      <c r="H17" s="169"/>
      <c r="I17" s="169"/>
      <c r="J17" s="169"/>
      <c r="K17" s="169"/>
      <c r="L17" s="169"/>
    </row>
    <row r="18" spans="3:12" ht="54" customHeight="1" x14ac:dyDescent="0.25">
      <c r="C18" s="78" t="s">
        <v>31</v>
      </c>
      <c r="D18" s="169" t="s">
        <v>73</v>
      </c>
      <c r="E18" s="169"/>
      <c r="F18" s="169"/>
      <c r="G18" s="169"/>
      <c r="H18" s="169"/>
      <c r="I18" s="169"/>
      <c r="J18" s="169"/>
      <c r="K18" s="169"/>
      <c r="L18" s="169"/>
    </row>
    <row r="19" spans="3:12" ht="30.75" customHeight="1" x14ac:dyDescent="0.25">
      <c r="C19" s="78" t="s">
        <v>1</v>
      </c>
      <c r="D19" s="169" t="s">
        <v>33</v>
      </c>
      <c r="E19" s="169"/>
      <c r="F19" s="169"/>
      <c r="G19" s="169"/>
      <c r="H19" s="169"/>
      <c r="I19" s="169"/>
      <c r="J19" s="169"/>
      <c r="K19" s="169"/>
      <c r="L19" s="169"/>
    </row>
    <row r="20" spans="3:12" ht="30" x14ac:dyDescent="0.25">
      <c r="C20" s="17" t="s">
        <v>34</v>
      </c>
      <c r="D20" s="169" t="s">
        <v>35</v>
      </c>
      <c r="E20" s="169"/>
      <c r="F20" s="169"/>
      <c r="G20" s="169"/>
      <c r="H20" s="169"/>
      <c r="I20" s="169"/>
      <c r="J20" s="169"/>
      <c r="K20" s="169"/>
      <c r="L20" s="169"/>
    </row>
    <row r="23" spans="3:12" ht="45" x14ac:dyDescent="0.25">
      <c r="C23" s="80" t="s">
        <v>74</v>
      </c>
      <c r="D23" s="81" t="s">
        <v>75</v>
      </c>
      <c r="E23" s="81" t="s">
        <v>76</v>
      </c>
      <c r="F23" s="82" t="s">
        <v>77</v>
      </c>
      <c r="G23" s="10"/>
    </row>
    <row r="24" spans="3:12" ht="18.75" x14ac:dyDescent="0.25">
      <c r="C24" s="83" t="s">
        <v>78</v>
      </c>
      <c r="D24" s="84">
        <f>N9</f>
        <v>363321.25413811224</v>
      </c>
      <c r="E24" s="84">
        <f>E6</f>
        <v>16757.100000000002</v>
      </c>
      <c r="F24" s="85">
        <f>D24/E24</f>
        <v>21.681630720000012</v>
      </c>
      <c r="G24" s="10"/>
    </row>
    <row r="25" spans="3:12" ht="18.75" x14ac:dyDescent="0.25">
      <c r="C25" s="86" t="s">
        <v>79</v>
      </c>
      <c r="D25" s="87">
        <f>SUM(D24:D24)</f>
        <v>363321.25413811224</v>
      </c>
      <c r="E25" s="87">
        <f>SUM(E24:E24)</f>
        <v>16757.100000000002</v>
      </c>
      <c r="F25" s="88">
        <f t="shared" ref="F25" si="1">D25/E25</f>
        <v>21.681630720000012</v>
      </c>
      <c r="G25" s="10"/>
    </row>
  </sheetData>
  <mergeCells count="8">
    <mergeCell ref="D19:L19"/>
    <mergeCell ref="D20:L20"/>
    <mergeCell ref="D13:L13"/>
    <mergeCell ref="D14:L14"/>
    <mergeCell ref="D15:L15"/>
    <mergeCell ref="D16:L16"/>
    <mergeCell ref="D17:L17"/>
    <mergeCell ref="D18:L18"/>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J1" workbookViewId="0">
      <selection activeCell="D3" sqref="D3"/>
    </sheetView>
  </sheetViews>
  <sheetFormatPr defaultRowHeight="15" x14ac:dyDescent="0.25"/>
  <cols>
    <col min="1" max="1" width="5.140625" customWidth="1"/>
    <col min="2" max="2" width="25.7109375" customWidth="1"/>
    <col min="3" max="3" width="40.42578125" customWidth="1"/>
    <col min="4" max="4" width="31.28515625" customWidth="1"/>
    <col min="5" max="5" width="16.85546875" customWidth="1"/>
    <col min="6" max="6" width="17.85546875" customWidth="1"/>
    <col min="7" max="7" width="19.85546875" customWidth="1"/>
    <col min="8" max="8" width="13.7109375" customWidth="1"/>
    <col min="9" max="9" width="19" customWidth="1"/>
    <col min="10" max="10" width="17" customWidth="1"/>
    <col min="11" max="11" width="12.85546875" customWidth="1"/>
    <col min="12" max="12" width="18.42578125" customWidth="1"/>
    <col min="13" max="13" width="21.85546875" customWidth="1"/>
    <col min="14" max="14" width="19.140625" style="89" customWidth="1"/>
    <col min="15" max="15" width="21.7109375" customWidth="1"/>
    <col min="16" max="16" width="32.42578125" customWidth="1"/>
  </cols>
  <sheetData>
    <row r="1" spans="1:16" ht="30" x14ac:dyDescent="0.25">
      <c r="C1" s="3"/>
      <c r="D1" s="14" t="s">
        <v>8</v>
      </c>
      <c r="E1" s="15" t="s">
        <v>0</v>
      </c>
      <c r="F1" s="64"/>
      <c r="G1" s="64"/>
    </row>
    <row r="2" spans="1:16" ht="15.75" x14ac:dyDescent="0.25">
      <c r="C2" s="93" t="s">
        <v>197</v>
      </c>
      <c r="D2" s="28">
        <v>900000</v>
      </c>
      <c r="E2" s="16">
        <f>D2/100000</f>
        <v>9</v>
      </c>
      <c r="F2" s="10"/>
      <c r="G2" s="10"/>
    </row>
    <row r="3" spans="1:16" ht="15.75" x14ac:dyDescent="0.25">
      <c r="C3" s="65"/>
      <c r="D3" s="66"/>
      <c r="E3" s="18"/>
      <c r="F3" s="10"/>
      <c r="G3" s="10"/>
    </row>
    <row r="4" spans="1:16" s="4" customFormat="1" ht="105" x14ac:dyDescent="0.25">
      <c r="A4" s="4" t="s">
        <v>10</v>
      </c>
      <c r="B4" s="5" t="s">
        <v>11</v>
      </c>
      <c r="C4" s="5" t="s">
        <v>26</v>
      </c>
      <c r="D4" s="6" t="s">
        <v>17</v>
      </c>
      <c r="E4" s="6" t="s">
        <v>12</v>
      </c>
      <c r="F4" s="7" t="s">
        <v>5</v>
      </c>
      <c r="G4" s="7" t="s">
        <v>30</v>
      </c>
      <c r="H4" s="6" t="s">
        <v>18</v>
      </c>
      <c r="I4" s="7" t="s">
        <v>80</v>
      </c>
      <c r="J4" s="7" t="s">
        <v>19</v>
      </c>
      <c r="K4" s="7" t="s">
        <v>61</v>
      </c>
      <c r="L4" s="67" t="s">
        <v>62</v>
      </c>
      <c r="M4" s="67" t="s">
        <v>7</v>
      </c>
      <c r="N4" s="90" t="s">
        <v>63</v>
      </c>
      <c r="O4" s="68" t="s">
        <v>20</v>
      </c>
    </row>
    <row r="5" spans="1:16" ht="75" hidden="1" x14ac:dyDescent="0.25">
      <c r="A5" s="1"/>
      <c r="B5" s="69"/>
      <c r="C5" s="94" t="s">
        <v>64</v>
      </c>
      <c r="D5" s="70" t="s">
        <v>44</v>
      </c>
      <c r="E5" s="71"/>
      <c r="F5" s="71"/>
      <c r="G5" s="71"/>
    </row>
    <row r="6" spans="1:16" ht="30" x14ac:dyDescent="0.25">
      <c r="A6" s="1">
        <v>1</v>
      </c>
      <c r="B6" s="95" t="s">
        <v>81</v>
      </c>
      <c r="C6" s="94" t="s">
        <v>82</v>
      </c>
      <c r="D6" s="1">
        <v>191.5</v>
      </c>
      <c r="E6" s="12">
        <f>D6*E2</f>
        <v>1723.5</v>
      </c>
      <c r="F6" s="11">
        <v>0.8</v>
      </c>
      <c r="G6" s="11">
        <v>0.6</v>
      </c>
      <c r="H6" s="1">
        <v>5</v>
      </c>
      <c r="I6" s="1">
        <v>5</v>
      </c>
      <c r="J6" s="96">
        <f>H6/I6*365</f>
        <v>365</v>
      </c>
      <c r="K6" s="97">
        <v>0.2</v>
      </c>
      <c r="L6" s="73">
        <f>F6*G6*J6*K6</f>
        <v>35.04</v>
      </c>
      <c r="M6" s="74">
        <f>E6*F6*G6</f>
        <v>827.28000000000009</v>
      </c>
      <c r="N6" s="108">
        <f>L6*M6</f>
        <v>28987.891200000002</v>
      </c>
      <c r="O6" s="98">
        <f>M6*J6</f>
        <v>301957.2</v>
      </c>
      <c r="P6" t="s">
        <v>83</v>
      </c>
    </row>
    <row r="7" spans="1:16" ht="45" x14ac:dyDescent="0.25">
      <c r="A7" s="1"/>
      <c r="B7" s="95" t="s">
        <v>84</v>
      </c>
      <c r="C7" s="94" t="s">
        <v>85</v>
      </c>
      <c r="D7" s="1">
        <v>1053.7</v>
      </c>
      <c r="E7" s="12">
        <f>D7*E2</f>
        <v>9483.3000000000011</v>
      </c>
      <c r="F7" s="99">
        <v>0.8</v>
      </c>
      <c r="G7" s="99">
        <v>0.6</v>
      </c>
      <c r="H7" s="1">
        <v>50</v>
      </c>
      <c r="I7" s="1">
        <v>50</v>
      </c>
      <c r="J7" s="96">
        <f>H7/I7*365</f>
        <v>365</v>
      </c>
      <c r="K7" s="1">
        <v>7.4999999999999997E-2</v>
      </c>
      <c r="L7" s="73">
        <f>F7*G7*J7*K7</f>
        <v>13.139999999999999</v>
      </c>
      <c r="M7" s="74">
        <f>E7*F7*G7</f>
        <v>4551.9840000000004</v>
      </c>
      <c r="N7" s="108">
        <f t="shared" ref="N7" si="0">L7*M7</f>
        <v>59813.069759999998</v>
      </c>
      <c r="O7" s="98">
        <f>M7*J7</f>
        <v>1661474.1600000001</v>
      </c>
      <c r="P7" s="100" t="s">
        <v>86</v>
      </c>
    </row>
    <row r="8" spans="1:16" ht="21" x14ac:dyDescent="0.35">
      <c r="A8" s="76"/>
      <c r="B8" t="s">
        <v>22</v>
      </c>
      <c r="N8" s="92">
        <f>SUM(N6:N7)</f>
        <v>88800.960959999997</v>
      </c>
    </row>
    <row r="9" spans="1:16" x14ac:dyDescent="0.25">
      <c r="M9" s="77"/>
    </row>
    <row r="12" spans="1:16" ht="30.75" customHeight="1" x14ac:dyDescent="0.25">
      <c r="C12" s="78" t="s">
        <v>21</v>
      </c>
      <c r="D12" s="173" t="s">
        <v>87</v>
      </c>
      <c r="E12" s="173"/>
      <c r="F12" s="173"/>
      <c r="G12" s="173"/>
      <c r="H12" s="173"/>
      <c r="I12" s="173"/>
      <c r="J12" s="173"/>
      <c r="K12" s="173"/>
      <c r="L12" s="173"/>
    </row>
    <row r="13" spans="1:16" ht="60.75" customHeight="1" x14ac:dyDescent="0.25">
      <c r="C13" s="79" t="s">
        <v>24</v>
      </c>
      <c r="D13" s="171" t="s">
        <v>88</v>
      </c>
      <c r="E13" s="171"/>
      <c r="F13" s="171"/>
      <c r="G13" s="171"/>
      <c r="H13" s="171"/>
      <c r="I13" s="171"/>
      <c r="J13" s="171"/>
      <c r="K13" s="171"/>
      <c r="L13" s="171"/>
    </row>
    <row r="14" spans="1:16" ht="30" customHeight="1" x14ac:dyDescent="0.25">
      <c r="C14" s="79" t="s">
        <v>25</v>
      </c>
      <c r="D14" s="172" t="s">
        <v>89</v>
      </c>
      <c r="E14" s="172"/>
      <c r="F14" s="172"/>
      <c r="G14" s="172"/>
      <c r="H14" s="172"/>
      <c r="I14" s="172"/>
      <c r="J14" s="172"/>
      <c r="K14" s="172"/>
      <c r="L14" s="172"/>
    </row>
    <row r="15" spans="1:16" ht="32.25" customHeight="1" x14ac:dyDescent="0.25">
      <c r="C15" s="78" t="s">
        <v>27</v>
      </c>
      <c r="D15" s="169" t="s">
        <v>90</v>
      </c>
      <c r="E15" s="169"/>
      <c r="F15" s="169"/>
      <c r="G15" s="169"/>
      <c r="H15" s="169"/>
      <c r="I15" s="169"/>
      <c r="J15" s="169"/>
      <c r="K15" s="169"/>
      <c r="L15" s="169"/>
    </row>
    <row r="16" spans="1:16" ht="84.75" customHeight="1" x14ac:dyDescent="0.25">
      <c r="C16" s="78" t="s">
        <v>6</v>
      </c>
      <c r="D16" s="169" t="s">
        <v>91</v>
      </c>
      <c r="E16" s="169"/>
      <c r="F16" s="169"/>
      <c r="G16" s="169"/>
      <c r="H16" s="169"/>
      <c r="I16" s="169"/>
      <c r="J16" s="169"/>
      <c r="K16" s="169"/>
      <c r="L16" s="169"/>
    </row>
    <row r="17" spans="3:12" ht="54" customHeight="1" x14ac:dyDescent="0.25">
      <c r="C17" s="78" t="s">
        <v>31</v>
      </c>
      <c r="D17" s="169" t="s">
        <v>92</v>
      </c>
      <c r="E17" s="169"/>
      <c r="F17" s="169"/>
      <c r="G17" s="169"/>
      <c r="H17" s="169"/>
      <c r="I17" s="169"/>
      <c r="J17" s="169"/>
      <c r="K17" s="169"/>
      <c r="L17" s="169"/>
    </row>
    <row r="18" spans="3:12" ht="30.75" customHeight="1" x14ac:dyDescent="0.25">
      <c r="C18" s="78" t="s">
        <v>1</v>
      </c>
      <c r="D18" s="169" t="s">
        <v>33</v>
      </c>
      <c r="E18" s="169"/>
      <c r="F18" s="169"/>
      <c r="G18" s="169"/>
      <c r="H18" s="169"/>
      <c r="I18" s="169"/>
      <c r="J18" s="169"/>
      <c r="K18" s="169"/>
      <c r="L18" s="169"/>
    </row>
    <row r="19" spans="3:12" ht="30" x14ac:dyDescent="0.25">
      <c r="C19" s="17" t="s">
        <v>34</v>
      </c>
      <c r="D19" s="169" t="s">
        <v>35</v>
      </c>
      <c r="E19" s="169"/>
      <c r="F19" s="169"/>
      <c r="G19" s="169"/>
      <c r="H19" s="169"/>
      <c r="I19" s="169"/>
      <c r="J19" s="169"/>
      <c r="K19" s="169"/>
      <c r="L19" s="169"/>
    </row>
    <row r="22" spans="3:12" ht="45" x14ac:dyDescent="0.25">
      <c r="C22" s="80" t="s">
        <v>74</v>
      </c>
      <c r="D22" s="81" t="s">
        <v>75</v>
      </c>
      <c r="E22" s="81" t="s">
        <v>76</v>
      </c>
      <c r="F22" s="82" t="s">
        <v>77</v>
      </c>
      <c r="G22" s="10"/>
    </row>
    <row r="23" spans="3:12" ht="18.75" x14ac:dyDescent="0.25">
      <c r="C23" s="94" t="s">
        <v>93</v>
      </c>
      <c r="D23" s="101">
        <f>N6</f>
        <v>28987.891200000002</v>
      </c>
      <c r="E23" s="101">
        <f>E6</f>
        <v>1723.5</v>
      </c>
      <c r="F23" s="102">
        <f>D23/E23</f>
        <v>16.819200000000002</v>
      </c>
      <c r="G23" s="10"/>
    </row>
    <row r="24" spans="3:12" ht="45" x14ac:dyDescent="0.25">
      <c r="C24" s="94" t="s">
        <v>94</v>
      </c>
      <c r="D24" s="103">
        <f>N7</f>
        <v>59813.069759999998</v>
      </c>
      <c r="E24" s="104">
        <f>E7</f>
        <v>9483.3000000000011</v>
      </c>
      <c r="F24" s="105">
        <f t="shared" ref="F24:F25" si="1">D24/E24</f>
        <v>6.307199999999999</v>
      </c>
      <c r="G24" s="10"/>
    </row>
    <row r="25" spans="3:12" ht="18.75" x14ac:dyDescent="0.25">
      <c r="C25" s="86" t="s">
        <v>79</v>
      </c>
      <c r="D25" s="106">
        <f>SUM(D23:D24)</f>
        <v>88800.960959999997</v>
      </c>
      <c r="E25" s="106">
        <f>SUM(E23:E24)</f>
        <v>11206.800000000001</v>
      </c>
      <c r="F25" s="107">
        <f t="shared" si="1"/>
        <v>7.9238463218760025</v>
      </c>
      <c r="G25" s="10"/>
    </row>
  </sheetData>
  <mergeCells count="8">
    <mergeCell ref="D18:L18"/>
    <mergeCell ref="D19:L19"/>
    <mergeCell ref="D12:L12"/>
    <mergeCell ref="D13:L13"/>
    <mergeCell ref="D14:L14"/>
    <mergeCell ref="D15:L15"/>
    <mergeCell ref="D16:L16"/>
    <mergeCell ref="D17:L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B12" sqref="B12"/>
    </sheetView>
  </sheetViews>
  <sheetFormatPr defaultRowHeight="15" x14ac:dyDescent="0.25"/>
  <cols>
    <col min="1" max="1" width="5.85546875" customWidth="1"/>
    <col min="2" max="2" width="72" customWidth="1"/>
    <col min="3" max="3" width="20.85546875" customWidth="1"/>
    <col min="4" max="4" width="27" customWidth="1"/>
  </cols>
  <sheetData>
    <row r="1" spans="1:4" ht="30" x14ac:dyDescent="0.25">
      <c r="B1" s="109"/>
      <c r="C1" s="110" t="s">
        <v>8</v>
      </c>
      <c r="D1" s="111" t="s">
        <v>0</v>
      </c>
    </row>
    <row r="2" spans="1:4" ht="15.75" x14ac:dyDescent="0.25">
      <c r="B2" s="112" t="s">
        <v>95</v>
      </c>
      <c r="C2" s="113">
        <v>900000</v>
      </c>
      <c r="D2" s="114">
        <f>C2/100000</f>
        <v>9</v>
      </c>
    </row>
    <row r="3" spans="1:4" ht="15.75" x14ac:dyDescent="0.25">
      <c r="B3" s="115" t="s">
        <v>96</v>
      </c>
      <c r="C3" s="116">
        <f>C2*17%</f>
        <v>153000</v>
      </c>
      <c r="D3" s="117">
        <f>C3/100000</f>
        <v>1.53</v>
      </c>
    </row>
    <row r="4" spans="1:4" x14ac:dyDescent="0.25">
      <c r="B4" s="109"/>
      <c r="C4" s="109"/>
      <c r="D4" s="109"/>
    </row>
    <row r="5" spans="1:4" ht="25.5" x14ac:dyDescent="0.25">
      <c r="A5" s="118" t="s">
        <v>97</v>
      </c>
      <c r="B5" s="119"/>
      <c r="C5" s="119" t="s">
        <v>98</v>
      </c>
      <c r="D5" s="120" t="s">
        <v>99</v>
      </c>
    </row>
    <row r="6" spans="1:4" ht="15.75" x14ac:dyDescent="0.25">
      <c r="A6" s="1" t="s">
        <v>100</v>
      </c>
      <c r="B6" s="121" t="s">
        <v>101</v>
      </c>
      <c r="C6" s="122">
        <v>346.1</v>
      </c>
      <c r="D6" s="123">
        <f>C6*D2</f>
        <v>3114.9</v>
      </c>
    </row>
    <row r="7" spans="1:4" ht="30" x14ac:dyDescent="0.25">
      <c r="A7" s="1" t="s">
        <v>102</v>
      </c>
      <c r="B7" s="124" t="s">
        <v>103</v>
      </c>
      <c r="C7" s="122">
        <v>178.7</v>
      </c>
      <c r="D7" s="123">
        <f>C7*D3</f>
        <v>273.411</v>
      </c>
    </row>
    <row r="8" spans="1:4" ht="30" x14ac:dyDescent="0.25">
      <c r="A8" s="1" t="s">
        <v>104</v>
      </c>
      <c r="B8" s="121" t="s">
        <v>105</v>
      </c>
      <c r="C8" s="122">
        <v>796.2</v>
      </c>
      <c r="D8" s="123">
        <f>C8*D2</f>
        <v>7165.8</v>
      </c>
    </row>
    <row r="10" spans="1:4" x14ac:dyDescent="0.25">
      <c r="A10" s="125"/>
      <c r="B10" t="s">
        <v>106</v>
      </c>
    </row>
    <row r="11" spans="1:4" x14ac:dyDescent="0.25">
      <c r="B11" s="12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sqref="A1:XFD1048576"/>
    </sheetView>
  </sheetViews>
  <sheetFormatPr defaultRowHeight="15" x14ac:dyDescent="0.25"/>
  <cols>
    <col min="2" max="2" width="48.42578125" customWidth="1"/>
    <col min="3" max="3" width="25.42578125" customWidth="1"/>
    <col min="4" max="4" width="13.85546875" customWidth="1"/>
    <col min="5" max="5" width="15.140625" customWidth="1"/>
    <col min="6" max="6" width="14.7109375" customWidth="1"/>
    <col min="7" max="7" width="16.42578125" customWidth="1"/>
    <col min="8" max="8" width="13.42578125" customWidth="1"/>
    <col min="9" max="9" width="15" customWidth="1"/>
    <col min="10" max="10" width="17" customWidth="1"/>
    <col min="11" max="11" width="22.42578125" customWidth="1"/>
    <col min="12" max="12" width="24.140625" customWidth="1"/>
  </cols>
  <sheetData>
    <row r="1" spans="1:13" ht="18.75" x14ac:dyDescent="0.25">
      <c r="B1" s="174" t="s">
        <v>107</v>
      </c>
      <c r="C1" s="175"/>
      <c r="D1" s="175"/>
      <c r="E1" s="175"/>
      <c r="F1" s="175"/>
      <c r="G1" s="175"/>
      <c r="H1" s="175"/>
      <c r="I1" s="175"/>
      <c r="J1" s="175"/>
      <c r="K1" s="175"/>
      <c r="L1" s="176"/>
    </row>
    <row r="2" spans="1:13" ht="60" x14ac:dyDescent="0.25">
      <c r="B2" s="127" t="s">
        <v>74</v>
      </c>
      <c r="C2" s="128" t="s">
        <v>108</v>
      </c>
      <c r="D2" s="128" t="s">
        <v>1</v>
      </c>
      <c r="E2" s="128" t="s">
        <v>109</v>
      </c>
      <c r="F2" s="128" t="s">
        <v>110</v>
      </c>
      <c r="G2" s="128" t="s">
        <v>111</v>
      </c>
      <c r="H2" s="128" t="s">
        <v>112</v>
      </c>
      <c r="I2" s="128" t="s">
        <v>113</v>
      </c>
      <c r="J2" s="129" t="s">
        <v>114</v>
      </c>
      <c r="K2" s="129" t="s">
        <v>115</v>
      </c>
      <c r="L2" s="129" t="s">
        <v>116</v>
      </c>
    </row>
    <row r="3" spans="1:13" x14ac:dyDescent="0.25">
      <c r="A3" s="130"/>
      <c r="B3" s="177" t="s">
        <v>117</v>
      </c>
      <c r="C3" s="178" t="s">
        <v>118</v>
      </c>
      <c r="D3" s="179">
        <v>1000</v>
      </c>
      <c r="E3" s="179" t="s">
        <v>119</v>
      </c>
      <c r="F3" s="179">
        <v>500</v>
      </c>
      <c r="G3" s="179" t="s">
        <v>120</v>
      </c>
      <c r="H3" s="182">
        <f>D3/F3*20</f>
        <v>40</v>
      </c>
      <c r="I3" s="183">
        <v>3.75</v>
      </c>
      <c r="J3" s="184">
        <f t="shared" ref="J3" si="0">H3*I3</f>
        <v>150</v>
      </c>
      <c r="K3" s="186">
        <f>H3</f>
        <v>40</v>
      </c>
      <c r="L3" s="188" t="s">
        <v>121</v>
      </c>
      <c r="M3" s="189"/>
    </row>
    <row r="4" spans="1:13" ht="30" customHeight="1" x14ac:dyDescent="0.25">
      <c r="A4" s="130"/>
      <c r="B4" s="177"/>
      <c r="C4" s="178"/>
      <c r="D4" s="180"/>
      <c r="E4" s="180"/>
      <c r="F4" s="181"/>
      <c r="G4" s="181"/>
      <c r="H4" s="182"/>
      <c r="I4" s="183"/>
      <c r="J4" s="185"/>
      <c r="K4" s="187"/>
      <c r="L4" s="188"/>
      <c r="M4" s="189"/>
    </row>
    <row r="5" spans="1:13" x14ac:dyDescent="0.25">
      <c r="A5" s="130"/>
      <c r="B5" s="177" t="s">
        <v>117</v>
      </c>
      <c r="C5" s="178" t="s">
        <v>122</v>
      </c>
      <c r="D5" s="179">
        <v>10</v>
      </c>
      <c r="E5" s="179" t="s">
        <v>123</v>
      </c>
      <c r="F5" s="179">
        <v>2.5</v>
      </c>
      <c r="G5" s="179" t="s">
        <v>124</v>
      </c>
      <c r="H5" s="182">
        <f>D5/F5*20</f>
        <v>80</v>
      </c>
      <c r="I5" s="183">
        <v>2.25</v>
      </c>
      <c r="J5" s="184">
        <f t="shared" ref="J5" si="1">H5*I5</f>
        <v>180</v>
      </c>
      <c r="K5" s="186">
        <f>H5</f>
        <v>80</v>
      </c>
      <c r="L5" s="188" t="s">
        <v>125</v>
      </c>
      <c r="M5" s="189"/>
    </row>
    <row r="6" spans="1:13" ht="51" customHeight="1" x14ac:dyDescent="0.25">
      <c r="A6" s="130"/>
      <c r="B6" s="177"/>
      <c r="C6" s="178"/>
      <c r="D6" s="180"/>
      <c r="E6" s="180"/>
      <c r="F6" s="181"/>
      <c r="G6" s="181"/>
      <c r="H6" s="182"/>
      <c r="I6" s="183"/>
      <c r="J6" s="185"/>
      <c r="K6" s="187"/>
      <c r="L6" s="188"/>
      <c r="M6" s="189"/>
    </row>
    <row r="7" spans="1:13" x14ac:dyDescent="0.25">
      <c r="A7" s="130"/>
      <c r="B7" s="177" t="s">
        <v>117</v>
      </c>
      <c r="C7" s="178" t="s">
        <v>126</v>
      </c>
      <c r="D7" s="179">
        <v>600</v>
      </c>
      <c r="E7" s="179" t="s">
        <v>119</v>
      </c>
      <c r="F7" s="179">
        <v>200</v>
      </c>
      <c r="G7" s="179" t="s">
        <v>127</v>
      </c>
      <c r="H7" s="182">
        <f>365/(60/(D7/F7))</f>
        <v>18.25</v>
      </c>
      <c r="I7" s="183">
        <v>27.5</v>
      </c>
      <c r="J7" s="184">
        <f t="shared" ref="J7" si="2">H7*I7</f>
        <v>501.875</v>
      </c>
      <c r="K7" s="186">
        <f>H7</f>
        <v>18.25</v>
      </c>
      <c r="L7" s="188" t="s">
        <v>128</v>
      </c>
      <c r="M7" s="189"/>
    </row>
    <row r="8" spans="1:13" ht="49.5" customHeight="1" x14ac:dyDescent="0.25">
      <c r="A8" s="130"/>
      <c r="B8" s="177"/>
      <c r="C8" s="178"/>
      <c r="D8" s="180"/>
      <c r="E8" s="180"/>
      <c r="F8" s="181"/>
      <c r="G8" s="181"/>
      <c r="H8" s="182"/>
      <c r="I8" s="183"/>
      <c r="J8" s="185"/>
      <c r="K8" s="187"/>
      <c r="L8" s="188"/>
      <c r="M8" s="189"/>
    </row>
    <row r="9" spans="1:13" ht="45" x14ac:dyDescent="0.25">
      <c r="A9" s="130"/>
      <c r="B9" s="131" t="s">
        <v>117</v>
      </c>
      <c r="C9" s="132" t="s">
        <v>129</v>
      </c>
      <c r="D9" s="133">
        <v>400</v>
      </c>
      <c r="E9" s="133" t="s">
        <v>119</v>
      </c>
      <c r="F9" s="133">
        <v>100</v>
      </c>
      <c r="G9" s="133" t="s">
        <v>130</v>
      </c>
      <c r="H9" s="134">
        <f>D9/F9*365</f>
        <v>1460</v>
      </c>
      <c r="I9" s="135">
        <f>9.04/200</f>
        <v>4.5199999999999997E-2</v>
      </c>
      <c r="J9" s="136">
        <f t="shared" ref="J9" si="3">H9*I9</f>
        <v>65.99199999999999</v>
      </c>
      <c r="K9" s="137">
        <f>H9/4/200</f>
        <v>1.825</v>
      </c>
      <c r="L9" s="138" t="s">
        <v>131</v>
      </c>
      <c r="M9" s="189"/>
    </row>
    <row r="10" spans="1:13" ht="30" x14ac:dyDescent="0.25">
      <c r="A10" s="130"/>
      <c r="B10" s="131" t="s">
        <v>117</v>
      </c>
      <c r="C10" s="132" t="s">
        <v>132</v>
      </c>
      <c r="D10" s="133">
        <v>500</v>
      </c>
      <c r="E10" s="133" t="s">
        <v>119</v>
      </c>
      <c r="F10" s="133" t="s">
        <v>133</v>
      </c>
      <c r="G10" s="133" t="s">
        <v>134</v>
      </c>
      <c r="H10" s="134">
        <f>365/(60/2)</f>
        <v>12.166666666666666</v>
      </c>
      <c r="I10" s="135">
        <v>54.71</v>
      </c>
      <c r="J10" s="136">
        <f>I10*H10</f>
        <v>665.63833333333332</v>
      </c>
      <c r="K10" s="137">
        <f>H10</f>
        <v>12.166666666666666</v>
      </c>
      <c r="L10" s="138" t="s">
        <v>135</v>
      </c>
      <c r="M10" s="189"/>
    </row>
    <row r="11" spans="1:13" x14ac:dyDescent="0.25">
      <c r="A11" s="130"/>
      <c r="B11" s="190" t="s">
        <v>136</v>
      </c>
      <c r="C11" s="192" t="s">
        <v>132</v>
      </c>
      <c r="D11" s="194">
        <v>500</v>
      </c>
      <c r="E11" s="194" t="s">
        <v>119</v>
      </c>
      <c r="F11" s="195" t="s">
        <v>133</v>
      </c>
      <c r="G11" s="194" t="s">
        <v>134</v>
      </c>
      <c r="H11" s="197">
        <f>365/(60/2)</f>
        <v>12.166666666666666</v>
      </c>
      <c r="I11" s="199">
        <v>54.71</v>
      </c>
      <c r="J11" s="205">
        <f t="shared" ref="J11" si="4">H11*I11</f>
        <v>665.63833333333332</v>
      </c>
      <c r="K11" s="206">
        <f>H11</f>
        <v>12.166666666666666</v>
      </c>
      <c r="L11" s="188" t="s">
        <v>135</v>
      </c>
      <c r="M11" s="204"/>
    </row>
    <row r="12" spans="1:13" ht="34.5" customHeight="1" x14ac:dyDescent="0.25">
      <c r="A12" s="130"/>
      <c r="B12" s="191"/>
      <c r="C12" s="193"/>
      <c r="D12" s="180"/>
      <c r="E12" s="180"/>
      <c r="F12" s="196"/>
      <c r="G12" s="181"/>
      <c r="H12" s="198"/>
      <c r="I12" s="200"/>
      <c r="J12" s="185"/>
      <c r="K12" s="187"/>
      <c r="L12" s="188"/>
      <c r="M12" s="207"/>
    </row>
    <row r="13" spans="1:13" x14ac:dyDescent="0.25">
      <c r="A13" s="130"/>
      <c r="B13" s="191" t="s">
        <v>136</v>
      </c>
      <c r="C13" s="201" t="s">
        <v>137</v>
      </c>
      <c r="D13" s="179">
        <v>200</v>
      </c>
      <c r="E13" s="179" t="s">
        <v>119</v>
      </c>
      <c r="F13" s="203">
        <v>100</v>
      </c>
      <c r="G13" s="179" t="s">
        <v>138</v>
      </c>
      <c r="H13" s="198">
        <f>(D13/F13)*365</f>
        <v>730</v>
      </c>
      <c r="I13" s="208">
        <f>9.04/200</f>
        <v>4.5199999999999997E-2</v>
      </c>
      <c r="J13" s="184">
        <f t="shared" ref="J13" si="5">H13*I13</f>
        <v>32.995999999999995</v>
      </c>
      <c r="K13" s="186">
        <f>H13/2/200</f>
        <v>1.825</v>
      </c>
      <c r="L13" s="188" t="s">
        <v>131</v>
      </c>
      <c r="M13" s="204"/>
    </row>
    <row r="14" spans="1:13" ht="36" customHeight="1" x14ac:dyDescent="0.25">
      <c r="A14" s="130"/>
      <c r="B14" s="191"/>
      <c r="C14" s="202"/>
      <c r="D14" s="180"/>
      <c r="E14" s="180"/>
      <c r="F14" s="203"/>
      <c r="G14" s="181"/>
      <c r="H14" s="198"/>
      <c r="I14" s="208"/>
      <c r="J14" s="185"/>
      <c r="K14" s="187"/>
      <c r="L14" s="188"/>
      <c r="M14" s="204"/>
    </row>
    <row r="15" spans="1:13" ht="15" customHeight="1" x14ac:dyDescent="0.25">
      <c r="A15" s="130"/>
      <c r="B15" s="191" t="s">
        <v>136</v>
      </c>
      <c r="C15" s="201" t="s">
        <v>139</v>
      </c>
      <c r="D15" s="179">
        <v>18</v>
      </c>
      <c r="E15" s="179" t="s">
        <v>119</v>
      </c>
      <c r="F15" s="210">
        <v>30</v>
      </c>
      <c r="G15" s="179" t="s">
        <v>140</v>
      </c>
      <c r="H15" s="211">
        <f>365/30</f>
        <v>12.166666666666666</v>
      </c>
      <c r="I15" s="211">
        <v>137.30000000000001</v>
      </c>
      <c r="J15" s="184">
        <f t="shared" ref="J15" si="6">H15*I15</f>
        <v>1670.4833333333333</v>
      </c>
      <c r="K15" s="186">
        <f>H15</f>
        <v>12.166666666666666</v>
      </c>
      <c r="L15" s="188" t="s">
        <v>141</v>
      </c>
      <c r="M15" s="209"/>
    </row>
    <row r="16" spans="1:13" ht="49.5" customHeight="1" x14ac:dyDescent="0.25">
      <c r="A16" s="130"/>
      <c r="B16" s="191"/>
      <c r="C16" s="202"/>
      <c r="D16" s="180"/>
      <c r="E16" s="180"/>
      <c r="F16" s="195"/>
      <c r="G16" s="181"/>
      <c r="H16" s="197"/>
      <c r="I16" s="197"/>
      <c r="J16" s="185"/>
      <c r="K16" s="187"/>
      <c r="L16" s="188"/>
      <c r="M16" s="209"/>
    </row>
    <row r="17" spans="1:13" x14ac:dyDescent="0.25">
      <c r="A17" s="140"/>
      <c r="B17" s="191" t="s">
        <v>136</v>
      </c>
      <c r="C17" s="212" t="s">
        <v>142</v>
      </c>
      <c r="D17" s="179">
        <v>16</v>
      </c>
      <c r="E17" s="179" t="s">
        <v>123</v>
      </c>
      <c r="F17" s="210" t="s">
        <v>143</v>
      </c>
      <c r="G17" s="179" t="s">
        <v>144</v>
      </c>
      <c r="H17" s="211">
        <v>2</v>
      </c>
      <c r="I17" s="211">
        <v>5.26</v>
      </c>
      <c r="J17" s="184">
        <f t="shared" ref="J17" si="7">H17*I17</f>
        <v>10.52</v>
      </c>
      <c r="K17" s="186">
        <f>H17</f>
        <v>2</v>
      </c>
      <c r="L17" s="213" t="s">
        <v>145</v>
      </c>
      <c r="M17" s="209"/>
    </row>
    <row r="18" spans="1:13" ht="47.25" customHeight="1" x14ac:dyDescent="0.25">
      <c r="B18" s="191"/>
      <c r="C18" s="192"/>
      <c r="D18" s="180"/>
      <c r="E18" s="180"/>
      <c r="F18" s="195"/>
      <c r="G18" s="181"/>
      <c r="H18" s="197"/>
      <c r="I18" s="197"/>
      <c r="J18" s="185"/>
      <c r="K18" s="187"/>
      <c r="L18" s="213"/>
      <c r="M18" s="209"/>
    </row>
    <row r="19" spans="1:13" x14ac:dyDescent="0.25">
      <c r="L19" s="141"/>
    </row>
  </sheetData>
  <mergeCells count="86">
    <mergeCell ref="B1:L1"/>
    <mergeCell ref="B3:B4"/>
    <mergeCell ref="C3:C4"/>
    <mergeCell ref="D3:D4"/>
    <mergeCell ref="E3:E4"/>
    <mergeCell ref="F3:F4"/>
    <mergeCell ref="G3:G4"/>
    <mergeCell ref="H3:H4"/>
    <mergeCell ref="I3:I4"/>
    <mergeCell ref="J3:J4"/>
    <mergeCell ref="K3:K4"/>
    <mergeCell ref="L3:L4"/>
    <mergeCell ref="M3:M4"/>
    <mergeCell ref="B5:B6"/>
    <mergeCell ref="C5:C6"/>
    <mergeCell ref="D5:D6"/>
    <mergeCell ref="E5:E6"/>
    <mergeCell ref="F5:F6"/>
    <mergeCell ref="G5:G6"/>
    <mergeCell ref="H5:H6"/>
    <mergeCell ref="M5:M6"/>
    <mergeCell ref="B7:B8"/>
    <mergeCell ref="C7:C8"/>
    <mergeCell ref="D7:D8"/>
    <mergeCell ref="E7:E8"/>
    <mergeCell ref="F7:F8"/>
    <mergeCell ref="L7:L8"/>
    <mergeCell ref="I5:I6"/>
    <mergeCell ref="J5:J6"/>
    <mergeCell ref="K5:K6"/>
    <mergeCell ref="L5:L6"/>
    <mergeCell ref="G13:G14"/>
    <mergeCell ref="M7:M8"/>
    <mergeCell ref="M9:M10"/>
    <mergeCell ref="B11:B12"/>
    <mergeCell ref="C11:C12"/>
    <mergeCell ref="D11:D12"/>
    <mergeCell ref="E11:E12"/>
    <mergeCell ref="F11:F12"/>
    <mergeCell ref="G11:G12"/>
    <mergeCell ref="H11:H12"/>
    <mergeCell ref="I11:I12"/>
    <mergeCell ref="G7:G8"/>
    <mergeCell ref="H7:H8"/>
    <mergeCell ref="I7:I8"/>
    <mergeCell ref="J7:J8"/>
    <mergeCell ref="K7:K8"/>
    <mergeCell ref="B13:B14"/>
    <mergeCell ref="C13:C14"/>
    <mergeCell ref="D13:D14"/>
    <mergeCell ref="E13:E14"/>
    <mergeCell ref="F13:F14"/>
    <mergeCell ref="M13:M14"/>
    <mergeCell ref="J11:J12"/>
    <mergeCell ref="K11:K12"/>
    <mergeCell ref="L11:L12"/>
    <mergeCell ref="M11:M12"/>
    <mergeCell ref="H13:H14"/>
    <mergeCell ref="I13:I14"/>
    <mergeCell ref="J13:J14"/>
    <mergeCell ref="K13:K14"/>
    <mergeCell ref="L13:L14"/>
    <mergeCell ref="M15:M16"/>
    <mergeCell ref="B15:B16"/>
    <mergeCell ref="C15:C16"/>
    <mergeCell ref="D15:D16"/>
    <mergeCell ref="E15:E16"/>
    <mergeCell ref="F15:F16"/>
    <mergeCell ref="G15:G16"/>
    <mergeCell ref="H15:H16"/>
    <mergeCell ref="I15:I16"/>
    <mergeCell ref="J15:J16"/>
    <mergeCell ref="K15:K16"/>
    <mergeCell ref="L15:L16"/>
    <mergeCell ref="M17:M18"/>
    <mergeCell ref="B17:B18"/>
    <mergeCell ref="C17:C18"/>
    <mergeCell ref="D17:D18"/>
    <mergeCell ref="E17:E18"/>
    <mergeCell ref="F17:F18"/>
    <mergeCell ref="G17:G18"/>
    <mergeCell ref="H17:H18"/>
    <mergeCell ref="I17:I18"/>
    <mergeCell ref="J17:J18"/>
    <mergeCell ref="K17:K18"/>
    <mergeCell ref="L17:L1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6"/>
  <sheetViews>
    <sheetView topLeftCell="A9" workbookViewId="0">
      <selection sqref="A1:XFD1048576"/>
    </sheetView>
  </sheetViews>
  <sheetFormatPr defaultRowHeight="15" x14ac:dyDescent="0.25"/>
  <cols>
    <col min="2" max="2" width="30" customWidth="1"/>
    <col min="3" max="3" width="13.42578125" customWidth="1"/>
    <col min="4" max="4" width="20.42578125" customWidth="1"/>
    <col min="5" max="5" width="16.5703125" customWidth="1"/>
    <col min="6" max="6" width="19" customWidth="1"/>
    <col min="7" max="7" width="12.42578125" customWidth="1"/>
    <col min="8" max="8" width="14.42578125" customWidth="1"/>
    <col min="9" max="10" width="18.42578125" customWidth="1"/>
    <col min="11" max="11" width="13.42578125" style="89" customWidth="1"/>
    <col min="12" max="12" width="15.7109375" customWidth="1"/>
    <col min="13" max="13" width="26.85546875" customWidth="1"/>
  </cols>
  <sheetData>
    <row r="3" spans="2:13" ht="75" x14ac:dyDescent="0.25">
      <c r="B3" s="81" t="s">
        <v>108</v>
      </c>
      <c r="C3" s="81" t="s">
        <v>146</v>
      </c>
      <c r="D3" s="81" t="s">
        <v>110</v>
      </c>
      <c r="E3" s="81" t="s">
        <v>147</v>
      </c>
      <c r="F3" s="81" t="s">
        <v>148</v>
      </c>
      <c r="G3" s="81" t="s">
        <v>149</v>
      </c>
      <c r="H3" s="81" t="s">
        <v>150</v>
      </c>
      <c r="I3" s="81" t="s">
        <v>151</v>
      </c>
      <c r="J3" s="81" t="s">
        <v>152</v>
      </c>
      <c r="K3" s="142" t="s">
        <v>153</v>
      </c>
      <c r="L3" s="81" t="s">
        <v>154</v>
      </c>
      <c r="M3" s="81" t="s">
        <v>116</v>
      </c>
    </row>
    <row r="4" spans="2:13" ht="29.25" customHeight="1" x14ac:dyDescent="0.25">
      <c r="B4" s="214" t="s">
        <v>155</v>
      </c>
      <c r="C4" s="215"/>
      <c r="D4" s="215"/>
      <c r="E4" s="215"/>
      <c r="F4" s="215"/>
      <c r="G4" s="215"/>
      <c r="H4" s="215"/>
      <c r="I4" s="215"/>
      <c r="J4" s="215"/>
      <c r="K4" s="215"/>
      <c r="L4" s="215"/>
      <c r="M4" s="216"/>
    </row>
    <row r="5" spans="2:13" ht="75" x14ac:dyDescent="0.25">
      <c r="B5" s="81" t="s">
        <v>108</v>
      </c>
      <c r="C5" s="81" t="s">
        <v>146</v>
      </c>
      <c r="D5" s="81" t="s">
        <v>110</v>
      </c>
      <c r="E5" s="81" t="s">
        <v>156</v>
      </c>
      <c r="F5" s="81" t="s">
        <v>148</v>
      </c>
      <c r="G5" s="81" t="s">
        <v>149</v>
      </c>
      <c r="H5" s="81" t="s">
        <v>150</v>
      </c>
      <c r="I5" s="81" t="s">
        <v>151</v>
      </c>
      <c r="J5" s="81" t="s">
        <v>157</v>
      </c>
      <c r="K5" s="142" t="s">
        <v>153</v>
      </c>
      <c r="L5" s="81" t="s">
        <v>154</v>
      </c>
      <c r="M5" s="81" t="s">
        <v>116</v>
      </c>
    </row>
    <row r="6" spans="2:13" ht="15" customHeight="1" x14ac:dyDescent="0.25">
      <c r="B6" s="239" t="s">
        <v>158</v>
      </c>
      <c r="C6" s="143">
        <f>[2]Medications_doses!D3</f>
        <v>1000</v>
      </c>
      <c r="D6" s="203" t="s">
        <v>159</v>
      </c>
      <c r="E6" s="219">
        <f>[2]Medications_doses!H3</f>
        <v>40</v>
      </c>
      <c r="F6" s="220">
        <v>0.7</v>
      </c>
      <c r="G6" s="240">
        <v>0.9</v>
      </c>
      <c r="H6" s="222">
        <f>[2]Medications_doses!I3</f>
        <v>3.75</v>
      </c>
      <c r="I6" s="222">
        <f>E6*H6*F6*G6</f>
        <v>94.5</v>
      </c>
      <c r="J6" s="241">
        <f>[2]PrevaleceIncidence!D6</f>
        <v>3114.9</v>
      </c>
      <c r="K6" s="226">
        <f>I6*J6</f>
        <v>294358.05</v>
      </c>
      <c r="L6" s="227">
        <f>[2]Medications_doses!K3*[2]ASTHMA!J6</f>
        <v>124596</v>
      </c>
      <c r="M6" s="243" t="s">
        <v>121</v>
      </c>
    </row>
    <row r="7" spans="2:13" ht="45.75" customHeight="1" x14ac:dyDescent="0.25">
      <c r="B7" s="239"/>
      <c r="C7" s="144" t="s">
        <v>160</v>
      </c>
      <c r="D7" s="196"/>
      <c r="E7" s="219"/>
      <c r="F7" s="221"/>
      <c r="G7" s="240"/>
      <c r="H7" s="223"/>
      <c r="I7" s="222"/>
      <c r="J7" s="242"/>
      <c r="K7" s="226"/>
      <c r="L7" s="227"/>
      <c r="M7" s="243"/>
    </row>
    <row r="8" spans="2:13" ht="15" customHeight="1" x14ac:dyDescent="0.25">
      <c r="B8" s="239" t="s">
        <v>161</v>
      </c>
      <c r="C8" s="143">
        <f>[2]Medications_doses!D5</f>
        <v>10</v>
      </c>
      <c r="D8" s="203" t="s">
        <v>162</v>
      </c>
      <c r="E8" s="219">
        <f>[2]Medications_doses!H5</f>
        <v>80</v>
      </c>
      <c r="F8" s="220">
        <v>0.9</v>
      </c>
      <c r="G8" s="240">
        <v>0.9</v>
      </c>
      <c r="H8" s="222">
        <f>[2]Medications_doses!I5</f>
        <v>2.25</v>
      </c>
      <c r="I8" s="222">
        <f>E8*H8*F8*G8</f>
        <v>145.80000000000001</v>
      </c>
      <c r="J8" s="241">
        <f>J6</f>
        <v>3114.9</v>
      </c>
      <c r="K8" s="226">
        <f>I8*J8</f>
        <v>454152.42000000004</v>
      </c>
      <c r="L8" s="227">
        <f>[2]Medications_doses!K5*[2]ASTHMA!J8</f>
        <v>249192</v>
      </c>
      <c r="M8" s="243" t="s">
        <v>125</v>
      </c>
    </row>
    <row r="9" spans="2:13" ht="33" customHeight="1" x14ac:dyDescent="0.25">
      <c r="B9" s="239"/>
      <c r="C9" s="144" t="s">
        <v>160</v>
      </c>
      <c r="D9" s="203"/>
      <c r="E9" s="219"/>
      <c r="F9" s="221"/>
      <c r="G9" s="240"/>
      <c r="H9" s="222"/>
      <c r="I9" s="222"/>
      <c r="J9" s="242"/>
      <c r="K9" s="226"/>
      <c r="L9" s="227"/>
      <c r="M9" s="243"/>
    </row>
    <row r="10" spans="2:13" ht="15" customHeight="1" x14ac:dyDescent="0.25">
      <c r="B10" s="239" t="s">
        <v>163</v>
      </c>
      <c r="C10" s="143">
        <f>[2]Medications_doses!D7</f>
        <v>600</v>
      </c>
      <c r="D10" s="203" t="s">
        <v>164</v>
      </c>
      <c r="E10" s="219">
        <f>[2]Medications_doses!H7</f>
        <v>18.25</v>
      </c>
      <c r="F10" s="220">
        <v>0.7</v>
      </c>
      <c r="G10" s="240">
        <v>0.7</v>
      </c>
      <c r="H10" s="222">
        <f>[2]Medications_doses!I7</f>
        <v>27.5</v>
      </c>
      <c r="I10" s="222">
        <f>E10*F10*G10*H10</f>
        <v>245.91874999999996</v>
      </c>
      <c r="J10" s="219">
        <f>J8</f>
        <v>3114.9</v>
      </c>
      <c r="K10" s="226">
        <f>I10*J10</f>
        <v>766012.31437499984</v>
      </c>
      <c r="L10" s="227">
        <f>[2]Medications_doses!K7*[2]ASTHMA!J10</f>
        <v>56846.925000000003</v>
      </c>
      <c r="M10" s="243" t="s">
        <v>128</v>
      </c>
    </row>
    <row r="11" spans="2:13" ht="39.75" customHeight="1" x14ac:dyDescent="0.25">
      <c r="B11" s="239"/>
      <c r="C11" s="144" t="s">
        <v>160</v>
      </c>
      <c r="D11" s="196"/>
      <c r="E11" s="219"/>
      <c r="F11" s="221"/>
      <c r="G11" s="240"/>
      <c r="H11" s="223"/>
      <c r="I11" s="222"/>
      <c r="J11" s="223"/>
      <c r="K11" s="226"/>
      <c r="L11" s="227"/>
      <c r="M11" s="243"/>
    </row>
    <row r="12" spans="2:13" x14ac:dyDescent="0.25">
      <c r="B12" s="239" t="s">
        <v>165</v>
      </c>
      <c r="C12" s="143">
        <f>[2]Medications_doses!D9</f>
        <v>400</v>
      </c>
      <c r="D12" s="203" t="s">
        <v>166</v>
      </c>
      <c r="E12" s="219">
        <f>[2]Medications_doses!H9</f>
        <v>1460</v>
      </c>
      <c r="F12" s="220">
        <v>0.9</v>
      </c>
      <c r="G12" s="240">
        <v>0.7</v>
      </c>
      <c r="H12" s="222">
        <f>[2]Medications_doses!I9</f>
        <v>4.5199999999999997E-2</v>
      </c>
      <c r="I12" s="222">
        <f>E12*F12*G12*H12</f>
        <v>41.574959999999997</v>
      </c>
      <c r="J12" s="219">
        <f>J10</f>
        <v>3114.9</v>
      </c>
      <c r="K12" s="226">
        <f>I12*J12</f>
        <v>129501.84290399999</v>
      </c>
      <c r="L12" s="227">
        <f>[2]Medications_doses!K9*[2]ASTHMA!J12</f>
        <v>5684.6925000000001</v>
      </c>
      <c r="M12" s="245" t="s">
        <v>131</v>
      </c>
    </row>
    <row r="13" spans="2:13" ht="35.25" customHeight="1" x14ac:dyDescent="0.25">
      <c r="B13" s="239"/>
      <c r="C13" s="143" t="s">
        <v>167</v>
      </c>
      <c r="D13" s="203"/>
      <c r="E13" s="219"/>
      <c r="F13" s="221"/>
      <c r="G13" s="240"/>
      <c r="H13" s="222"/>
      <c r="I13" s="222"/>
      <c r="J13" s="219"/>
      <c r="K13" s="226"/>
      <c r="L13" s="227"/>
      <c r="M13" s="246"/>
    </row>
    <row r="14" spans="2:13" ht="14.25" customHeight="1" x14ac:dyDescent="0.25">
      <c r="B14" s="217" t="s">
        <v>132</v>
      </c>
      <c r="C14" s="143">
        <v>500</v>
      </c>
      <c r="D14" s="210" t="s">
        <v>168</v>
      </c>
      <c r="E14" s="229">
        <f>[2]Medications_doses!H10</f>
        <v>12.166666666666666</v>
      </c>
      <c r="F14" s="231">
        <v>0.7</v>
      </c>
      <c r="G14" s="231">
        <v>0.7</v>
      </c>
      <c r="H14" s="231">
        <f>[2]Medications_doses!I10</f>
        <v>54.71</v>
      </c>
      <c r="I14" s="222">
        <f>E14*F14*G14*H14</f>
        <v>326.16278333333332</v>
      </c>
      <c r="J14" s="229">
        <f>J12</f>
        <v>3114.9</v>
      </c>
      <c r="K14" s="226">
        <f>I14*J14</f>
        <v>1015964.4538049999</v>
      </c>
      <c r="L14" s="227">
        <f>[2]Medications_doses!K10*[2]ASTHMA!J14</f>
        <v>37897.949999999997</v>
      </c>
      <c r="M14" s="244" t="s">
        <v>135</v>
      </c>
    </row>
    <row r="15" spans="2:13" ht="30.75" customHeight="1" x14ac:dyDescent="0.25">
      <c r="B15" s="218"/>
      <c r="C15" s="143" t="s">
        <v>169</v>
      </c>
      <c r="D15" s="195"/>
      <c r="E15" s="230"/>
      <c r="F15" s="232"/>
      <c r="G15" s="232"/>
      <c r="H15" s="232"/>
      <c r="I15" s="222"/>
      <c r="J15" s="230"/>
      <c r="K15" s="226"/>
      <c r="L15" s="227"/>
      <c r="M15" s="244"/>
    </row>
    <row r="16" spans="2:13" x14ac:dyDescent="0.25">
      <c r="B16" s="234" t="s">
        <v>170</v>
      </c>
      <c r="C16" s="234"/>
      <c r="D16" s="234"/>
      <c r="E16" s="234"/>
      <c r="F16" s="234"/>
      <c r="G16" s="234"/>
      <c r="H16" s="234"/>
      <c r="I16" s="234"/>
      <c r="J16" s="234"/>
      <c r="K16" s="145">
        <f>SUM(K6:K15)</f>
        <v>2659989.0810839999</v>
      </c>
      <c r="L16" s="146"/>
      <c r="M16" s="146"/>
    </row>
    <row r="19" spans="1:9" x14ac:dyDescent="0.25">
      <c r="A19" s="147"/>
      <c r="B19" t="s">
        <v>106</v>
      </c>
    </row>
    <row r="21" spans="1:9" x14ac:dyDescent="0.25">
      <c r="A21" s="148" t="s">
        <v>171</v>
      </c>
    </row>
    <row r="23" spans="1:9" ht="30.75" customHeight="1" x14ac:dyDescent="0.25">
      <c r="A23" s="235" t="s">
        <v>172</v>
      </c>
      <c r="B23" s="235"/>
      <c r="C23" s="235"/>
      <c r="D23" s="235"/>
      <c r="E23" s="235"/>
      <c r="F23" s="235"/>
      <c r="G23" s="235"/>
      <c r="H23" s="235"/>
      <c r="I23" s="235"/>
    </row>
    <row r="24" spans="1:9" ht="48.75" customHeight="1" x14ac:dyDescent="0.25">
      <c r="A24" s="238" t="s">
        <v>173</v>
      </c>
      <c r="B24" s="238"/>
      <c r="C24" s="238"/>
      <c r="D24" s="238"/>
      <c r="E24" s="238"/>
      <c r="F24" s="238"/>
      <c r="G24" s="238"/>
      <c r="H24" s="238"/>
      <c r="I24" s="238"/>
    </row>
    <row r="25" spans="1:9" ht="48.75" customHeight="1" x14ac:dyDescent="0.25">
      <c r="A25" s="238" t="s">
        <v>174</v>
      </c>
      <c r="B25" s="238"/>
      <c r="C25" s="238"/>
      <c r="D25" s="238"/>
      <c r="E25" s="238"/>
      <c r="F25" s="238"/>
      <c r="G25" s="238"/>
      <c r="H25" s="238"/>
      <c r="I25" s="238"/>
    </row>
    <row r="26" spans="1:9" ht="29.25" customHeight="1" x14ac:dyDescent="0.25">
      <c r="A26" s="238" t="s">
        <v>175</v>
      </c>
      <c r="B26" s="238"/>
      <c r="C26" s="238"/>
      <c r="D26" s="238"/>
      <c r="E26" s="238"/>
      <c r="F26" s="238"/>
      <c r="G26" s="238"/>
      <c r="H26" s="238"/>
      <c r="I26" s="238"/>
    </row>
  </sheetData>
  <mergeCells count="61">
    <mergeCell ref="B4:M4"/>
    <mergeCell ref="B6:B7"/>
    <mergeCell ref="D6:D7"/>
    <mergeCell ref="E6:E7"/>
    <mergeCell ref="F6:F7"/>
    <mergeCell ref="G6:G7"/>
    <mergeCell ref="H6:H7"/>
    <mergeCell ref="I6:I7"/>
    <mergeCell ref="J6:J7"/>
    <mergeCell ref="K6:K7"/>
    <mergeCell ref="L6:L7"/>
    <mergeCell ref="M6:M7"/>
    <mergeCell ref="B8:B9"/>
    <mergeCell ref="D8:D9"/>
    <mergeCell ref="E8:E9"/>
    <mergeCell ref="F8:F9"/>
    <mergeCell ref="G8:G9"/>
    <mergeCell ref="H8:H9"/>
    <mergeCell ref="I8:I9"/>
    <mergeCell ref="J8:J9"/>
    <mergeCell ref="K8:K9"/>
    <mergeCell ref="L8:L9"/>
    <mergeCell ref="M8:M9"/>
    <mergeCell ref="B10:B11"/>
    <mergeCell ref="D10:D11"/>
    <mergeCell ref="E10:E11"/>
    <mergeCell ref="F10:F11"/>
    <mergeCell ref="G10:G11"/>
    <mergeCell ref="H10:H11"/>
    <mergeCell ref="I10:I11"/>
    <mergeCell ref="J10:J11"/>
    <mergeCell ref="K10:K11"/>
    <mergeCell ref="L10:L11"/>
    <mergeCell ref="M10:M11"/>
    <mergeCell ref="B12:B13"/>
    <mergeCell ref="D12:D13"/>
    <mergeCell ref="E12:E13"/>
    <mergeCell ref="F12:F13"/>
    <mergeCell ref="G12:G13"/>
    <mergeCell ref="H12:H13"/>
    <mergeCell ref="B14:B15"/>
    <mergeCell ref="D14:D15"/>
    <mergeCell ref="E14:E15"/>
    <mergeCell ref="F14:F15"/>
    <mergeCell ref="G14:G15"/>
    <mergeCell ref="M14:M15"/>
    <mergeCell ref="I12:I13"/>
    <mergeCell ref="J12:J13"/>
    <mergeCell ref="K12:K13"/>
    <mergeCell ref="L12:L13"/>
    <mergeCell ref="M12:M13"/>
    <mergeCell ref="H14:H15"/>
    <mergeCell ref="I14:I15"/>
    <mergeCell ref="J14:J15"/>
    <mergeCell ref="K14:K15"/>
    <mergeCell ref="L14:L15"/>
    <mergeCell ref="B16:J16"/>
    <mergeCell ref="A23:I23"/>
    <mergeCell ref="A24:I24"/>
    <mergeCell ref="A25:I25"/>
    <mergeCell ref="A26:I2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topLeftCell="A6" workbookViewId="0">
      <selection sqref="A1:XFD1048576"/>
    </sheetView>
  </sheetViews>
  <sheetFormatPr defaultRowHeight="15" x14ac:dyDescent="0.25"/>
  <cols>
    <col min="2" max="2" width="19.42578125" customWidth="1"/>
    <col min="3" max="3" width="9.140625" customWidth="1"/>
    <col min="4" max="4" width="16.5703125" customWidth="1"/>
    <col min="5" max="6" width="15.42578125" customWidth="1"/>
    <col min="7" max="7" width="14.85546875" customWidth="1"/>
    <col min="8" max="8" width="22.42578125" customWidth="1"/>
    <col min="9" max="9" width="17.140625" customWidth="1"/>
    <col min="10" max="10" width="17.42578125" customWidth="1"/>
    <col min="11" max="11" width="15.42578125" style="89" customWidth="1"/>
    <col min="12" max="12" width="20" customWidth="1"/>
    <col min="13" max="13" width="28.140625" customWidth="1"/>
  </cols>
  <sheetData>
    <row r="3" spans="2:13" ht="90" x14ac:dyDescent="0.25">
      <c r="B3" s="149" t="s">
        <v>108</v>
      </c>
      <c r="C3" s="149" t="s">
        <v>146</v>
      </c>
      <c r="D3" s="149" t="s">
        <v>176</v>
      </c>
      <c r="E3" s="149" t="s">
        <v>156</v>
      </c>
      <c r="F3" s="149" t="s">
        <v>148</v>
      </c>
      <c r="G3" s="149" t="s">
        <v>149</v>
      </c>
      <c r="H3" s="149" t="s">
        <v>177</v>
      </c>
      <c r="I3" s="149" t="s">
        <v>178</v>
      </c>
      <c r="J3" s="149" t="s">
        <v>179</v>
      </c>
      <c r="K3" s="150" t="s">
        <v>180</v>
      </c>
      <c r="L3" s="81" t="s">
        <v>154</v>
      </c>
      <c r="M3" s="81" t="s">
        <v>116</v>
      </c>
    </row>
    <row r="4" spans="2:13" ht="35.25" customHeight="1" x14ac:dyDescent="0.25">
      <c r="B4" s="214" t="s">
        <v>181</v>
      </c>
      <c r="C4" s="215"/>
      <c r="D4" s="215"/>
      <c r="E4" s="215"/>
      <c r="F4" s="215"/>
      <c r="G4" s="215"/>
      <c r="H4" s="215"/>
      <c r="I4" s="215"/>
      <c r="J4" s="215"/>
      <c r="K4" s="215"/>
      <c r="L4" s="215"/>
      <c r="M4" s="216"/>
    </row>
    <row r="5" spans="2:13" ht="15" customHeight="1" x14ac:dyDescent="0.25">
      <c r="B5" s="217" t="s">
        <v>182</v>
      </c>
      <c r="C5" s="143">
        <v>500</v>
      </c>
      <c r="D5" s="203" t="s">
        <v>183</v>
      </c>
      <c r="E5" s="219">
        <f>[2]Medications_doses!H11</f>
        <v>12.166666666666666</v>
      </c>
      <c r="F5" s="220">
        <v>0.6</v>
      </c>
      <c r="G5" s="220">
        <v>0.6</v>
      </c>
      <c r="H5" s="222">
        <v>54.71</v>
      </c>
      <c r="I5" s="222">
        <f>E5*H5*F5*G5</f>
        <v>239.62979999999999</v>
      </c>
      <c r="J5" s="224">
        <f>[2]PrevaleceIncidence!D8*40%</f>
        <v>2866.32</v>
      </c>
      <c r="K5" s="226">
        <f>I5*J5</f>
        <v>686855.68833599996</v>
      </c>
      <c r="L5" s="227">
        <f>[2]Medications_doses!K11*[2]COPD!J5</f>
        <v>34873.56</v>
      </c>
      <c r="M5" s="228" t="s">
        <v>135</v>
      </c>
    </row>
    <row r="6" spans="2:13" ht="49.5" customHeight="1" x14ac:dyDescent="0.25">
      <c r="B6" s="218"/>
      <c r="C6" s="144" t="s">
        <v>160</v>
      </c>
      <c r="D6" s="196"/>
      <c r="E6" s="219"/>
      <c r="F6" s="221"/>
      <c r="G6" s="221"/>
      <c r="H6" s="223"/>
      <c r="I6" s="222"/>
      <c r="J6" s="225"/>
      <c r="K6" s="226"/>
      <c r="L6" s="227"/>
      <c r="M6" s="228"/>
    </row>
    <row r="7" spans="2:13" ht="15" customHeight="1" x14ac:dyDescent="0.25">
      <c r="B7" s="217" t="s">
        <v>137</v>
      </c>
      <c r="C7" s="143">
        <f>[2]Medications_doses!D13</f>
        <v>200</v>
      </c>
      <c r="D7" s="203" t="s">
        <v>184</v>
      </c>
      <c r="E7" s="219">
        <f>[2]Medications_doses!H13</f>
        <v>730</v>
      </c>
      <c r="F7" s="151">
        <v>0.95</v>
      </c>
      <c r="G7" s="220">
        <v>0.6</v>
      </c>
      <c r="H7" s="222">
        <f>[2]Medications_doses!I13</f>
        <v>4.5199999999999997E-2</v>
      </c>
      <c r="I7" s="222">
        <f t="shared" ref="I7" si="0">E7*H7*F7*G7</f>
        <v>18.807719999999996</v>
      </c>
      <c r="J7" s="224">
        <f>J5</f>
        <v>2866.32</v>
      </c>
      <c r="K7" s="226">
        <f t="shared" ref="K7" si="1">I7*J7</f>
        <v>53908.943990399996</v>
      </c>
      <c r="L7" s="227">
        <f>[2]Medications_doses!K13*[2]COPD!J7</f>
        <v>5231.0340000000006</v>
      </c>
      <c r="M7" s="228" t="s">
        <v>131</v>
      </c>
    </row>
    <row r="8" spans="2:13" ht="52.5" customHeight="1" x14ac:dyDescent="0.25">
      <c r="B8" s="218"/>
      <c r="C8" s="144" t="s">
        <v>160</v>
      </c>
      <c r="D8" s="203"/>
      <c r="E8" s="219"/>
      <c r="F8" s="152"/>
      <c r="G8" s="221"/>
      <c r="H8" s="222"/>
      <c r="I8" s="222"/>
      <c r="J8" s="225"/>
      <c r="K8" s="226"/>
      <c r="L8" s="227"/>
      <c r="M8" s="228"/>
    </row>
    <row r="9" spans="2:13" ht="15" customHeight="1" x14ac:dyDescent="0.25">
      <c r="B9" s="217" t="s">
        <v>185</v>
      </c>
      <c r="C9" s="144">
        <f>[2]Medications_doses!D15</f>
        <v>18</v>
      </c>
      <c r="D9" s="210" t="s">
        <v>186</v>
      </c>
      <c r="E9" s="229">
        <f>[2]Medications_doses!H15</f>
        <v>12.166666666666666</v>
      </c>
      <c r="F9" s="220">
        <v>0.6</v>
      </c>
      <c r="G9" s="220">
        <v>0.6</v>
      </c>
      <c r="H9" s="231">
        <f>[2]Medications_doses!I15</f>
        <v>137.30000000000001</v>
      </c>
      <c r="I9" s="222">
        <f t="shared" ref="I9" si="2">E9*H9*F9*G9</f>
        <v>601.37399999999991</v>
      </c>
      <c r="J9" s="224">
        <f>J5</f>
        <v>2866.32</v>
      </c>
      <c r="K9" s="226">
        <f t="shared" ref="K9" si="3">I9*J9</f>
        <v>1723730.3236799999</v>
      </c>
      <c r="L9" s="227">
        <f>[2]Medications_doses!K15*[2]COPD!J9</f>
        <v>34873.56</v>
      </c>
      <c r="M9" s="228" t="s">
        <v>141</v>
      </c>
    </row>
    <row r="10" spans="2:13" ht="57.75" customHeight="1" x14ac:dyDescent="0.25">
      <c r="B10" s="218"/>
      <c r="C10" s="144" t="s">
        <v>160</v>
      </c>
      <c r="D10" s="195"/>
      <c r="E10" s="230"/>
      <c r="F10" s="221"/>
      <c r="G10" s="221"/>
      <c r="H10" s="232"/>
      <c r="I10" s="222"/>
      <c r="J10" s="225"/>
      <c r="K10" s="226"/>
      <c r="L10" s="227"/>
      <c r="M10" s="228"/>
    </row>
    <row r="11" spans="2:13" x14ac:dyDescent="0.25">
      <c r="B11" s="236" t="s">
        <v>187</v>
      </c>
      <c r="C11" s="144">
        <f>[2]Medications_doses!D17</f>
        <v>16</v>
      </c>
      <c r="D11" s="210" t="s">
        <v>143</v>
      </c>
      <c r="E11" s="229">
        <f>[2]Medications_doses!H17</f>
        <v>2</v>
      </c>
      <c r="F11" s="220">
        <v>0.6</v>
      </c>
      <c r="G11" s="220">
        <v>0.6</v>
      </c>
      <c r="H11" s="231">
        <f>[2]Medications_doses!I17</f>
        <v>5.26</v>
      </c>
      <c r="I11" s="222">
        <f t="shared" ref="I11" si="4">E11*H11*F11*G11</f>
        <v>3.7871999999999995</v>
      </c>
      <c r="J11" s="224">
        <f>J5</f>
        <v>2866.32</v>
      </c>
      <c r="K11" s="226">
        <f t="shared" ref="K11" si="5">I11*J11</f>
        <v>10855.327104</v>
      </c>
      <c r="L11" s="227">
        <f>[2]Medications_doses!K17*[2]COPD!J11</f>
        <v>5732.64</v>
      </c>
      <c r="M11" s="233" t="s">
        <v>145</v>
      </c>
    </row>
    <row r="12" spans="2:13" ht="42.75" customHeight="1" x14ac:dyDescent="0.25">
      <c r="B12" s="237"/>
      <c r="C12" s="144" t="s">
        <v>160</v>
      </c>
      <c r="D12" s="195"/>
      <c r="E12" s="230"/>
      <c r="F12" s="221"/>
      <c r="G12" s="221"/>
      <c r="H12" s="232"/>
      <c r="I12" s="222"/>
      <c r="J12" s="225"/>
      <c r="K12" s="226"/>
      <c r="L12" s="227"/>
      <c r="M12" s="233"/>
    </row>
    <row r="13" spans="2:13" x14ac:dyDescent="0.25">
      <c r="B13" s="153"/>
      <c r="C13" s="144"/>
      <c r="D13" s="154"/>
      <c r="E13" s="155"/>
      <c r="F13" s="152"/>
      <c r="G13" s="152"/>
      <c r="H13" s="155"/>
      <c r="I13" s="156"/>
      <c r="J13" s="157"/>
      <c r="K13" s="158"/>
      <c r="L13" s="159"/>
      <c r="M13" s="159"/>
    </row>
    <row r="14" spans="2:13" x14ac:dyDescent="0.25">
      <c r="B14" s="234" t="s">
        <v>170</v>
      </c>
      <c r="C14" s="234"/>
      <c r="D14" s="234"/>
      <c r="E14" s="234"/>
      <c r="F14" s="234"/>
      <c r="G14" s="234"/>
      <c r="H14" s="234"/>
      <c r="I14" s="234"/>
      <c r="J14" s="234"/>
      <c r="K14" s="145">
        <f>SUM(K5:K12)</f>
        <v>2475350.2831103997</v>
      </c>
      <c r="L14" s="146"/>
      <c r="M14" s="146"/>
    </row>
    <row r="17" spans="1:9" x14ac:dyDescent="0.25">
      <c r="A17" s="147"/>
      <c r="B17" t="s">
        <v>106</v>
      </c>
    </row>
    <row r="20" spans="1:9" x14ac:dyDescent="0.25">
      <c r="A20" s="148" t="s">
        <v>171</v>
      </c>
    </row>
    <row r="22" spans="1:9" ht="84" customHeight="1" x14ac:dyDescent="0.25">
      <c r="A22" s="235" t="s">
        <v>188</v>
      </c>
      <c r="B22" s="235"/>
      <c r="C22" s="235"/>
      <c r="D22" s="235"/>
      <c r="E22" s="235"/>
      <c r="F22" s="235"/>
      <c r="G22" s="235"/>
      <c r="H22" s="235"/>
      <c r="I22" s="235"/>
    </row>
    <row r="23" spans="1:9" ht="63" customHeight="1" x14ac:dyDescent="0.25">
      <c r="A23" s="238" t="s">
        <v>189</v>
      </c>
      <c r="B23" s="238"/>
      <c r="C23" s="238"/>
      <c r="D23" s="238"/>
      <c r="E23" s="238"/>
      <c r="F23" s="238"/>
      <c r="G23" s="238"/>
      <c r="H23" s="238"/>
      <c r="I23" s="238"/>
    </row>
    <row r="24" spans="1:9" ht="42" customHeight="1" x14ac:dyDescent="0.25">
      <c r="A24" s="238" t="s">
        <v>190</v>
      </c>
      <c r="B24" s="238"/>
      <c r="C24" s="238"/>
      <c r="D24" s="238"/>
      <c r="E24" s="238"/>
      <c r="F24" s="238"/>
      <c r="G24" s="238"/>
      <c r="H24" s="238"/>
      <c r="I24" s="238"/>
    </row>
  </sheetData>
  <mergeCells count="48">
    <mergeCell ref="B4:M4"/>
    <mergeCell ref="B5:B6"/>
    <mergeCell ref="D5:D6"/>
    <mergeCell ref="E5:E6"/>
    <mergeCell ref="F5:F6"/>
    <mergeCell ref="G5:G6"/>
    <mergeCell ref="H5:H6"/>
    <mergeCell ref="I5:I6"/>
    <mergeCell ref="J5:J6"/>
    <mergeCell ref="K5:K6"/>
    <mergeCell ref="L5:L6"/>
    <mergeCell ref="M5:M6"/>
    <mergeCell ref="B7:B8"/>
    <mergeCell ref="D7:D8"/>
    <mergeCell ref="E7:E8"/>
    <mergeCell ref="G7:G8"/>
    <mergeCell ref="H7:H8"/>
    <mergeCell ref="I7:I8"/>
    <mergeCell ref="J7:J8"/>
    <mergeCell ref="K7:K8"/>
    <mergeCell ref="L7:L8"/>
    <mergeCell ref="M7:M8"/>
    <mergeCell ref="B9:B10"/>
    <mergeCell ref="D9:D10"/>
    <mergeCell ref="E9:E10"/>
    <mergeCell ref="F9:F10"/>
    <mergeCell ref="G9:G10"/>
    <mergeCell ref="H9:H10"/>
    <mergeCell ref="I9:I10"/>
    <mergeCell ref="J9:J10"/>
    <mergeCell ref="M11:M12"/>
    <mergeCell ref="B14:J14"/>
    <mergeCell ref="A22:I22"/>
    <mergeCell ref="K9:K10"/>
    <mergeCell ref="L9:L10"/>
    <mergeCell ref="M9:M10"/>
    <mergeCell ref="B11:B12"/>
    <mergeCell ref="D11:D12"/>
    <mergeCell ref="E11:E12"/>
    <mergeCell ref="F11:F12"/>
    <mergeCell ref="G11:G12"/>
    <mergeCell ref="H11:H12"/>
    <mergeCell ref="I11:I12"/>
    <mergeCell ref="A23:I23"/>
    <mergeCell ref="A24:I24"/>
    <mergeCell ref="J11:J12"/>
    <mergeCell ref="K11:K12"/>
    <mergeCell ref="L11: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Normal="100" workbookViewId="0">
      <pane xSplit="2" ySplit="4" topLeftCell="N20" activePane="bottomRight" state="frozen"/>
      <selection pane="topRight" activeCell="C1" sqref="C1"/>
      <selection pane="bottomLeft" activeCell="A6" sqref="A6"/>
      <selection pane="bottomRight" sqref="A1:XFD1048576"/>
    </sheetView>
  </sheetViews>
  <sheetFormatPr defaultRowHeight="15.75" x14ac:dyDescent="0.25"/>
  <cols>
    <col min="1" max="1" width="4.42578125" style="21" customWidth="1"/>
    <col min="2" max="2" width="40.5703125" style="21" customWidth="1"/>
    <col min="3" max="3" width="48.85546875" style="21" customWidth="1"/>
    <col min="4" max="4" width="21.28515625" style="21" customWidth="1"/>
    <col min="5" max="5" width="20.7109375" style="21" customWidth="1"/>
    <col min="6" max="6" width="17.5703125" style="21" customWidth="1"/>
    <col min="7" max="7" width="20.42578125" style="21" customWidth="1"/>
    <col min="8" max="8" width="20.28515625" style="21" customWidth="1"/>
    <col min="9" max="9" width="19" style="21" customWidth="1"/>
    <col min="10" max="10" width="17" style="21" customWidth="1"/>
    <col min="11" max="11" width="36" style="21" customWidth="1"/>
    <col min="12" max="12" width="18.42578125" style="21" customWidth="1"/>
    <col min="13" max="13" width="21.85546875" style="21" customWidth="1"/>
    <col min="14" max="14" width="21.28515625" style="21" customWidth="1"/>
    <col min="15" max="15" width="21.7109375" style="60" customWidth="1"/>
    <col min="16" max="16" width="22.140625" style="21" customWidth="1"/>
    <col min="17" max="16384" width="9.140625" style="21"/>
  </cols>
  <sheetData>
    <row r="1" spans="1:16" ht="31.5" x14ac:dyDescent="0.25">
      <c r="C1" s="22"/>
      <c r="D1" s="23" t="s">
        <v>8</v>
      </c>
      <c r="E1" s="24" t="s">
        <v>0</v>
      </c>
      <c r="F1" s="25"/>
      <c r="G1" s="25"/>
      <c r="H1" s="26"/>
      <c r="I1" s="26"/>
    </row>
    <row r="2" spans="1:16" x14ac:dyDescent="0.25">
      <c r="C2" s="27" t="s">
        <v>50</v>
      </c>
      <c r="D2" s="28">
        <v>670000</v>
      </c>
      <c r="E2" s="16">
        <f>D2/100000</f>
        <v>6.7</v>
      </c>
      <c r="F2" s="10"/>
      <c r="G2" s="10"/>
      <c r="I2" s="26"/>
    </row>
    <row r="3" spans="1:16" x14ac:dyDescent="0.25">
      <c r="C3" s="29"/>
      <c r="D3" s="30"/>
      <c r="E3" s="18"/>
      <c r="F3" s="10"/>
      <c r="G3" s="10"/>
    </row>
    <row r="4" spans="1:16" s="31" customFormat="1" ht="122.25" customHeight="1" x14ac:dyDescent="0.25">
      <c r="A4" s="31" t="s">
        <v>10</v>
      </c>
      <c r="B4" s="32" t="s">
        <v>11</v>
      </c>
      <c r="C4" s="32" t="s">
        <v>26</v>
      </c>
      <c r="D4" s="33" t="s">
        <v>17</v>
      </c>
      <c r="E4" s="33" t="s">
        <v>56</v>
      </c>
      <c r="F4" s="33" t="s">
        <v>57</v>
      </c>
      <c r="G4" s="34" t="s">
        <v>5</v>
      </c>
      <c r="H4" s="34" t="s">
        <v>30</v>
      </c>
      <c r="I4" s="33" t="s">
        <v>18</v>
      </c>
      <c r="J4" s="34" t="s">
        <v>47</v>
      </c>
      <c r="K4" s="34" t="s">
        <v>19</v>
      </c>
      <c r="L4" s="34" t="s">
        <v>48</v>
      </c>
      <c r="M4" s="20" t="s">
        <v>49</v>
      </c>
      <c r="N4" s="20" t="s">
        <v>7</v>
      </c>
      <c r="O4" s="61" t="s">
        <v>45</v>
      </c>
      <c r="P4" s="35" t="s">
        <v>20</v>
      </c>
    </row>
    <row r="5" spans="1:16" ht="15" customHeight="1" x14ac:dyDescent="0.25">
      <c r="A5" s="36">
        <v>1</v>
      </c>
      <c r="B5" s="46" t="s">
        <v>2</v>
      </c>
      <c r="C5" s="37" t="s">
        <v>14</v>
      </c>
      <c r="D5" s="36">
        <v>7457.2</v>
      </c>
      <c r="E5" s="36"/>
      <c r="F5" s="38">
        <f>D5*E2</f>
        <v>49963.24</v>
      </c>
      <c r="G5" s="39">
        <v>0.6</v>
      </c>
      <c r="H5" s="39">
        <v>0.6</v>
      </c>
      <c r="I5" s="40">
        <v>22.5</v>
      </c>
      <c r="J5" s="40">
        <v>20</v>
      </c>
      <c r="K5" s="41">
        <f>I5/J5*365</f>
        <v>410.625</v>
      </c>
      <c r="L5" s="42">
        <v>0.23</v>
      </c>
      <c r="M5" s="43">
        <f t="shared" ref="M5:M20" si="0">G5*H5*K5*L5</f>
        <v>33.999749999999999</v>
      </c>
      <c r="N5" s="44">
        <f>F5*G5*H5</f>
        <v>17986.766399999997</v>
      </c>
      <c r="O5" s="62">
        <f>M5*N5</f>
        <v>611545.56090839987</v>
      </c>
      <c r="P5" s="45">
        <f t="shared" ref="P5:P20" si="1">N5*K5</f>
        <v>7385815.9529999988</v>
      </c>
    </row>
    <row r="6" spans="1:16" x14ac:dyDescent="0.25">
      <c r="A6" s="36"/>
      <c r="B6" s="46"/>
      <c r="C6" s="37" t="s">
        <v>13</v>
      </c>
      <c r="D6" s="36">
        <v>2007.8</v>
      </c>
      <c r="E6" s="36"/>
      <c r="F6" s="38">
        <f>D6*E2</f>
        <v>13452.26</v>
      </c>
      <c r="G6" s="39">
        <v>0.8</v>
      </c>
      <c r="H6" s="39">
        <v>0.6</v>
      </c>
      <c r="I6" s="40">
        <v>12.5</v>
      </c>
      <c r="J6" s="40">
        <v>10</v>
      </c>
      <c r="K6" s="41">
        <f>I6/J6*365</f>
        <v>456.25</v>
      </c>
      <c r="L6" s="40">
        <v>0.16</v>
      </c>
      <c r="M6" s="43">
        <f t="shared" si="0"/>
        <v>35.04</v>
      </c>
      <c r="N6" s="44">
        <f>F6*G6*H6</f>
        <v>6457.0848000000005</v>
      </c>
      <c r="O6" s="62">
        <f t="shared" ref="O6:O20" si="2">M6*N6</f>
        <v>226256.25139200001</v>
      </c>
      <c r="P6" s="45">
        <f t="shared" si="1"/>
        <v>2946044.9400000004</v>
      </c>
    </row>
    <row r="7" spans="1:16" x14ac:dyDescent="0.25">
      <c r="A7" s="36">
        <v>2</v>
      </c>
      <c r="B7" s="46" t="s">
        <v>46</v>
      </c>
      <c r="C7" s="37" t="s">
        <v>14</v>
      </c>
      <c r="D7" s="36">
        <v>7457.2</v>
      </c>
      <c r="E7" s="36"/>
      <c r="F7" s="38">
        <f>D7*E2</f>
        <v>49963.24</v>
      </c>
      <c r="G7" s="39">
        <v>0.2</v>
      </c>
      <c r="H7" s="39">
        <v>0.6</v>
      </c>
      <c r="I7" s="40">
        <v>100</v>
      </c>
      <c r="J7" s="40">
        <v>100</v>
      </c>
      <c r="K7" s="41">
        <f>I7/J7*365</f>
        <v>365</v>
      </c>
      <c r="L7" s="42">
        <v>0.69</v>
      </c>
      <c r="M7" s="43">
        <f t="shared" si="0"/>
        <v>30.221999999999994</v>
      </c>
      <c r="N7" s="44">
        <f>F7*G7*H7</f>
        <v>5995.5888000000004</v>
      </c>
      <c r="O7" s="62">
        <f t="shared" si="2"/>
        <v>181198.68471359997</v>
      </c>
      <c r="P7" s="45">
        <f t="shared" si="1"/>
        <v>2188389.912</v>
      </c>
    </row>
    <row r="8" spans="1:16" x14ac:dyDescent="0.25">
      <c r="A8" s="36">
        <v>3</v>
      </c>
      <c r="B8" s="46" t="s">
        <v>3</v>
      </c>
      <c r="C8" s="46" t="s">
        <v>14</v>
      </c>
      <c r="D8" s="36">
        <v>7457.2</v>
      </c>
      <c r="E8" s="36"/>
      <c r="F8" s="38">
        <f>D8*E2</f>
        <v>49963.24</v>
      </c>
      <c r="G8" s="39">
        <v>0.6</v>
      </c>
      <c r="H8" s="39">
        <v>0.6</v>
      </c>
      <c r="I8" s="40">
        <v>7.5</v>
      </c>
      <c r="J8" s="40">
        <v>5</v>
      </c>
      <c r="K8" s="41">
        <f>I8/J8*365</f>
        <v>547.5</v>
      </c>
      <c r="L8" s="40">
        <v>0.18</v>
      </c>
      <c r="M8" s="43">
        <f t="shared" si="0"/>
        <v>35.477999999999994</v>
      </c>
      <c r="N8" s="44">
        <f>F8*G8*H8</f>
        <v>17986.766399999997</v>
      </c>
      <c r="O8" s="62">
        <f t="shared" si="2"/>
        <v>638134.49833919981</v>
      </c>
      <c r="P8" s="45">
        <f t="shared" si="1"/>
        <v>9847754.6039999984</v>
      </c>
    </row>
    <row r="9" spans="1:16" x14ac:dyDescent="0.25">
      <c r="A9" s="36">
        <v>4</v>
      </c>
      <c r="B9" s="46" t="s">
        <v>4</v>
      </c>
      <c r="C9" s="46" t="s">
        <v>13</v>
      </c>
      <c r="D9" s="36">
        <v>2007.8</v>
      </c>
      <c r="E9" s="36"/>
      <c r="F9" s="38">
        <f>D9*E2</f>
        <v>13452.26</v>
      </c>
      <c r="G9" s="39">
        <v>0.8</v>
      </c>
      <c r="H9" s="39">
        <v>0.6</v>
      </c>
      <c r="I9" s="40">
        <v>75</v>
      </c>
      <c r="J9" s="40">
        <v>100</v>
      </c>
      <c r="K9" s="41">
        <f t="shared" ref="K9:K19" si="3">I9/J9*365</f>
        <v>273.75</v>
      </c>
      <c r="L9" s="40">
        <v>0.17</v>
      </c>
      <c r="M9" s="43">
        <f t="shared" si="0"/>
        <v>22.338000000000001</v>
      </c>
      <c r="N9" s="44">
        <f>F9*G9*H9</f>
        <v>6457.0848000000005</v>
      </c>
      <c r="O9" s="62">
        <f t="shared" si="2"/>
        <v>144238.36026240001</v>
      </c>
      <c r="P9" s="45">
        <f t="shared" si="1"/>
        <v>1767626.9640000002</v>
      </c>
    </row>
    <row r="10" spans="1:16" x14ac:dyDescent="0.25">
      <c r="A10" s="36">
        <v>5</v>
      </c>
      <c r="B10" s="46" t="s">
        <v>41</v>
      </c>
      <c r="C10" s="46" t="s">
        <v>51</v>
      </c>
      <c r="D10" s="36"/>
      <c r="E10" s="36"/>
      <c r="F10" s="38">
        <v>4206</v>
      </c>
      <c r="G10" s="39">
        <v>0.9</v>
      </c>
      <c r="H10" s="39">
        <v>0.6</v>
      </c>
      <c r="I10" s="40">
        <v>300</v>
      </c>
      <c r="J10" s="40">
        <v>200</v>
      </c>
      <c r="K10" s="41">
        <f>I10/J10*(365-105)</f>
        <v>390</v>
      </c>
      <c r="L10" s="42">
        <f>11.36/30</f>
        <v>0.37866666666666665</v>
      </c>
      <c r="M10" s="43">
        <f t="shared" si="0"/>
        <v>79.747200000000007</v>
      </c>
      <c r="N10" s="44">
        <f t="shared" ref="N10:N16" si="4">F10*G10*H10</f>
        <v>2271.2399999999998</v>
      </c>
      <c r="O10" s="62">
        <f t="shared" si="2"/>
        <v>181125.030528</v>
      </c>
      <c r="P10" s="45">
        <f t="shared" si="1"/>
        <v>885783.59999999986</v>
      </c>
    </row>
    <row r="11" spans="1:16" x14ac:dyDescent="0.25">
      <c r="A11" s="36"/>
      <c r="B11" s="46"/>
      <c r="C11" s="46" t="s">
        <v>52</v>
      </c>
      <c r="D11" s="36"/>
      <c r="E11" s="36">
        <v>2300</v>
      </c>
      <c r="F11" s="38">
        <f>E11*E2</f>
        <v>15410</v>
      </c>
      <c r="G11" s="39">
        <v>0.4</v>
      </c>
      <c r="H11" s="39">
        <v>0.6</v>
      </c>
      <c r="I11" s="40">
        <v>300</v>
      </c>
      <c r="J11" s="40">
        <v>200</v>
      </c>
      <c r="K11" s="41">
        <f>I11/J11*(365-105)</f>
        <v>390</v>
      </c>
      <c r="L11" s="42">
        <f>11.36/30</f>
        <v>0.37866666666666665</v>
      </c>
      <c r="M11" s="43">
        <f t="shared" si="0"/>
        <v>35.443199999999997</v>
      </c>
      <c r="N11" s="44">
        <f t="shared" si="4"/>
        <v>3698.3999999999996</v>
      </c>
      <c r="O11" s="62">
        <f t="shared" si="2"/>
        <v>131083.13087999998</v>
      </c>
      <c r="P11" s="45">
        <f t="shared" si="1"/>
        <v>1442375.9999999998</v>
      </c>
    </row>
    <row r="12" spans="1:16" x14ac:dyDescent="0.25">
      <c r="A12" s="36">
        <v>6</v>
      </c>
      <c r="B12" s="46" t="s">
        <v>38</v>
      </c>
      <c r="C12" s="46" t="s">
        <v>53</v>
      </c>
      <c r="D12" s="36"/>
      <c r="E12" s="36"/>
      <c r="F12" s="38">
        <v>4580</v>
      </c>
      <c r="G12" s="39">
        <v>0.4</v>
      </c>
      <c r="H12" s="39">
        <v>0.6</v>
      </c>
      <c r="I12" s="40">
        <v>40</v>
      </c>
      <c r="J12" s="40">
        <v>10</v>
      </c>
      <c r="K12" s="41">
        <f>I12/J12*120</f>
        <v>480</v>
      </c>
      <c r="L12" s="42">
        <f>0.81/25</f>
        <v>3.2400000000000005E-2</v>
      </c>
      <c r="M12" s="43">
        <f t="shared" si="0"/>
        <v>3.7324800000000002</v>
      </c>
      <c r="N12" s="44">
        <f t="shared" si="4"/>
        <v>1099.2</v>
      </c>
      <c r="O12" s="62">
        <f t="shared" si="2"/>
        <v>4102.7420160000001</v>
      </c>
      <c r="P12" s="45">
        <f t="shared" si="1"/>
        <v>527616</v>
      </c>
    </row>
    <row r="13" spans="1:16" x14ac:dyDescent="0.25">
      <c r="A13" s="36"/>
      <c r="B13" s="46"/>
      <c r="C13" s="37" t="s">
        <v>54</v>
      </c>
      <c r="D13" s="36"/>
      <c r="E13" s="36">
        <v>2450</v>
      </c>
      <c r="F13" s="38">
        <f>E13*E2</f>
        <v>16415</v>
      </c>
      <c r="G13" s="39">
        <v>0.1</v>
      </c>
      <c r="H13" s="39">
        <v>0.6</v>
      </c>
      <c r="I13" s="40">
        <v>20</v>
      </c>
      <c r="J13" s="40">
        <v>10</v>
      </c>
      <c r="K13" s="41">
        <f>I13/J13*365</f>
        <v>730</v>
      </c>
      <c r="L13" s="42">
        <f>0.81/25</f>
        <v>3.2400000000000005E-2</v>
      </c>
      <c r="M13" s="43">
        <f t="shared" si="0"/>
        <v>1.4191200000000002</v>
      </c>
      <c r="N13" s="44">
        <f t="shared" si="4"/>
        <v>984.9</v>
      </c>
      <c r="O13" s="62">
        <f t="shared" si="2"/>
        <v>1397.6912880000002</v>
      </c>
      <c r="P13" s="45">
        <f t="shared" si="1"/>
        <v>718977</v>
      </c>
    </row>
    <row r="14" spans="1:16" x14ac:dyDescent="0.25">
      <c r="A14" s="36">
        <v>7</v>
      </c>
      <c r="B14" s="46" t="s">
        <v>36</v>
      </c>
      <c r="C14" s="37" t="s">
        <v>54</v>
      </c>
      <c r="D14" s="36"/>
      <c r="E14" s="36">
        <v>2450</v>
      </c>
      <c r="F14" s="38">
        <f>E14*E2</f>
        <v>16415</v>
      </c>
      <c r="G14" s="39">
        <v>0.8</v>
      </c>
      <c r="H14" s="39">
        <v>0.6</v>
      </c>
      <c r="I14" s="40">
        <v>50</v>
      </c>
      <c r="J14" s="40">
        <v>25</v>
      </c>
      <c r="K14" s="41">
        <f>I14/J14*365</f>
        <v>730</v>
      </c>
      <c r="L14" s="42">
        <f>5.5/20</f>
        <v>0.27500000000000002</v>
      </c>
      <c r="M14" s="43">
        <f t="shared" si="0"/>
        <v>96.36</v>
      </c>
      <c r="N14" s="44">
        <f t="shared" si="4"/>
        <v>7879.2</v>
      </c>
      <c r="O14" s="62">
        <f t="shared" si="2"/>
        <v>759239.71199999994</v>
      </c>
      <c r="P14" s="45">
        <f t="shared" si="1"/>
        <v>5751816</v>
      </c>
    </row>
    <row r="15" spans="1:16" x14ac:dyDescent="0.25">
      <c r="A15" s="36">
        <v>8</v>
      </c>
      <c r="B15" s="46" t="s">
        <v>37</v>
      </c>
      <c r="C15" s="37" t="s">
        <v>54</v>
      </c>
      <c r="D15" s="36"/>
      <c r="E15" s="36">
        <v>2450</v>
      </c>
      <c r="F15" s="38">
        <f>E15*E2</f>
        <v>16415</v>
      </c>
      <c r="G15" s="39">
        <v>0.9</v>
      </c>
      <c r="H15" s="39">
        <v>0.6</v>
      </c>
      <c r="I15" s="40">
        <v>80</v>
      </c>
      <c r="J15" s="40">
        <v>40</v>
      </c>
      <c r="K15" s="41">
        <f>I15/J15*156</f>
        <v>312</v>
      </c>
      <c r="L15" s="42">
        <v>0.04</v>
      </c>
      <c r="M15" s="43">
        <f t="shared" si="0"/>
        <v>6.7392000000000012</v>
      </c>
      <c r="N15" s="44">
        <f t="shared" si="4"/>
        <v>8864.1</v>
      </c>
      <c r="O15" s="62">
        <f t="shared" si="2"/>
        <v>59736.942720000014</v>
      </c>
      <c r="P15" s="45">
        <f t="shared" si="1"/>
        <v>2765599.2</v>
      </c>
    </row>
    <row r="16" spans="1:16" x14ac:dyDescent="0.25">
      <c r="A16" s="36">
        <v>9</v>
      </c>
      <c r="B16" s="46" t="s">
        <v>42</v>
      </c>
      <c r="C16" s="37" t="s">
        <v>54</v>
      </c>
      <c r="D16" s="36"/>
      <c r="E16" s="36">
        <v>2450</v>
      </c>
      <c r="F16" s="38">
        <f>E16*E2</f>
        <v>16415</v>
      </c>
      <c r="G16" s="39">
        <v>0.4</v>
      </c>
      <c r="H16" s="39">
        <v>0.6</v>
      </c>
      <c r="I16" s="40">
        <v>0.375</v>
      </c>
      <c r="J16" s="40">
        <v>0.25</v>
      </c>
      <c r="K16" s="41">
        <f>I16/J16*365/3</f>
        <v>182.5</v>
      </c>
      <c r="L16" s="42">
        <f>2.55/50</f>
        <v>5.0999999999999997E-2</v>
      </c>
      <c r="M16" s="43">
        <f t="shared" si="0"/>
        <v>2.2337999999999996</v>
      </c>
      <c r="N16" s="44">
        <f t="shared" si="4"/>
        <v>3939.6</v>
      </c>
      <c r="O16" s="62">
        <f t="shared" si="2"/>
        <v>8800.2784799999972</v>
      </c>
      <c r="P16" s="45">
        <f t="shared" si="1"/>
        <v>718977</v>
      </c>
    </row>
    <row r="17" spans="1:16" x14ac:dyDescent="0.25">
      <c r="A17" s="36">
        <v>10</v>
      </c>
      <c r="B17" s="46" t="s">
        <v>39</v>
      </c>
      <c r="C17" s="46" t="s">
        <v>43</v>
      </c>
      <c r="D17" s="48"/>
      <c r="E17" s="48"/>
      <c r="F17" s="38">
        <v>2460</v>
      </c>
      <c r="G17" s="39">
        <v>0.9</v>
      </c>
      <c r="H17" s="39">
        <v>0.6</v>
      </c>
      <c r="I17" s="40">
        <v>75</v>
      </c>
      <c r="J17" s="40">
        <v>75</v>
      </c>
      <c r="K17" s="41">
        <f>I17/J17*365</f>
        <v>365</v>
      </c>
      <c r="L17" s="42">
        <f>21.95/28</f>
        <v>0.78392857142857142</v>
      </c>
      <c r="M17" s="43">
        <f t="shared" si="0"/>
        <v>154.51232142857145</v>
      </c>
      <c r="N17" s="44">
        <f t="shared" ref="N17:N20" si="5">F17*G17*H17</f>
        <v>1328.3999999999999</v>
      </c>
      <c r="O17" s="62">
        <f t="shared" si="2"/>
        <v>205254.16778571429</v>
      </c>
      <c r="P17" s="45">
        <f t="shared" si="1"/>
        <v>484865.99999999994</v>
      </c>
    </row>
    <row r="18" spans="1:16" ht="18" x14ac:dyDescent="0.25">
      <c r="A18" s="36">
        <v>11</v>
      </c>
      <c r="B18" s="46" t="s">
        <v>40</v>
      </c>
      <c r="C18" s="46" t="s">
        <v>55</v>
      </c>
      <c r="D18" s="48"/>
      <c r="E18" s="38">
        <v>2300</v>
      </c>
      <c r="F18" s="38">
        <f>E18*E2</f>
        <v>15410</v>
      </c>
      <c r="G18" s="39">
        <v>0.9</v>
      </c>
      <c r="H18" s="39">
        <v>0.6</v>
      </c>
      <c r="I18" s="40">
        <v>5</v>
      </c>
      <c r="J18" s="40">
        <v>2.5</v>
      </c>
      <c r="K18" s="41">
        <f>I18/J18*365</f>
        <v>730</v>
      </c>
      <c r="L18" s="42">
        <f>5.1/50</f>
        <v>0.10199999999999999</v>
      </c>
      <c r="M18" s="43">
        <f t="shared" si="0"/>
        <v>40.208400000000005</v>
      </c>
      <c r="N18" s="44">
        <f t="shared" si="5"/>
        <v>8321.4</v>
      </c>
      <c r="O18" s="62">
        <f t="shared" si="2"/>
        <v>334590.17976000003</v>
      </c>
      <c r="P18" s="45">
        <f t="shared" si="1"/>
        <v>6074622</v>
      </c>
    </row>
    <row r="19" spans="1:16" x14ac:dyDescent="0.25">
      <c r="A19" s="36">
        <v>12</v>
      </c>
      <c r="B19" s="46" t="s">
        <v>9</v>
      </c>
      <c r="C19" s="46" t="s">
        <v>15</v>
      </c>
      <c r="D19" s="36">
        <v>2007.8</v>
      </c>
      <c r="E19" s="36"/>
      <c r="F19" s="38">
        <f>D19*E2</f>
        <v>13452.26</v>
      </c>
      <c r="G19" s="39">
        <v>0.8</v>
      </c>
      <c r="H19" s="39">
        <v>0.6</v>
      </c>
      <c r="I19" s="49">
        <v>20</v>
      </c>
      <c r="J19" s="49">
        <v>20</v>
      </c>
      <c r="K19" s="50">
        <f t="shared" si="3"/>
        <v>365</v>
      </c>
      <c r="L19" s="47">
        <v>0.48</v>
      </c>
      <c r="M19" s="43">
        <f t="shared" si="0"/>
        <v>84.095999999999989</v>
      </c>
      <c r="N19" s="44">
        <f t="shared" si="5"/>
        <v>6457.0848000000005</v>
      </c>
      <c r="O19" s="62">
        <f t="shared" si="2"/>
        <v>543015.00334079994</v>
      </c>
      <c r="P19" s="45">
        <f t="shared" si="1"/>
        <v>2356835.952</v>
      </c>
    </row>
    <row r="20" spans="1:16" x14ac:dyDescent="0.25">
      <c r="A20" s="36"/>
      <c r="B20" s="37"/>
      <c r="C20" s="46" t="s">
        <v>16</v>
      </c>
      <c r="D20" s="48">
        <v>385</v>
      </c>
      <c r="E20" s="48"/>
      <c r="F20" s="38">
        <f>D20*E2</f>
        <v>2579.5</v>
      </c>
      <c r="G20" s="39">
        <v>0.8</v>
      </c>
      <c r="H20" s="39">
        <v>0.6</v>
      </c>
      <c r="I20" s="49">
        <v>20</v>
      </c>
      <c r="J20" s="49">
        <v>20</v>
      </c>
      <c r="K20" s="50">
        <f t="shared" ref="K20" si="6">I20/J20*365</f>
        <v>365</v>
      </c>
      <c r="L20" s="40">
        <v>0.48</v>
      </c>
      <c r="M20" s="43">
        <f t="shared" si="0"/>
        <v>84.095999999999989</v>
      </c>
      <c r="N20" s="44">
        <f t="shared" si="5"/>
        <v>1238.1599999999999</v>
      </c>
      <c r="O20" s="62">
        <f t="shared" si="2"/>
        <v>104124.30335999998</v>
      </c>
      <c r="P20" s="45">
        <f t="shared" si="1"/>
        <v>451928.39999999997</v>
      </c>
    </row>
    <row r="21" spans="1:16" x14ac:dyDescent="0.25">
      <c r="A21" s="51"/>
      <c r="B21" s="21" t="s">
        <v>22</v>
      </c>
      <c r="N21" s="52"/>
      <c r="O21" s="63">
        <f>SUM(O5:O20)</f>
        <v>4133842.5377741139</v>
      </c>
    </row>
    <row r="22" spans="1:16" x14ac:dyDescent="0.25">
      <c r="C22" s="53"/>
    </row>
    <row r="24" spans="1:16" ht="30.75" customHeight="1" x14ac:dyDescent="0.25">
      <c r="C24" s="54" t="s">
        <v>21</v>
      </c>
      <c r="D24" s="166" t="s">
        <v>23</v>
      </c>
      <c r="E24" s="166"/>
      <c r="F24" s="166"/>
      <c r="G24" s="166"/>
      <c r="H24" s="166"/>
      <c r="I24" s="166"/>
      <c r="J24" s="166"/>
      <c r="K24" s="166"/>
      <c r="L24" s="166"/>
    </row>
    <row r="25" spans="1:16" ht="60.75" customHeight="1" x14ac:dyDescent="0.25">
      <c r="C25" s="55" t="s">
        <v>24</v>
      </c>
      <c r="D25" s="167" t="s">
        <v>58</v>
      </c>
      <c r="E25" s="167"/>
      <c r="F25" s="167"/>
      <c r="G25" s="167"/>
      <c r="H25" s="167"/>
      <c r="I25" s="167"/>
      <c r="J25" s="167"/>
      <c r="K25" s="167"/>
      <c r="L25" s="167"/>
    </row>
    <row r="26" spans="1:16" ht="30" customHeight="1" x14ac:dyDescent="0.25">
      <c r="C26" s="55" t="s">
        <v>25</v>
      </c>
      <c r="D26" s="168" t="s">
        <v>28</v>
      </c>
      <c r="E26" s="168"/>
      <c r="F26" s="168"/>
      <c r="G26" s="168"/>
      <c r="H26" s="168"/>
      <c r="I26" s="168"/>
      <c r="J26" s="168"/>
      <c r="K26" s="168"/>
      <c r="L26" s="168"/>
    </row>
    <row r="27" spans="1:16" ht="32.25" customHeight="1" x14ac:dyDescent="0.25">
      <c r="C27" s="54" t="s">
        <v>27</v>
      </c>
      <c r="D27" s="165" t="s">
        <v>59</v>
      </c>
      <c r="E27" s="165"/>
      <c r="F27" s="165"/>
      <c r="G27" s="165"/>
      <c r="H27" s="165"/>
      <c r="I27" s="165"/>
      <c r="J27" s="165"/>
      <c r="K27" s="165"/>
      <c r="L27" s="165"/>
    </row>
    <row r="28" spans="1:16" ht="84.75" customHeight="1" x14ac:dyDescent="0.25">
      <c r="C28" s="54" t="s">
        <v>6</v>
      </c>
      <c r="D28" s="165" t="s">
        <v>29</v>
      </c>
      <c r="E28" s="165"/>
      <c r="F28" s="165"/>
      <c r="G28" s="165"/>
      <c r="H28" s="165"/>
      <c r="I28" s="165"/>
      <c r="J28" s="165"/>
      <c r="K28" s="165"/>
      <c r="L28" s="165"/>
    </row>
    <row r="29" spans="1:16" ht="54" customHeight="1" x14ac:dyDescent="0.25">
      <c r="C29" s="54" t="s">
        <v>31</v>
      </c>
      <c r="D29" s="165" t="s">
        <v>32</v>
      </c>
      <c r="E29" s="165"/>
      <c r="F29" s="165"/>
      <c r="G29" s="165"/>
      <c r="H29" s="165"/>
      <c r="I29" s="165"/>
      <c r="J29" s="165"/>
      <c r="K29" s="165"/>
      <c r="L29" s="165"/>
    </row>
    <row r="30" spans="1:16" ht="30.75" customHeight="1" x14ac:dyDescent="0.25">
      <c r="C30" s="54" t="s">
        <v>1</v>
      </c>
      <c r="D30" s="165" t="s">
        <v>33</v>
      </c>
      <c r="E30" s="165"/>
      <c r="F30" s="165"/>
      <c r="G30" s="165"/>
      <c r="H30" s="165"/>
      <c r="I30" s="165"/>
      <c r="J30" s="165"/>
      <c r="K30" s="165"/>
      <c r="L30" s="165"/>
    </row>
    <row r="31" spans="1:16" ht="31.5" x14ac:dyDescent="0.25">
      <c r="C31" s="57" t="s">
        <v>34</v>
      </c>
      <c r="D31" s="165" t="s">
        <v>35</v>
      </c>
      <c r="E31" s="165"/>
      <c r="F31" s="165"/>
      <c r="G31" s="165"/>
      <c r="H31" s="165"/>
      <c r="I31" s="165"/>
      <c r="J31" s="165"/>
      <c r="K31" s="165"/>
      <c r="L31" s="165"/>
    </row>
  </sheetData>
  <mergeCells count="8">
    <mergeCell ref="D28:L28"/>
    <mergeCell ref="D29:L29"/>
    <mergeCell ref="D30:L30"/>
    <mergeCell ref="D31:L31"/>
    <mergeCell ref="D24:L24"/>
    <mergeCell ref="D25:L25"/>
    <mergeCell ref="D26:L26"/>
    <mergeCell ref="D27:L27"/>
  </mergeCells>
  <pageMargins left="0.7" right="0.7" top="0.75" bottom="0.75" header="0.3" footer="0.3"/>
  <pageSetup paperSize="9" orientation="portrait" r:id="rId1"/>
  <ignoredErrors>
    <ignoredError sqref="K12"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5"/>
  <sheetViews>
    <sheetView topLeftCell="I1" workbookViewId="0">
      <selection activeCell="I1" sqref="A1:XFD1048576"/>
    </sheetView>
  </sheetViews>
  <sheetFormatPr defaultRowHeight="15" x14ac:dyDescent="0.25"/>
  <cols>
    <col min="1" max="1" width="5.140625" customWidth="1"/>
    <col min="2" max="2" width="23.42578125" customWidth="1"/>
    <col min="3" max="3" width="40.42578125" customWidth="1"/>
    <col min="4" max="4" width="31.28515625" customWidth="1"/>
    <col min="5" max="5" width="16.85546875" customWidth="1"/>
    <col min="6" max="6" width="17.85546875" customWidth="1"/>
    <col min="7" max="7" width="19.85546875" customWidth="1"/>
    <col min="8" max="8" width="13.7109375" customWidth="1"/>
    <col min="9" max="9" width="19" customWidth="1"/>
    <col min="10" max="10" width="17" customWidth="1"/>
    <col min="11" max="11" width="12.85546875" customWidth="1"/>
    <col min="12" max="12" width="24.5703125" customWidth="1"/>
    <col min="13" max="13" width="21.85546875" customWidth="1"/>
    <col min="14" max="14" width="24.5703125" style="89" customWidth="1"/>
    <col min="15" max="15" width="21.7109375" customWidth="1"/>
  </cols>
  <sheetData>
    <row r="1" spans="1:15" ht="30" x14ac:dyDescent="0.25">
      <c r="C1" s="3"/>
      <c r="D1" s="14" t="s">
        <v>8</v>
      </c>
      <c r="E1" s="15" t="s">
        <v>0</v>
      </c>
      <c r="F1" s="64"/>
      <c r="G1" s="64"/>
    </row>
    <row r="2" spans="1:15" ht="15.75" x14ac:dyDescent="0.25">
      <c r="C2" s="56" t="s">
        <v>50</v>
      </c>
      <c r="D2" s="28">
        <v>670000</v>
      </c>
      <c r="E2" s="16">
        <f>D2/100000</f>
        <v>6.7</v>
      </c>
      <c r="F2" s="10"/>
      <c r="G2" s="10"/>
    </row>
    <row r="3" spans="1:15" ht="15.75" x14ac:dyDescent="0.25">
      <c r="C3" s="65"/>
      <c r="D3" s="66"/>
      <c r="E3" s="18"/>
      <c r="F3" s="10"/>
      <c r="G3" s="10"/>
    </row>
    <row r="4" spans="1:15" s="4" customFormat="1" ht="105" x14ac:dyDescent="0.25">
      <c r="A4" s="4" t="s">
        <v>10</v>
      </c>
      <c r="B4" s="5" t="s">
        <v>11</v>
      </c>
      <c r="C4" s="5" t="s">
        <v>26</v>
      </c>
      <c r="D4" s="6" t="s">
        <v>17</v>
      </c>
      <c r="E4" s="6" t="s">
        <v>12</v>
      </c>
      <c r="F4" s="7" t="s">
        <v>5</v>
      </c>
      <c r="G4" s="7" t="s">
        <v>30</v>
      </c>
      <c r="H4" s="6" t="s">
        <v>18</v>
      </c>
      <c r="I4" s="7" t="s">
        <v>60</v>
      </c>
      <c r="J4" s="7" t="s">
        <v>19</v>
      </c>
      <c r="K4" s="7" t="s">
        <v>61</v>
      </c>
      <c r="L4" s="67" t="s">
        <v>62</v>
      </c>
      <c r="M4" s="67" t="s">
        <v>7</v>
      </c>
      <c r="N4" s="90" t="s">
        <v>63</v>
      </c>
      <c r="O4" s="68" t="s">
        <v>20</v>
      </c>
    </row>
    <row r="5" spans="1:15" ht="75" hidden="1" x14ac:dyDescent="0.25">
      <c r="A5" s="1"/>
      <c r="B5" s="69"/>
      <c r="C5" s="19" t="s">
        <v>64</v>
      </c>
      <c r="D5" s="70" t="s">
        <v>44</v>
      </c>
      <c r="E5" s="71"/>
      <c r="F5" s="71"/>
      <c r="G5" s="71"/>
    </row>
    <row r="6" spans="1:15" ht="15" customHeight="1" x14ac:dyDescent="0.25">
      <c r="A6" s="1">
        <v>1</v>
      </c>
      <c r="B6" s="72" t="s">
        <v>65</v>
      </c>
      <c r="C6" s="2" t="s">
        <v>66</v>
      </c>
      <c r="D6" s="1">
        <v>1861.9</v>
      </c>
      <c r="E6" s="12">
        <f>D6*E2</f>
        <v>12474.730000000001</v>
      </c>
      <c r="F6" s="11">
        <v>0.93</v>
      </c>
      <c r="G6" s="11">
        <v>0.8</v>
      </c>
      <c r="H6" s="8">
        <v>1000</v>
      </c>
      <c r="I6" s="8">
        <v>1000</v>
      </c>
      <c r="J6" s="9">
        <f>H6/I6*365</f>
        <v>365</v>
      </c>
      <c r="K6" s="13">
        <v>0.14000000000000001</v>
      </c>
      <c r="L6" s="73">
        <f>F6*G6*J6*K6</f>
        <v>38.018400000000014</v>
      </c>
      <c r="M6" s="74">
        <f>E6*F6*G6*70%</f>
        <v>6496.8393840000017</v>
      </c>
      <c r="N6" s="91">
        <f>L6*M6</f>
        <v>246999.43843666575</v>
      </c>
      <c r="O6" s="75">
        <f>M6*J6</f>
        <v>2371346.3751600008</v>
      </c>
    </row>
    <row r="7" spans="1:15" x14ac:dyDescent="0.25">
      <c r="A7" s="1">
        <v>2</v>
      </c>
      <c r="B7" s="72" t="s">
        <v>67</v>
      </c>
      <c r="C7" s="2" t="s">
        <v>66</v>
      </c>
      <c r="D7" s="1">
        <v>1861.9</v>
      </c>
      <c r="E7" s="12">
        <f>D7*E2</f>
        <v>12474.730000000001</v>
      </c>
      <c r="F7" s="11">
        <v>0.8</v>
      </c>
      <c r="G7" s="11">
        <v>0.5</v>
      </c>
      <c r="H7" s="8">
        <v>60</v>
      </c>
      <c r="I7" s="8">
        <v>60</v>
      </c>
      <c r="J7" s="9">
        <f>H7/I7*365</f>
        <v>365</v>
      </c>
      <c r="K7" s="13">
        <v>0.53300000000000003</v>
      </c>
      <c r="L7" s="73">
        <f>F7*G7*J7*K7</f>
        <v>77.817999999999998</v>
      </c>
      <c r="M7" s="74">
        <f>E7*F7*G7*30%*15%</f>
        <v>224.54514000000003</v>
      </c>
      <c r="N7" s="91">
        <f t="shared" ref="N7:N8" si="0">L7*M7</f>
        <v>17473.653704520002</v>
      </c>
      <c r="O7" s="75">
        <f>M7*J7</f>
        <v>81958.976100000014</v>
      </c>
    </row>
    <row r="8" spans="1:15" x14ac:dyDescent="0.25">
      <c r="A8" s="1">
        <v>3</v>
      </c>
      <c r="B8" s="72" t="s">
        <v>68</v>
      </c>
      <c r="C8" s="2" t="s">
        <v>66</v>
      </c>
      <c r="D8" s="1">
        <v>1861.9</v>
      </c>
      <c r="E8" s="12">
        <f>D8*E2</f>
        <v>12474.730000000001</v>
      </c>
      <c r="F8" s="11">
        <v>0.8</v>
      </c>
      <c r="G8" s="11">
        <v>0.5</v>
      </c>
      <c r="H8" s="8">
        <v>2</v>
      </c>
      <c r="I8" s="8">
        <v>2</v>
      </c>
      <c r="J8" s="9">
        <f>H8/I8*365</f>
        <v>365</v>
      </c>
      <c r="K8" s="8">
        <v>0.183</v>
      </c>
      <c r="L8" s="73">
        <f>F8*G8*J8*K8</f>
        <v>26.718</v>
      </c>
      <c r="M8" s="74">
        <f>E8*F8*G8*30%*15%</f>
        <v>224.54514000000003</v>
      </c>
      <c r="N8" s="91">
        <f t="shared" si="0"/>
        <v>5999.3970505200004</v>
      </c>
      <c r="O8" s="75">
        <f>M8*J8</f>
        <v>81958.976100000014</v>
      </c>
    </row>
    <row r="9" spans="1:15" ht="21" x14ac:dyDescent="0.35">
      <c r="A9" s="76"/>
      <c r="B9" t="s">
        <v>22</v>
      </c>
      <c r="N9" s="92">
        <f>SUM(N6:N8)</f>
        <v>270472.48919170577</v>
      </c>
    </row>
    <row r="10" spans="1:15" x14ac:dyDescent="0.25">
      <c r="M10" s="77"/>
    </row>
    <row r="13" spans="1:15" ht="41.25" customHeight="1" x14ac:dyDescent="0.25">
      <c r="C13" s="78" t="s">
        <v>21</v>
      </c>
      <c r="D13" s="170" t="s">
        <v>23</v>
      </c>
      <c r="E13" s="170"/>
      <c r="F13" s="170"/>
      <c r="G13" s="170"/>
      <c r="H13" s="170"/>
      <c r="I13" s="170"/>
      <c r="J13" s="170"/>
      <c r="K13" s="170"/>
      <c r="L13" s="170"/>
    </row>
    <row r="14" spans="1:15" ht="60.75" customHeight="1" x14ac:dyDescent="0.25">
      <c r="C14" s="79" t="s">
        <v>24</v>
      </c>
      <c r="D14" s="171" t="s">
        <v>69</v>
      </c>
      <c r="E14" s="171"/>
      <c r="F14" s="171"/>
      <c r="G14" s="171"/>
      <c r="H14" s="171"/>
      <c r="I14" s="171"/>
      <c r="J14" s="171"/>
      <c r="K14" s="171"/>
      <c r="L14" s="171"/>
    </row>
    <row r="15" spans="1:15" ht="30" customHeight="1" x14ac:dyDescent="0.25">
      <c r="C15" s="79" t="s">
        <v>25</v>
      </c>
      <c r="D15" s="172" t="s">
        <v>70</v>
      </c>
      <c r="E15" s="172"/>
      <c r="F15" s="172"/>
      <c r="G15" s="172"/>
      <c r="H15" s="172"/>
      <c r="I15" s="172"/>
      <c r="J15" s="172"/>
      <c r="K15" s="172"/>
      <c r="L15" s="172"/>
    </row>
    <row r="16" spans="1:15" ht="32.25" customHeight="1" x14ac:dyDescent="0.25">
      <c r="C16" s="78" t="s">
        <v>27</v>
      </c>
      <c r="D16" s="169" t="s">
        <v>71</v>
      </c>
      <c r="E16" s="169"/>
      <c r="F16" s="169"/>
      <c r="G16" s="169"/>
      <c r="H16" s="169"/>
      <c r="I16" s="169"/>
      <c r="J16" s="169"/>
      <c r="K16" s="169"/>
      <c r="L16" s="169"/>
    </row>
    <row r="17" spans="3:12" ht="33" customHeight="1" x14ac:dyDescent="0.25">
      <c r="C17" s="78" t="s">
        <v>6</v>
      </c>
      <c r="D17" s="169" t="s">
        <v>72</v>
      </c>
      <c r="E17" s="169"/>
      <c r="F17" s="169"/>
      <c r="G17" s="169"/>
      <c r="H17" s="169"/>
      <c r="I17" s="169"/>
      <c r="J17" s="169"/>
      <c r="K17" s="169"/>
      <c r="L17" s="169"/>
    </row>
    <row r="18" spans="3:12" ht="54" customHeight="1" x14ac:dyDescent="0.25">
      <c r="C18" s="78" t="s">
        <v>31</v>
      </c>
      <c r="D18" s="169" t="s">
        <v>73</v>
      </c>
      <c r="E18" s="169"/>
      <c r="F18" s="169"/>
      <c r="G18" s="169"/>
      <c r="H18" s="169"/>
      <c r="I18" s="169"/>
      <c r="J18" s="169"/>
      <c r="K18" s="169"/>
      <c r="L18" s="169"/>
    </row>
    <row r="19" spans="3:12" ht="30.75" customHeight="1" x14ac:dyDescent="0.25">
      <c r="C19" s="78" t="s">
        <v>1</v>
      </c>
      <c r="D19" s="169" t="s">
        <v>33</v>
      </c>
      <c r="E19" s="169"/>
      <c r="F19" s="169"/>
      <c r="G19" s="169"/>
      <c r="H19" s="169"/>
      <c r="I19" s="169"/>
      <c r="J19" s="169"/>
      <c r="K19" s="169"/>
      <c r="L19" s="169"/>
    </row>
    <row r="20" spans="3:12" ht="30" x14ac:dyDescent="0.25">
      <c r="C20" s="17" t="s">
        <v>34</v>
      </c>
      <c r="D20" s="169" t="s">
        <v>35</v>
      </c>
      <c r="E20" s="169"/>
      <c r="F20" s="169"/>
      <c r="G20" s="169"/>
      <c r="H20" s="169"/>
      <c r="I20" s="169"/>
      <c r="J20" s="169"/>
      <c r="K20" s="169"/>
      <c r="L20" s="169"/>
    </row>
    <row r="23" spans="3:12" ht="45" x14ac:dyDescent="0.25">
      <c r="C23" s="80" t="s">
        <v>74</v>
      </c>
      <c r="D23" s="81" t="s">
        <v>75</v>
      </c>
      <c r="E23" s="81" t="s">
        <v>76</v>
      </c>
      <c r="F23" s="82" t="s">
        <v>77</v>
      </c>
      <c r="G23" s="10"/>
    </row>
    <row r="24" spans="3:12" ht="18.75" x14ac:dyDescent="0.25">
      <c r="C24" s="83" t="s">
        <v>78</v>
      </c>
      <c r="D24" s="84">
        <f>N9</f>
        <v>270472.48919170577</v>
      </c>
      <c r="E24" s="84">
        <f>E6</f>
        <v>12474.730000000001</v>
      </c>
      <c r="F24" s="85">
        <f>D24/E24</f>
        <v>21.681630720000012</v>
      </c>
      <c r="G24" s="10"/>
    </row>
    <row r="25" spans="3:12" ht="18.75" x14ac:dyDescent="0.25">
      <c r="C25" s="86" t="s">
        <v>79</v>
      </c>
      <c r="D25" s="87">
        <f>SUM(D24:D24)</f>
        <v>270472.48919170577</v>
      </c>
      <c r="E25" s="87">
        <f>SUM(E24:E24)</f>
        <v>12474.730000000001</v>
      </c>
      <c r="F25" s="88">
        <f t="shared" ref="F25" si="1">D25/E25</f>
        <v>21.681630720000012</v>
      </c>
      <c r="G25" s="10"/>
    </row>
  </sheetData>
  <mergeCells count="8">
    <mergeCell ref="D19:L19"/>
    <mergeCell ref="D20:L20"/>
    <mergeCell ref="D13:L13"/>
    <mergeCell ref="D14:L14"/>
    <mergeCell ref="D15:L15"/>
    <mergeCell ref="D16:L16"/>
    <mergeCell ref="D17:L17"/>
    <mergeCell ref="D18:L1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J1" workbookViewId="0">
      <selection activeCell="J1" sqref="A1:XFD1048576"/>
    </sheetView>
  </sheetViews>
  <sheetFormatPr defaultRowHeight="15" x14ac:dyDescent="0.25"/>
  <cols>
    <col min="1" max="1" width="5.140625" customWidth="1"/>
    <col min="2" max="2" width="25.7109375" customWidth="1"/>
    <col min="3" max="3" width="40.42578125" customWidth="1"/>
    <col min="4" max="4" width="31.28515625" customWidth="1"/>
    <col min="5" max="5" width="16.85546875" customWidth="1"/>
    <col min="6" max="6" width="17.85546875" customWidth="1"/>
    <col min="7" max="7" width="19.85546875" customWidth="1"/>
    <col min="8" max="8" width="13.7109375" customWidth="1"/>
    <col min="9" max="9" width="19" customWidth="1"/>
    <col min="10" max="10" width="17" customWidth="1"/>
    <col min="11" max="11" width="12.85546875" customWidth="1"/>
    <col min="12" max="12" width="18.42578125" customWidth="1"/>
    <col min="13" max="13" width="21.85546875" customWidth="1"/>
    <col min="14" max="14" width="19.140625" style="89" customWidth="1"/>
    <col min="15" max="15" width="21.7109375" customWidth="1"/>
    <col min="16" max="16" width="32.42578125" customWidth="1"/>
  </cols>
  <sheetData>
    <row r="1" spans="1:16" ht="30" x14ac:dyDescent="0.25">
      <c r="C1" s="3"/>
      <c r="D1" s="14" t="s">
        <v>8</v>
      </c>
      <c r="E1" s="15" t="s">
        <v>0</v>
      </c>
      <c r="F1" s="64"/>
      <c r="G1" s="64"/>
    </row>
    <row r="2" spans="1:16" ht="15.75" x14ac:dyDescent="0.25">
      <c r="C2" s="58" t="s">
        <v>50</v>
      </c>
      <c r="D2" s="28">
        <v>670000</v>
      </c>
      <c r="E2" s="16">
        <f>D2/100000</f>
        <v>6.7</v>
      </c>
      <c r="F2" s="10"/>
      <c r="G2" s="10"/>
    </row>
    <row r="3" spans="1:16" ht="15.75" x14ac:dyDescent="0.25">
      <c r="C3" s="65"/>
      <c r="D3" s="66"/>
      <c r="E3" s="18"/>
      <c r="F3" s="10"/>
      <c r="G3" s="10"/>
    </row>
    <row r="4" spans="1:16" s="4" customFormat="1" ht="105" x14ac:dyDescent="0.25">
      <c r="A4" s="4" t="s">
        <v>10</v>
      </c>
      <c r="B4" s="5" t="s">
        <v>11</v>
      </c>
      <c r="C4" s="5" t="s">
        <v>26</v>
      </c>
      <c r="D4" s="6" t="s">
        <v>17</v>
      </c>
      <c r="E4" s="6" t="s">
        <v>12</v>
      </c>
      <c r="F4" s="7" t="s">
        <v>5</v>
      </c>
      <c r="G4" s="7" t="s">
        <v>30</v>
      </c>
      <c r="H4" s="6" t="s">
        <v>18</v>
      </c>
      <c r="I4" s="7" t="s">
        <v>80</v>
      </c>
      <c r="J4" s="7" t="s">
        <v>19</v>
      </c>
      <c r="K4" s="7" t="s">
        <v>61</v>
      </c>
      <c r="L4" s="67" t="s">
        <v>62</v>
      </c>
      <c r="M4" s="67" t="s">
        <v>7</v>
      </c>
      <c r="N4" s="90" t="s">
        <v>63</v>
      </c>
      <c r="O4" s="68" t="s">
        <v>20</v>
      </c>
    </row>
    <row r="5" spans="1:16" ht="75" hidden="1" x14ac:dyDescent="0.25">
      <c r="A5" s="1"/>
      <c r="B5" s="69"/>
      <c r="C5" s="59" t="s">
        <v>64</v>
      </c>
      <c r="D5" s="70" t="s">
        <v>44</v>
      </c>
      <c r="E5" s="71"/>
      <c r="F5" s="71"/>
      <c r="G5" s="71"/>
    </row>
    <row r="6" spans="1:16" ht="30" x14ac:dyDescent="0.25">
      <c r="A6" s="1">
        <v>1</v>
      </c>
      <c r="B6" s="95" t="s">
        <v>81</v>
      </c>
      <c r="C6" s="59" t="s">
        <v>82</v>
      </c>
      <c r="D6" s="1">
        <v>191.5</v>
      </c>
      <c r="E6" s="12">
        <f>D6*E2</f>
        <v>1283.05</v>
      </c>
      <c r="F6" s="11">
        <v>0.8</v>
      </c>
      <c r="G6" s="11">
        <v>0.6</v>
      </c>
      <c r="H6" s="1">
        <v>5</v>
      </c>
      <c r="I6" s="1">
        <v>5</v>
      </c>
      <c r="J6" s="96">
        <f>H6/I6*365</f>
        <v>365</v>
      </c>
      <c r="K6" s="97">
        <v>0.2</v>
      </c>
      <c r="L6" s="73">
        <f>F6*G6*J6*K6</f>
        <v>35.04</v>
      </c>
      <c r="M6" s="74">
        <f>E6*F6*G6</f>
        <v>615.86400000000003</v>
      </c>
      <c r="N6" s="108">
        <f>L6*M6</f>
        <v>21579.87456</v>
      </c>
      <c r="O6" s="98">
        <f>M6*J6</f>
        <v>224790.36000000002</v>
      </c>
      <c r="P6" t="s">
        <v>83</v>
      </c>
    </row>
    <row r="7" spans="1:16" ht="45" x14ac:dyDescent="0.25">
      <c r="A7" s="1"/>
      <c r="B7" s="95" t="s">
        <v>84</v>
      </c>
      <c r="C7" s="59" t="s">
        <v>85</v>
      </c>
      <c r="D7" s="1">
        <v>1053.7</v>
      </c>
      <c r="E7" s="12">
        <f>D7*E2</f>
        <v>7059.7900000000009</v>
      </c>
      <c r="F7" s="99">
        <v>0.8</v>
      </c>
      <c r="G7" s="99">
        <v>0.6</v>
      </c>
      <c r="H7" s="1">
        <v>50</v>
      </c>
      <c r="I7" s="1">
        <v>50</v>
      </c>
      <c r="J7" s="96">
        <f>H7/I7*365</f>
        <v>365</v>
      </c>
      <c r="K7" s="1">
        <v>7.4999999999999997E-2</v>
      </c>
      <c r="L7" s="73">
        <f>F7*G7*J7*K7</f>
        <v>13.139999999999999</v>
      </c>
      <c r="M7" s="74">
        <f>E7*F7*G7</f>
        <v>3388.6992000000005</v>
      </c>
      <c r="N7" s="108">
        <f t="shared" ref="N7" si="0">L7*M7</f>
        <v>44527.507488000003</v>
      </c>
      <c r="O7" s="98">
        <f>M7*J7</f>
        <v>1236875.2080000001</v>
      </c>
      <c r="P7" s="100" t="s">
        <v>86</v>
      </c>
    </row>
    <row r="8" spans="1:16" ht="21" x14ac:dyDescent="0.35">
      <c r="A8" s="76"/>
      <c r="B8" t="s">
        <v>22</v>
      </c>
      <c r="N8" s="92">
        <f>SUM(N6:N7)</f>
        <v>66107.382047999999</v>
      </c>
    </row>
    <row r="9" spans="1:16" x14ac:dyDescent="0.25">
      <c r="M9" s="77"/>
    </row>
    <row r="12" spans="1:16" ht="30.75" customHeight="1" x14ac:dyDescent="0.25">
      <c r="C12" s="78" t="s">
        <v>21</v>
      </c>
      <c r="D12" s="173" t="s">
        <v>87</v>
      </c>
      <c r="E12" s="173"/>
      <c r="F12" s="173"/>
      <c r="G12" s="173"/>
      <c r="H12" s="173"/>
      <c r="I12" s="173"/>
      <c r="J12" s="173"/>
      <c r="K12" s="173"/>
      <c r="L12" s="173"/>
    </row>
    <row r="13" spans="1:16" ht="60.75" customHeight="1" x14ac:dyDescent="0.25">
      <c r="C13" s="79" t="s">
        <v>24</v>
      </c>
      <c r="D13" s="171" t="s">
        <v>88</v>
      </c>
      <c r="E13" s="171"/>
      <c r="F13" s="171"/>
      <c r="G13" s="171"/>
      <c r="H13" s="171"/>
      <c r="I13" s="171"/>
      <c r="J13" s="171"/>
      <c r="K13" s="171"/>
      <c r="L13" s="171"/>
    </row>
    <row r="14" spans="1:16" ht="30" customHeight="1" x14ac:dyDescent="0.25">
      <c r="C14" s="79" t="s">
        <v>25</v>
      </c>
      <c r="D14" s="172" t="s">
        <v>89</v>
      </c>
      <c r="E14" s="172"/>
      <c r="F14" s="172"/>
      <c r="G14" s="172"/>
      <c r="H14" s="172"/>
      <c r="I14" s="172"/>
      <c r="J14" s="172"/>
      <c r="K14" s="172"/>
      <c r="L14" s="172"/>
    </row>
    <row r="15" spans="1:16" ht="32.25" customHeight="1" x14ac:dyDescent="0.25">
      <c r="C15" s="78" t="s">
        <v>27</v>
      </c>
      <c r="D15" s="169" t="s">
        <v>90</v>
      </c>
      <c r="E15" s="169"/>
      <c r="F15" s="169"/>
      <c r="G15" s="169"/>
      <c r="H15" s="169"/>
      <c r="I15" s="169"/>
      <c r="J15" s="169"/>
      <c r="K15" s="169"/>
      <c r="L15" s="169"/>
    </row>
    <row r="16" spans="1:16" ht="84.75" customHeight="1" x14ac:dyDescent="0.25">
      <c r="C16" s="78" t="s">
        <v>6</v>
      </c>
      <c r="D16" s="169" t="s">
        <v>91</v>
      </c>
      <c r="E16" s="169"/>
      <c r="F16" s="169"/>
      <c r="G16" s="169"/>
      <c r="H16" s="169"/>
      <c r="I16" s="169"/>
      <c r="J16" s="169"/>
      <c r="K16" s="169"/>
      <c r="L16" s="169"/>
    </row>
    <row r="17" spans="3:12" ht="54" customHeight="1" x14ac:dyDescent="0.25">
      <c r="C17" s="78" t="s">
        <v>31</v>
      </c>
      <c r="D17" s="169" t="s">
        <v>92</v>
      </c>
      <c r="E17" s="169"/>
      <c r="F17" s="169"/>
      <c r="G17" s="169"/>
      <c r="H17" s="169"/>
      <c r="I17" s="169"/>
      <c r="J17" s="169"/>
      <c r="K17" s="169"/>
      <c r="L17" s="169"/>
    </row>
    <row r="18" spans="3:12" ht="30.75" customHeight="1" x14ac:dyDescent="0.25">
      <c r="C18" s="78" t="s">
        <v>1</v>
      </c>
      <c r="D18" s="169" t="s">
        <v>33</v>
      </c>
      <c r="E18" s="169"/>
      <c r="F18" s="169"/>
      <c r="G18" s="169"/>
      <c r="H18" s="169"/>
      <c r="I18" s="169"/>
      <c r="J18" s="169"/>
      <c r="K18" s="169"/>
      <c r="L18" s="169"/>
    </row>
    <row r="19" spans="3:12" ht="30" x14ac:dyDescent="0.25">
      <c r="C19" s="17" t="s">
        <v>34</v>
      </c>
      <c r="D19" s="169" t="s">
        <v>35</v>
      </c>
      <c r="E19" s="169"/>
      <c r="F19" s="169"/>
      <c r="G19" s="169"/>
      <c r="H19" s="169"/>
      <c r="I19" s="169"/>
      <c r="J19" s="169"/>
      <c r="K19" s="169"/>
      <c r="L19" s="169"/>
    </row>
    <row r="22" spans="3:12" ht="45" x14ac:dyDescent="0.25">
      <c r="C22" s="80" t="s">
        <v>74</v>
      </c>
      <c r="D22" s="81" t="s">
        <v>75</v>
      </c>
      <c r="E22" s="81" t="s">
        <v>76</v>
      </c>
      <c r="F22" s="82" t="s">
        <v>77</v>
      </c>
      <c r="G22" s="10"/>
    </row>
    <row r="23" spans="3:12" ht="18.75" x14ac:dyDescent="0.25">
      <c r="C23" s="59" t="s">
        <v>93</v>
      </c>
      <c r="D23" s="101">
        <f>N6</f>
        <v>21579.87456</v>
      </c>
      <c r="E23" s="101">
        <f>E6</f>
        <v>1283.05</v>
      </c>
      <c r="F23" s="102">
        <f>D23/E23</f>
        <v>16.819200000000002</v>
      </c>
      <c r="G23" s="10"/>
    </row>
    <row r="24" spans="3:12" ht="45" x14ac:dyDescent="0.25">
      <c r="C24" s="59" t="s">
        <v>94</v>
      </c>
      <c r="D24" s="103">
        <f>N7</f>
        <v>44527.507488000003</v>
      </c>
      <c r="E24" s="104">
        <f>E7</f>
        <v>7059.7900000000009</v>
      </c>
      <c r="F24" s="105">
        <f t="shared" ref="F24:F25" si="1">D24/E24</f>
        <v>6.3071999999999999</v>
      </c>
      <c r="G24" s="10"/>
    </row>
    <row r="25" spans="3:12" ht="18.75" x14ac:dyDescent="0.25">
      <c r="C25" s="86" t="s">
        <v>79</v>
      </c>
      <c r="D25" s="106">
        <f>SUM(D23:D24)</f>
        <v>66107.382047999999</v>
      </c>
      <c r="E25" s="106">
        <f>SUM(E23:E24)</f>
        <v>8342.84</v>
      </c>
      <c r="F25" s="107">
        <f t="shared" si="1"/>
        <v>7.9238463218760034</v>
      </c>
      <c r="G25" s="10"/>
    </row>
  </sheetData>
  <mergeCells count="8">
    <mergeCell ref="D18:L18"/>
    <mergeCell ref="D19:L19"/>
    <mergeCell ref="D12:L12"/>
    <mergeCell ref="D13:L13"/>
    <mergeCell ref="D14:L14"/>
    <mergeCell ref="D15:L15"/>
    <mergeCell ref="D16:L16"/>
    <mergeCell ref="D17:L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3" sqref="C3"/>
    </sheetView>
  </sheetViews>
  <sheetFormatPr defaultRowHeight="15" x14ac:dyDescent="0.25"/>
  <cols>
    <col min="1" max="1" width="5.85546875" customWidth="1"/>
    <col min="2" max="2" width="72" customWidth="1"/>
    <col min="3" max="3" width="20.85546875" customWidth="1"/>
    <col min="4" max="4" width="27" customWidth="1"/>
  </cols>
  <sheetData>
    <row r="1" spans="1:4" ht="30" x14ac:dyDescent="0.25">
      <c r="B1" s="109"/>
      <c r="C1" s="110" t="s">
        <v>8</v>
      </c>
      <c r="D1" s="111" t="s">
        <v>0</v>
      </c>
    </row>
    <row r="2" spans="1:4" ht="15.75" x14ac:dyDescent="0.25">
      <c r="B2" s="112" t="s">
        <v>95</v>
      </c>
      <c r="C2" s="113">
        <v>670000</v>
      </c>
      <c r="D2" s="114">
        <f>C2/100000</f>
        <v>6.7</v>
      </c>
    </row>
    <row r="3" spans="1:4" ht="15.75" x14ac:dyDescent="0.25">
      <c r="B3" s="115" t="s">
        <v>96</v>
      </c>
      <c r="C3" s="116">
        <f>C2*17%</f>
        <v>113900.00000000001</v>
      </c>
      <c r="D3" s="117">
        <f>C3/100000</f>
        <v>1.1390000000000002</v>
      </c>
    </row>
    <row r="4" spans="1:4" x14ac:dyDescent="0.25">
      <c r="B4" s="109"/>
      <c r="C4" s="109"/>
      <c r="D4" s="109"/>
    </row>
    <row r="5" spans="1:4" ht="25.5" x14ac:dyDescent="0.25">
      <c r="A5" s="118" t="s">
        <v>97</v>
      </c>
      <c r="B5" s="119"/>
      <c r="C5" s="119" t="s">
        <v>98</v>
      </c>
      <c r="D5" s="120" t="s">
        <v>99</v>
      </c>
    </row>
    <row r="6" spans="1:4" ht="15.75" x14ac:dyDescent="0.25">
      <c r="A6" s="1" t="s">
        <v>100</v>
      </c>
      <c r="B6" s="121" t="s">
        <v>101</v>
      </c>
      <c r="C6" s="122">
        <v>346.1</v>
      </c>
      <c r="D6" s="123">
        <f>C6*D2</f>
        <v>2318.8700000000003</v>
      </c>
    </row>
    <row r="7" spans="1:4" ht="30" x14ac:dyDescent="0.25">
      <c r="A7" s="1" t="s">
        <v>102</v>
      </c>
      <c r="B7" s="124" t="s">
        <v>103</v>
      </c>
      <c r="C7" s="122">
        <v>178.7</v>
      </c>
      <c r="D7" s="123">
        <f>C7*D3</f>
        <v>203.53930000000003</v>
      </c>
    </row>
    <row r="8" spans="1:4" ht="30" x14ac:dyDescent="0.25">
      <c r="A8" s="1" t="s">
        <v>104</v>
      </c>
      <c r="B8" s="121" t="s">
        <v>105</v>
      </c>
      <c r="C8" s="122">
        <v>796.2</v>
      </c>
      <c r="D8" s="123">
        <f>C8*D2</f>
        <v>5334.5400000000009</v>
      </c>
    </row>
    <row r="10" spans="1:4" x14ac:dyDescent="0.25">
      <c r="A10" s="125"/>
      <c r="B10" t="s">
        <v>106</v>
      </c>
    </row>
    <row r="11" spans="1:4" x14ac:dyDescent="0.25">
      <c r="B11" s="12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A7" workbookViewId="0">
      <selection activeCell="H3" sqref="H3:H4"/>
    </sheetView>
  </sheetViews>
  <sheetFormatPr defaultRowHeight="15" x14ac:dyDescent="0.25"/>
  <cols>
    <col min="2" max="2" width="48.42578125" customWidth="1"/>
    <col min="3" max="3" width="25.42578125" customWidth="1"/>
    <col min="4" max="4" width="13.85546875" customWidth="1"/>
    <col min="5" max="5" width="15.140625" customWidth="1"/>
    <col min="6" max="6" width="14.7109375" customWidth="1"/>
    <col min="7" max="7" width="16.42578125" customWidth="1"/>
    <col min="8" max="8" width="13.42578125" customWidth="1"/>
    <col min="9" max="9" width="15" customWidth="1"/>
    <col min="10" max="10" width="17" customWidth="1"/>
    <col min="11" max="11" width="22.42578125" customWidth="1"/>
    <col min="12" max="12" width="24.140625" customWidth="1"/>
  </cols>
  <sheetData>
    <row r="1" spans="1:13" ht="18.75" x14ac:dyDescent="0.25">
      <c r="B1" s="174" t="s">
        <v>107</v>
      </c>
      <c r="C1" s="175"/>
      <c r="D1" s="175"/>
      <c r="E1" s="175"/>
      <c r="F1" s="175"/>
      <c r="G1" s="175"/>
      <c r="H1" s="175"/>
      <c r="I1" s="175"/>
      <c r="J1" s="175"/>
      <c r="K1" s="175"/>
      <c r="L1" s="176"/>
    </row>
    <row r="2" spans="1:13" ht="60" x14ac:dyDescent="0.25">
      <c r="B2" s="127" t="s">
        <v>74</v>
      </c>
      <c r="C2" s="128" t="s">
        <v>108</v>
      </c>
      <c r="D2" s="128" t="s">
        <v>1</v>
      </c>
      <c r="E2" s="128" t="s">
        <v>109</v>
      </c>
      <c r="F2" s="128" t="s">
        <v>110</v>
      </c>
      <c r="G2" s="128" t="s">
        <v>111</v>
      </c>
      <c r="H2" s="128" t="s">
        <v>112</v>
      </c>
      <c r="I2" s="128" t="s">
        <v>113</v>
      </c>
      <c r="J2" s="129" t="s">
        <v>114</v>
      </c>
      <c r="K2" s="129" t="s">
        <v>115</v>
      </c>
      <c r="L2" s="129" t="s">
        <v>116</v>
      </c>
    </row>
    <row r="3" spans="1:13" x14ac:dyDescent="0.25">
      <c r="A3" s="130"/>
      <c r="B3" s="177" t="s">
        <v>117</v>
      </c>
      <c r="C3" s="178" t="s">
        <v>118</v>
      </c>
      <c r="D3" s="179">
        <v>1000</v>
      </c>
      <c r="E3" s="179" t="s">
        <v>119</v>
      </c>
      <c r="F3" s="179">
        <v>500</v>
      </c>
      <c r="G3" s="179" t="s">
        <v>120</v>
      </c>
      <c r="H3" s="182">
        <f>D3/F3*20</f>
        <v>40</v>
      </c>
      <c r="I3" s="183">
        <v>3.75</v>
      </c>
      <c r="J3" s="184">
        <f t="shared" ref="J3" si="0">H3*I3</f>
        <v>150</v>
      </c>
      <c r="K3" s="186">
        <f>H3</f>
        <v>40</v>
      </c>
      <c r="L3" s="188" t="s">
        <v>121</v>
      </c>
      <c r="M3" s="189"/>
    </row>
    <row r="4" spans="1:13" ht="30" customHeight="1" x14ac:dyDescent="0.25">
      <c r="A4" s="130"/>
      <c r="B4" s="177"/>
      <c r="C4" s="178"/>
      <c r="D4" s="180"/>
      <c r="E4" s="180"/>
      <c r="F4" s="181"/>
      <c r="G4" s="181"/>
      <c r="H4" s="182"/>
      <c r="I4" s="183"/>
      <c r="J4" s="185"/>
      <c r="K4" s="187"/>
      <c r="L4" s="188"/>
      <c r="M4" s="189"/>
    </row>
    <row r="5" spans="1:13" x14ac:dyDescent="0.25">
      <c r="A5" s="130"/>
      <c r="B5" s="177" t="s">
        <v>117</v>
      </c>
      <c r="C5" s="178" t="s">
        <v>122</v>
      </c>
      <c r="D5" s="179">
        <v>10</v>
      </c>
      <c r="E5" s="179" t="s">
        <v>123</v>
      </c>
      <c r="F5" s="179">
        <v>2.5</v>
      </c>
      <c r="G5" s="179" t="s">
        <v>124</v>
      </c>
      <c r="H5" s="182">
        <f>D5/F5*20</f>
        <v>80</v>
      </c>
      <c r="I5" s="183">
        <v>2.25</v>
      </c>
      <c r="J5" s="184">
        <f t="shared" ref="J5" si="1">H5*I5</f>
        <v>180</v>
      </c>
      <c r="K5" s="186">
        <f>H5</f>
        <v>80</v>
      </c>
      <c r="L5" s="188" t="s">
        <v>125</v>
      </c>
      <c r="M5" s="189"/>
    </row>
    <row r="6" spans="1:13" ht="51" customHeight="1" x14ac:dyDescent="0.25">
      <c r="A6" s="130"/>
      <c r="B6" s="177"/>
      <c r="C6" s="178"/>
      <c r="D6" s="180"/>
      <c r="E6" s="180"/>
      <c r="F6" s="181"/>
      <c r="G6" s="181"/>
      <c r="H6" s="182"/>
      <c r="I6" s="183"/>
      <c r="J6" s="185"/>
      <c r="K6" s="187"/>
      <c r="L6" s="188"/>
      <c r="M6" s="189"/>
    </row>
    <row r="7" spans="1:13" x14ac:dyDescent="0.25">
      <c r="A7" s="130"/>
      <c r="B7" s="177" t="s">
        <v>117</v>
      </c>
      <c r="C7" s="178" t="s">
        <v>126</v>
      </c>
      <c r="D7" s="179">
        <v>600</v>
      </c>
      <c r="E7" s="179" t="s">
        <v>119</v>
      </c>
      <c r="F7" s="179">
        <v>200</v>
      </c>
      <c r="G7" s="179" t="s">
        <v>127</v>
      </c>
      <c r="H7" s="182">
        <f>365/(60/(D7/F7))</f>
        <v>18.25</v>
      </c>
      <c r="I7" s="183">
        <v>27.5</v>
      </c>
      <c r="J7" s="184">
        <f t="shared" ref="J7" si="2">H7*I7</f>
        <v>501.875</v>
      </c>
      <c r="K7" s="186">
        <f>H7</f>
        <v>18.25</v>
      </c>
      <c r="L7" s="188" t="s">
        <v>128</v>
      </c>
      <c r="M7" s="189"/>
    </row>
    <row r="8" spans="1:13" ht="49.5" customHeight="1" x14ac:dyDescent="0.25">
      <c r="A8" s="130"/>
      <c r="B8" s="177"/>
      <c r="C8" s="178"/>
      <c r="D8" s="180"/>
      <c r="E8" s="180"/>
      <c r="F8" s="181"/>
      <c r="G8" s="181"/>
      <c r="H8" s="182"/>
      <c r="I8" s="183"/>
      <c r="J8" s="185"/>
      <c r="K8" s="187"/>
      <c r="L8" s="188"/>
      <c r="M8" s="189"/>
    </row>
    <row r="9" spans="1:13" ht="45" x14ac:dyDescent="0.25">
      <c r="A9" s="130"/>
      <c r="B9" s="131" t="s">
        <v>117</v>
      </c>
      <c r="C9" s="132" t="s">
        <v>129</v>
      </c>
      <c r="D9" s="133">
        <v>400</v>
      </c>
      <c r="E9" s="133" t="s">
        <v>119</v>
      </c>
      <c r="F9" s="133">
        <v>100</v>
      </c>
      <c r="G9" s="133" t="s">
        <v>130</v>
      </c>
      <c r="H9" s="134">
        <f>D9/F9*365</f>
        <v>1460</v>
      </c>
      <c r="I9" s="135">
        <f>9.04/200</f>
        <v>4.5199999999999997E-2</v>
      </c>
      <c r="J9" s="136">
        <f t="shared" ref="J9" si="3">H9*I9</f>
        <v>65.99199999999999</v>
      </c>
      <c r="K9" s="137">
        <f>H9/4/200</f>
        <v>1.825</v>
      </c>
      <c r="L9" s="138" t="s">
        <v>131</v>
      </c>
      <c r="M9" s="189"/>
    </row>
    <row r="10" spans="1:13" ht="30" x14ac:dyDescent="0.25">
      <c r="A10" s="130"/>
      <c r="B10" s="131" t="s">
        <v>117</v>
      </c>
      <c r="C10" s="132" t="s">
        <v>132</v>
      </c>
      <c r="D10" s="133">
        <v>500</v>
      </c>
      <c r="E10" s="133" t="s">
        <v>119</v>
      </c>
      <c r="F10" s="133" t="s">
        <v>133</v>
      </c>
      <c r="G10" s="133" t="s">
        <v>134</v>
      </c>
      <c r="H10" s="134">
        <f>365/(60/2)</f>
        <v>12.166666666666666</v>
      </c>
      <c r="I10" s="135">
        <v>54.71</v>
      </c>
      <c r="J10" s="136">
        <f>I10*H10</f>
        <v>665.63833333333332</v>
      </c>
      <c r="K10" s="137">
        <f>H10</f>
        <v>12.166666666666666</v>
      </c>
      <c r="L10" s="138" t="s">
        <v>135</v>
      </c>
      <c r="M10" s="189"/>
    </row>
    <row r="11" spans="1:13" x14ac:dyDescent="0.25">
      <c r="A11" s="130"/>
      <c r="B11" s="190" t="s">
        <v>136</v>
      </c>
      <c r="C11" s="192" t="s">
        <v>132</v>
      </c>
      <c r="D11" s="194">
        <v>500</v>
      </c>
      <c r="E11" s="194" t="s">
        <v>119</v>
      </c>
      <c r="F11" s="195" t="s">
        <v>133</v>
      </c>
      <c r="G11" s="194" t="s">
        <v>134</v>
      </c>
      <c r="H11" s="197">
        <f>365/(60/2)</f>
        <v>12.166666666666666</v>
      </c>
      <c r="I11" s="199">
        <v>54.71</v>
      </c>
      <c r="J11" s="205">
        <f t="shared" ref="J11" si="4">H11*I11</f>
        <v>665.63833333333332</v>
      </c>
      <c r="K11" s="206">
        <f>H11</f>
        <v>12.166666666666666</v>
      </c>
      <c r="L11" s="188" t="s">
        <v>135</v>
      </c>
      <c r="M11" s="204"/>
    </row>
    <row r="12" spans="1:13" ht="34.5" customHeight="1" x14ac:dyDescent="0.25">
      <c r="A12" s="130"/>
      <c r="B12" s="191"/>
      <c r="C12" s="193"/>
      <c r="D12" s="180"/>
      <c r="E12" s="180"/>
      <c r="F12" s="196"/>
      <c r="G12" s="181"/>
      <c r="H12" s="198"/>
      <c r="I12" s="200"/>
      <c r="J12" s="185"/>
      <c r="K12" s="187"/>
      <c r="L12" s="188"/>
      <c r="M12" s="207"/>
    </row>
    <row r="13" spans="1:13" x14ac:dyDescent="0.25">
      <c r="A13" s="130"/>
      <c r="B13" s="191" t="s">
        <v>136</v>
      </c>
      <c r="C13" s="201" t="s">
        <v>137</v>
      </c>
      <c r="D13" s="179">
        <v>200</v>
      </c>
      <c r="E13" s="179" t="s">
        <v>119</v>
      </c>
      <c r="F13" s="203">
        <v>100</v>
      </c>
      <c r="G13" s="179" t="s">
        <v>138</v>
      </c>
      <c r="H13" s="198">
        <f>(D13/F13)*365</f>
        <v>730</v>
      </c>
      <c r="I13" s="208">
        <f>9.04/200</f>
        <v>4.5199999999999997E-2</v>
      </c>
      <c r="J13" s="184">
        <f t="shared" ref="J13" si="5">H13*I13</f>
        <v>32.995999999999995</v>
      </c>
      <c r="K13" s="186">
        <f>H13/2/200</f>
        <v>1.825</v>
      </c>
      <c r="L13" s="188" t="s">
        <v>131</v>
      </c>
      <c r="M13" s="204"/>
    </row>
    <row r="14" spans="1:13" ht="36" customHeight="1" x14ac:dyDescent="0.25">
      <c r="A14" s="130"/>
      <c r="B14" s="191"/>
      <c r="C14" s="202"/>
      <c r="D14" s="180"/>
      <c r="E14" s="180"/>
      <c r="F14" s="203"/>
      <c r="G14" s="181"/>
      <c r="H14" s="198"/>
      <c r="I14" s="208"/>
      <c r="J14" s="185"/>
      <c r="K14" s="187"/>
      <c r="L14" s="188"/>
      <c r="M14" s="204"/>
    </row>
    <row r="15" spans="1:13" ht="15" customHeight="1" x14ac:dyDescent="0.25">
      <c r="A15" s="130"/>
      <c r="B15" s="191" t="s">
        <v>136</v>
      </c>
      <c r="C15" s="201" t="s">
        <v>139</v>
      </c>
      <c r="D15" s="179">
        <v>18</v>
      </c>
      <c r="E15" s="179" t="s">
        <v>119</v>
      </c>
      <c r="F15" s="210">
        <v>30</v>
      </c>
      <c r="G15" s="179" t="s">
        <v>140</v>
      </c>
      <c r="H15" s="211">
        <f>365/30</f>
        <v>12.166666666666666</v>
      </c>
      <c r="I15" s="211">
        <v>137.30000000000001</v>
      </c>
      <c r="J15" s="184">
        <f t="shared" ref="J15" si="6">H15*I15</f>
        <v>1670.4833333333333</v>
      </c>
      <c r="K15" s="186">
        <f>H15</f>
        <v>12.166666666666666</v>
      </c>
      <c r="L15" s="188" t="s">
        <v>141</v>
      </c>
      <c r="M15" s="209"/>
    </row>
    <row r="16" spans="1:13" ht="49.5" customHeight="1" x14ac:dyDescent="0.25">
      <c r="A16" s="130"/>
      <c r="B16" s="191"/>
      <c r="C16" s="202"/>
      <c r="D16" s="180"/>
      <c r="E16" s="180"/>
      <c r="F16" s="195"/>
      <c r="G16" s="181"/>
      <c r="H16" s="197"/>
      <c r="I16" s="197"/>
      <c r="J16" s="185"/>
      <c r="K16" s="187"/>
      <c r="L16" s="188"/>
      <c r="M16" s="209"/>
    </row>
    <row r="17" spans="1:13" x14ac:dyDescent="0.25">
      <c r="A17" s="140"/>
      <c r="B17" s="191" t="s">
        <v>136</v>
      </c>
      <c r="C17" s="212" t="s">
        <v>142</v>
      </c>
      <c r="D17" s="179">
        <v>16</v>
      </c>
      <c r="E17" s="179" t="s">
        <v>123</v>
      </c>
      <c r="F17" s="210" t="s">
        <v>143</v>
      </c>
      <c r="G17" s="179" t="s">
        <v>144</v>
      </c>
      <c r="H17" s="211">
        <v>2</v>
      </c>
      <c r="I17" s="211">
        <v>5.26</v>
      </c>
      <c r="J17" s="184">
        <f t="shared" ref="J17" si="7">H17*I17</f>
        <v>10.52</v>
      </c>
      <c r="K17" s="186">
        <f>H17</f>
        <v>2</v>
      </c>
      <c r="L17" s="213" t="s">
        <v>145</v>
      </c>
      <c r="M17" s="209"/>
    </row>
    <row r="18" spans="1:13" ht="47.25" customHeight="1" x14ac:dyDescent="0.25">
      <c r="B18" s="191"/>
      <c r="C18" s="192"/>
      <c r="D18" s="180"/>
      <c r="E18" s="180"/>
      <c r="F18" s="195"/>
      <c r="G18" s="181"/>
      <c r="H18" s="197"/>
      <c r="I18" s="197"/>
      <c r="J18" s="185"/>
      <c r="K18" s="187"/>
      <c r="L18" s="213"/>
      <c r="M18" s="209"/>
    </row>
    <row r="19" spans="1:13" x14ac:dyDescent="0.25">
      <c r="L19" s="141"/>
    </row>
  </sheetData>
  <mergeCells count="86">
    <mergeCell ref="M17:M18"/>
    <mergeCell ref="B17:B18"/>
    <mergeCell ref="C17:C18"/>
    <mergeCell ref="D17:D18"/>
    <mergeCell ref="E17:E18"/>
    <mergeCell ref="F17:F18"/>
    <mergeCell ref="G17:G18"/>
    <mergeCell ref="H17:H18"/>
    <mergeCell ref="I17:I18"/>
    <mergeCell ref="J17:J18"/>
    <mergeCell ref="K17:K18"/>
    <mergeCell ref="L17:L18"/>
    <mergeCell ref="M15:M16"/>
    <mergeCell ref="B15:B16"/>
    <mergeCell ref="C15:C16"/>
    <mergeCell ref="D15:D16"/>
    <mergeCell ref="E15:E16"/>
    <mergeCell ref="F15:F16"/>
    <mergeCell ref="G15:G16"/>
    <mergeCell ref="H15:H16"/>
    <mergeCell ref="I15:I16"/>
    <mergeCell ref="J15:J16"/>
    <mergeCell ref="K15:K16"/>
    <mergeCell ref="L15:L16"/>
    <mergeCell ref="H13:H14"/>
    <mergeCell ref="I13:I14"/>
    <mergeCell ref="J13:J14"/>
    <mergeCell ref="K13:K14"/>
    <mergeCell ref="L13:L14"/>
    <mergeCell ref="M13:M14"/>
    <mergeCell ref="J11:J12"/>
    <mergeCell ref="K11:K12"/>
    <mergeCell ref="L11:L12"/>
    <mergeCell ref="M11:M12"/>
    <mergeCell ref="B13:B14"/>
    <mergeCell ref="C13:C14"/>
    <mergeCell ref="D13:D14"/>
    <mergeCell ref="E13:E14"/>
    <mergeCell ref="F13:F14"/>
    <mergeCell ref="G13:G14"/>
    <mergeCell ref="M7:M8"/>
    <mergeCell ref="M9:M10"/>
    <mergeCell ref="B11:B12"/>
    <mergeCell ref="C11:C12"/>
    <mergeCell ref="D11:D12"/>
    <mergeCell ref="E11:E12"/>
    <mergeCell ref="F11:F12"/>
    <mergeCell ref="G11:G12"/>
    <mergeCell ref="H11:H12"/>
    <mergeCell ref="I11:I12"/>
    <mergeCell ref="G7:G8"/>
    <mergeCell ref="H7:H8"/>
    <mergeCell ref="I7:I8"/>
    <mergeCell ref="J7:J8"/>
    <mergeCell ref="K7:K8"/>
    <mergeCell ref="L7:L8"/>
    <mergeCell ref="I5:I6"/>
    <mergeCell ref="J5:J6"/>
    <mergeCell ref="K5:K6"/>
    <mergeCell ref="L5:L6"/>
    <mergeCell ref="B7:B8"/>
    <mergeCell ref="C7:C8"/>
    <mergeCell ref="D7:D8"/>
    <mergeCell ref="E7:E8"/>
    <mergeCell ref="F7:F8"/>
    <mergeCell ref="M3:M4"/>
    <mergeCell ref="B5:B6"/>
    <mergeCell ref="C5:C6"/>
    <mergeCell ref="D5:D6"/>
    <mergeCell ref="E5:E6"/>
    <mergeCell ref="F5:F6"/>
    <mergeCell ref="G5:G6"/>
    <mergeCell ref="H5:H6"/>
    <mergeCell ref="M5:M6"/>
    <mergeCell ref="B1:L1"/>
    <mergeCell ref="B3:B4"/>
    <mergeCell ref="C3:C4"/>
    <mergeCell ref="D3:D4"/>
    <mergeCell ref="E3:E4"/>
    <mergeCell ref="F3:F4"/>
    <mergeCell ref="G3:G4"/>
    <mergeCell ref="H3:H4"/>
    <mergeCell ref="I3:I4"/>
    <mergeCell ref="J3:J4"/>
    <mergeCell ref="K3:K4"/>
    <mergeCell ref="L3:L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topLeftCell="A6" workbookViewId="0">
      <selection activeCell="J5" sqref="J5:J6"/>
    </sheetView>
  </sheetViews>
  <sheetFormatPr defaultRowHeight="15" x14ac:dyDescent="0.25"/>
  <cols>
    <col min="2" max="2" width="19.42578125" customWidth="1"/>
    <col min="3" max="3" width="9.140625" customWidth="1"/>
    <col min="4" max="4" width="16.5703125" customWidth="1"/>
    <col min="5" max="6" width="15.42578125" customWidth="1"/>
    <col min="7" max="7" width="14.85546875" customWidth="1"/>
    <col min="8" max="8" width="22.42578125" customWidth="1"/>
    <col min="9" max="9" width="17.140625" customWidth="1"/>
    <col min="10" max="10" width="17.42578125" customWidth="1"/>
    <col min="11" max="11" width="15.42578125" style="89" customWidth="1"/>
    <col min="12" max="12" width="20" customWidth="1"/>
    <col min="13" max="13" width="28.140625" customWidth="1"/>
  </cols>
  <sheetData>
    <row r="3" spans="2:13" ht="90" x14ac:dyDescent="0.25">
      <c r="B3" s="149" t="s">
        <v>108</v>
      </c>
      <c r="C3" s="149" t="s">
        <v>146</v>
      </c>
      <c r="D3" s="149" t="s">
        <v>176</v>
      </c>
      <c r="E3" s="149" t="s">
        <v>156</v>
      </c>
      <c r="F3" s="149" t="s">
        <v>148</v>
      </c>
      <c r="G3" s="149" t="s">
        <v>149</v>
      </c>
      <c r="H3" s="149" t="s">
        <v>177</v>
      </c>
      <c r="I3" s="149" t="s">
        <v>178</v>
      </c>
      <c r="J3" s="149" t="s">
        <v>179</v>
      </c>
      <c r="K3" s="150" t="s">
        <v>180</v>
      </c>
      <c r="L3" s="81" t="s">
        <v>154</v>
      </c>
      <c r="M3" s="81" t="s">
        <v>116</v>
      </c>
    </row>
    <row r="4" spans="2:13" ht="35.25" customHeight="1" x14ac:dyDescent="0.25">
      <c r="B4" s="214" t="s">
        <v>181</v>
      </c>
      <c r="C4" s="215"/>
      <c r="D4" s="215"/>
      <c r="E4" s="215"/>
      <c r="F4" s="215"/>
      <c r="G4" s="215"/>
      <c r="H4" s="215"/>
      <c r="I4" s="215"/>
      <c r="J4" s="215"/>
      <c r="K4" s="215"/>
      <c r="L4" s="215"/>
      <c r="M4" s="216"/>
    </row>
    <row r="5" spans="2:13" ht="15" customHeight="1" x14ac:dyDescent="0.25">
      <c r="B5" s="217" t="s">
        <v>182</v>
      </c>
      <c r="C5" s="143">
        <v>500</v>
      </c>
      <c r="D5" s="203" t="s">
        <v>183</v>
      </c>
      <c r="E5" s="219">
        <f>[1]Medications_doses!H11</f>
        <v>12.166666666666666</v>
      </c>
      <c r="F5" s="220">
        <v>0.6</v>
      </c>
      <c r="G5" s="220">
        <v>0.6</v>
      </c>
      <c r="H5" s="222">
        <v>54.71</v>
      </c>
      <c r="I5" s="222">
        <f>E5*H5*F5*G5</f>
        <v>239.62979999999999</v>
      </c>
      <c r="J5" s="224">
        <f>[1]PrevaleceIncidence!D8*40%</f>
        <v>2133.8160000000003</v>
      </c>
      <c r="K5" s="226">
        <f>I5*J5</f>
        <v>511325.90131680004</v>
      </c>
      <c r="L5" s="227">
        <f>[1]Medications_doses!K11*[1]COPD!J5</f>
        <v>25961.428000000004</v>
      </c>
      <c r="M5" s="228" t="s">
        <v>135</v>
      </c>
    </row>
    <row r="6" spans="2:13" ht="49.5" customHeight="1" x14ac:dyDescent="0.25">
      <c r="B6" s="218"/>
      <c r="C6" s="144" t="s">
        <v>160</v>
      </c>
      <c r="D6" s="196"/>
      <c r="E6" s="219"/>
      <c r="F6" s="221"/>
      <c r="G6" s="221"/>
      <c r="H6" s="223"/>
      <c r="I6" s="222"/>
      <c r="J6" s="225"/>
      <c r="K6" s="226"/>
      <c r="L6" s="227"/>
      <c r="M6" s="228"/>
    </row>
    <row r="7" spans="2:13" ht="15" customHeight="1" x14ac:dyDescent="0.25">
      <c r="B7" s="217" t="s">
        <v>137</v>
      </c>
      <c r="C7" s="143">
        <f>[1]Medications_doses!D13</f>
        <v>200</v>
      </c>
      <c r="D7" s="203" t="s">
        <v>184</v>
      </c>
      <c r="E7" s="219">
        <f>[1]Medications_doses!H13</f>
        <v>730</v>
      </c>
      <c r="F7" s="151">
        <v>0.95</v>
      </c>
      <c r="G7" s="220">
        <v>0.6</v>
      </c>
      <c r="H7" s="222">
        <f>[1]Medications_doses!I13</f>
        <v>4.5199999999999997E-2</v>
      </c>
      <c r="I7" s="222">
        <f t="shared" ref="I7" si="0">E7*H7*F7*G7</f>
        <v>18.807719999999996</v>
      </c>
      <c r="J7" s="224">
        <f>J5</f>
        <v>2133.8160000000003</v>
      </c>
      <c r="K7" s="226">
        <f t="shared" ref="K7" si="1">I7*J7</f>
        <v>40132.213859519994</v>
      </c>
      <c r="L7" s="227">
        <f>[1]Medications_doses!K13*[1]COPD!J7</f>
        <v>3894.2142000000003</v>
      </c>
      <c r="M7" s="228" t="s">
        <v>131</v>
      </c>
    </row>
    <row r="8" spans="2:13" ht="52.5" customHeight="1" x14ac:dyDescent="0.25">
      <c r="B8" s="218"/>
      <c r="C8" s="144" t="s">
        <v>160</v>
      </c>
      <c r="D8" s="203"/>
      <c r="E8" s="219"/>
      <c r="F8" s="152"/>
      <c r="G8" s="221"/>
      <c r="H8" s="222"/>
      <c r="I8" s="222"/>
      <c r="J8" s="225"/>
      <c r="K8" s="226"/>
      <c r="L8" s="227"/>
      <c r="M8" s="228"/>
    </row>
    <row r="9" spans="2:13" ht="15" customHeight="1" x14ac:dyDescent="0.25">
      <c r="B9" s="217" t="s">
        <v>185</v>
      </c>
      <c r="C9" s="144">
        <f>[1]Medications_doses!D15</f>
        <v>18</v>
      </c>
      <c r="D9" s="210" t="s">
        <v>186</v>
      </c>
      <c r="E9" s="229">
        <f>[1]Medications_doses!H15</f>
        <v>12.166666666666666</v>
      </c>
      <c r="F9" s="220">
        <v>0.6</v>
      </c>
      <c r="G9" s="220">
        <v>0.6</v>
      </c>
      <c r="H9" s="231">
        <f>[1]Medications_doses!I15</f>
        <v>137.30000000000001</v>
      </c>
      <c r="I9" s="222">
        <f t="shared" ref="I9" si="2">E9*H9*F9*G9</f>
        <v>601.37399999999991</v>
      </c>
      <c r="J9" s="224">
        <f>J5</f>
        <v>2133.8160000000003</v>
      </c>
      <c r="K9" s="226">
        <f t="shared" ref="K9" si="3">I9*J9</f>
        <v>1283221.463184</v>
      </c>
      <c r="L9" s="227">
        <f>[1]Medications_doses!K15*[1]COPD!J9</f>
        <v>25961.428000000004</v>
      </c>
      <c r="M9" s="228" t="s">
        <v>141</v>
      </c>
    </row>
    <row r="10" spans="2:13" ht="57.75" customHeight="1" x14ac:dyDescent="0.25">
      <c r="B10" s="218"/>
      <c r="C10" s="144" t="s">
        <v>160</v>
      </c>
      <c r="D10" s="195"/>
      <c r="E10" s="230"/>
      <c r="F10" s="221"/>
      <c r="G10" s="221"/>
      <c r="H10" s="232"/>
      <c r="I10" s="222"/>
      <c r="J10" s="225"/>
      <c r="K10" s="226"/>
      <c r="L10" s="227"/>
      <c r="M10" s="228"/>
    </row>
    <row r="11" spans="2:13" x14ac:dyDescent="0.25">
      <c r="B11" s="236" t="s">
        <v>187</v>
      </c>
      <c r="C11" s="144">
        <f>[1]Medications_doses!D17</f>
        <v>16</v>
      </c>
      <c r="D11" s="210" t="s">
        <v>143</v>
      </c>
      <c r="E11" s="229">
        <f>[1]Medications_doses!H17</f>
        <v>2</v>
      </c>
      <c r="F11" s="220">
        <v>0.6</v>
      </c>
      <c r="G11" s="220">
        <v>0.6</v>
      </c>
      <c r="H11" s="231">
        <f>[1]Medications_doses!I17</f>
        <v>5.26</v>
      </c>
      <c r="I11" s="222">
        <f t="shared" ref="I11" si="4">E11*H11*F11*G11</f>
        <v>3.7871999999999995</v>
      </c>
      <c r="J11" s="224">
        <f>J5</f>
        <v>2133.8160000000003</v>
      </c>
      <c r="K11" s="226">
        <f t="shared" ref="K11" si="5">I11*J11</f>
        <v>8081.1879552</v>
      </c>
      <c r="L11" s="227">
        <f>[1]Medications_doses!K17*[1]COPD!J11</f>
        <v>4267.6320000000005</v>
      </c>
      <c r="M11" s="233" t="s">
        <v>145</v>
      </c>
    </row>
    <row r="12" spans="2:13" ht="42.75" customHeight="1" x14ac:dyDescent="0.25">
      <c r="B12" s="237"/>
      <c r="C12" s="144" t="s">
        <v>160</v>
      </c>
      <c r="D12" s="195"/>
      <c r="E12" s="230"/>
      <c r="F12" s="221"/>
      <c r="G12" s="221"/>
      <c r="H12" s="232"/>
      <c r="I12" s="222"/>
      <c r="J12" s="225"/>
      <c r="K12" s="226"/>
      <c r="L12" s="227"/>
      <c r="M12" s="233"/>
    </row>
    <row r="13" spans="2:13" x14ac:dyDescent="0.25">
      <c r="B13" s="153"/>
      <c r="C13" s="144"/>
      <c r="D13" s="154"/>
      <c r="E13" s="155"/>
      <c r="F13" s="152"/>
      <c r="G13" s="152"/>
      <c r="H13" s="155"/>
      <c r="I13" s="156"/>
      <c r="J13" s="157"/>
      <c r="K13" s="158"/>
      <c r="L13" s="159"/>
      <c r="M13" s="159"/>
    </row>
    <row r="14" spans="2:13" x14ac:dyDescent="0.25">
      <c r="B14" s="234" t="s">
        <v>170</v>
      </c>
      <c r="C14" s="234"/>
      <c r="D14" s="234"/>
      <c r="E14" s="234"/>
      <c r="F14" s="234"/>
      <c r="G14" s="234"/>
      <c r="H14" s="234"/>
      <c r="I14" s="234"/>
      <c r="J14" s="234"/>
      <c r="K14" s="145">
        <f>SUM(K5:K12)</f>
        <v>1842760.76631552</v>
      </c>
      <c r="L14" s="146"/>
      <c r="M14" s="146"/>
    </row>
    <row r="17" spans="1:9" x14ac:dyDescent="0.25">
      <c r="A17" s="147"/>
      <c r="B17" t="s">
        <v>106</v>
      </c>
    </row>
    <row r="20" spans="1:9" x14ac:dyDescent="0.25">
      <c r="A20" s="148" t="s">
        <v>171</v>
      </c>
    </row>
    <row r="22" spans="1:9" ht="84" customHeight="1" x14ac:dyDescent="0.25">
      <c r="A22" s="235" t="s">
        <v>188</v>
      </c>
      <c r="B22" s="235"/>
      <c r="C22" s="235"/>
      <c r="D22" s="235"/>
      <c r="E22" s="235"/>
      <c r="F22" s="235"/>
      <c r="G22" s="235"/>
      <c r="H22" s="235"/>
      <c r="I22" s="235"/>
    </row>
    <row r="23" spans="1:9" ht="63" customHeight="1" x14ac:dyDescent="0.25">
      <c r="A23" s="238" t="s">
        <v>189</v>
      </c>
      <c r="B23" s="238"/>
      <c r="C23" s="238"/>
      <c r="D23" s="238"/>
      <c r="E23" s="238"/>
      <c r="F23" s="238"/>
      <c r="G23" s="238"/>
      <c r="H23" s="238"/>
      <c r="I23" s="238"/>
    </row>
    <row r="24" spans="1:9" ht="42" customHeight="1" x14ac:dyDescent="0.25">
      <c r="A24" s="238" t="s">
        <v>190</v>
      </c>
      <c r="B24" s="238"/>
      <c r="C24" s="238"/>
      <c r="D24" s="238"/>
      <c r="E24" s="238"/>
      <c r="F24" s="238"/>
      <c r="G24" s="238"/>
      <c r="H24" s="238"/>
      <c r="I24" s="238"/>
    </row>
  </sheetData>
  <mergeCells count="48">
    <mergeCell ref="A23:I23"/>
    <mergeCell ref="A24:I24"/>
    <mergeCell ref="J11:J12"/>
    <mergeCell ref="K11:K12"/>
    <mergeCell ref="L11:L12"/>
    <mergeCell ref="A22:I22"/>
    <mergeCell ref="K9:K10"/>
    <mergeCell ref="L9:L10"/>
    <mergeCell ref="M9:M10"/>
    <mergeCell ref="B11:B12"/>
    <mergeCell ref="D11:D12"/>
    <mergeCell ref="E11:E12"/>
    <mergeCell ref="F11:F12"/>
    <mergeCell ref="G11:G12"/>
    <mergeCell ref="H11:H12"/>
    <mergeCell ref="I11:I12"/>
    <mergeCell ref="H9:H10"/>
    <mergeCell ref="I9:I10"/>
    <mergeCell ref="J9:J10"/>
    <mergeCell ref="M11:M12"/>
    <mergeCell ref="B14:J14"/>
    <mergeCell ref="B9:B10"/>
    <mergeCell ref="D9:D10"/>
    <mergeCell ref="E9:E10"/>
    <mergeCell ref="F9:F10"/>
    <mergeCell ref="G9:G10"/>
    <mergeCell ref="I7:I8"/>
    <mergeCell ref="J7:J8"/>
    <mergeCell ref="K7:K8"/>
    <mergeCell ref="L7:L8"/>
    <mergeCell ref="M7:M8"/>
    <mergeCell ref="B7:B8"/>
    <mergeCell ref="D7:D8"/>
    <mergeCell ref="E7:E8"/>
    <mergeCell ref="G7:G8"/>
    <mergeCell ref="H7:H8"/>
    <mergeCell ref="B4:M4"/>
    <mergeCell ref="B5:B6"/>
    <mergeCell ref="D5:D6"/>
    <mergeCell ref="E5:E6"/>
    <mergeCell ref="F5:F6"/>
    <mergeCell ref="G5:G6"/>
    <mergeCell ref="H5:H6"/>
    <mergeCell ref="I5:I6"/>
    <mergeCell ref="J5:J6"/>
    <mergeCell ref="K5:K6"/>
    <mergeCell ref="L5:L6"/>
    <mergeCell ref="M5:M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6"/>
  <sheetViews>
    <sheetView topLeftCell="A13" workbookViewId="0">
      <selection activeCell="J6" sqref="J6:J7"/>
    </sheetView>
  </sheetViews>
  <sheetFormatPr defaultRowHeight="15" x14ac:dyDescent="0.25"/>
  <cols>
    <col min="2" max="2" width="30" customWidth="1"/>
    <col min="3" max="3" width="13.42578125" customWidth="1"/>
    <col min="4" max="4" width="20.42578125" customWidth="1"/>
    <col min="5" max="5" width="16.5703125" customWidth="1"/>
    <col min="6" max="6" width="19" customWidth="1"/>
    <col min="7" max="7" width="12.42578125" customWidth="1"/>
    <col min="8" max="8" width="14.42578125" customWidth="1"/>
    <col min="9" max="10" width="18.42578125" customWidth="1"/>
    <col min="11" max="11" width="13.42578125" style="89" customWidth="1"/>
    <col min="12" max="12" width="15.7109375" customWidth="1"/>
    <col min="13" max="13" width="26.85546875" customWidth="1"/>
  </cols>
  <sheetData>
    <row r="3" spans="2:13" ht="75" x14ac:dyDescent="0.25">
      <c r="B3" s="81" t="s">
        <v>108</v>
      </c>
      <c r="C3" s="81" t="s">
        <v>146</v>
      </c>
      <c r="D3" s="81" t="s">
        <v>110</v>
      </c>
      <c r="E3" s="81" t="s">
        <v>147</v>
      </c>
      <c r="F3" s="81" t="s">
        <v>148</v>
      </c>
      <c r="G3" s="81" t="s">
        <v>149</v>
      </c>
      <c r="H3" s="81" t="s">
        <v>150</v>
      </c>
      <c r="I3" s="81" t="s">
        <v>151</v>
      </c>
      <c r="J3" s="81" t="s">
        <v>152</v>
      </c>
      <c r="K3" s="142" t="s">
        <v>153</v>
      </c>
      <c r="L3" s="81" t="s">
        <v>154</v>
      </c>
      <c r="M3" s="81" t="s">
        <v>116</v>
      </c>
    </row>
    <row r="4" spans="2:13" ht="29.25" customHeight="1" x14ac:dyDescent="0.25">
      <c r="B4" s="214" t="s">
        <v>155</v>
      </c>
      <c r="C4" s="215"/>
      <c r="D4" s="215"/>
      <c r="E4" s="215"/>
      <c r="F4" s="215"/>
      <c r="G4" s="215"/>
      <c r="H4" s="215"/>
      <c r="I4" s="215"/>
      <c r="J4" s="215"/>
      <c r="K4" s="215"/>
      <c r="L4" s="215"/>
      <c r="M4" s="216"/>
    </row>
    <row r="5" spans="2:13" ht="75" x14ac:dyDescent="0.25">
      <c r="B5" s="81" t="s">
        <v>108</v>
      </c>
      <c r="C5" s="81" t="s">
        <v>146</v>
      </c>
      <c r="D5" s="81" t="s">
        <v>110</v>
      </c>
      <c r="E5" s="81" t="s">
        <v>156</v>
      </c>
      <c r="F5" s="81" t="s">
        <v>148</v>
      </c>
      <c r="G5" s="81" t="s">
        <v>149</v>
      </c>
      <c r="H5" s="81" t="s">
        <v>150</v>
      </c>
      <c r="I5" s="81" t="s">
        <v>151</v>
      </c>
      <c r="J5" s="81" t="s">
        <v>157</v>
      </c>
      <c r="K5" s="142" t="s">
        <v>153</v>
      </c>
      <c r="L5" s="81" t="s">
        <v>154</v>
      </c>
      <c r="M5" s="81" t="s">
        <v>116</v>
      </c>
    </row>
    <row r="6" spans="2:13" ht="15" customHeight="1" x14ac:dyDescent="0.25">
      <c r="B6" s="239" t="s">
        <v>158</v>
      </c>
      <c r="C6" s="143">
        <f>[1]Medications_doses!D3</f>
        <v>1000</v>
      </c>
      <c r="D6" s="203" t="s">
        <v>159</v>
      </c>
      <c r="E6" s="219">
        <f>[1]Medications_doses!H3</f>
        <v>40</v>
      </c>
      <c r="F6" s="220">
        <v>0.7</v>
      </c>
      <c r="G6" s="240">
        <v>0.9</v>
      </c>
      <c r="H6" s="222">
        <f>[1]Medications_doses!I3</f>
        <v>3.75</v>
      </c>
      <c r="I6" s="222">
        <f>E6*H6*F6*G6</f>
        <v>94.5</v>
      </c>
      <c r="J6" s="241">
        <f>[1]PrevaleceIncidence!D6</f>
        <v>2318.8700000000003</v>
      </c>
      <c r="K6" s="226">
        <f>I6*J6</f>
        <v>219133.21500000003</v>
      </c>
      <c r="L6" s="227">
        <f>[1]Medications_doses!K3*[1]ASTHMA!J6</f>
        <v>92754.800000000017</v>
      </c>
      <c r="M6" s="243" t="s">
        <v>121</v>
      </c>
    </row>
    <row r="7" spans="2:13" ht="45.75" customHeight="1" x14ac:dyDescent="0.25">
      <c r="B7" s="239"/>
      <c r="C7" s="144" t="s">
        <v>160</v>
      </c>
      <c r="D7" s="196"/>
      <c r="E7" s="219"/>
      <c r="F7" s="221"/>
      <c r="G7" s="240"/>
      <c r="H7" s="223"/>
      <c r="I7" s="222"/>
      <c r="J7" s="242"/>
      <c r="K7" s="226"/>
      <c r="L7" s="227"/>
      <c r="M7" s="243"/>
    </row>
    <row r="8" spans="2:13" ht="15" customHeight="1" x14ac:dyDescent="0.25">
      <c r="B8" s="239" t="s">
        <v>161</v>
      </c>
      <c r="C8" s="143">
        <f>[1]Medications_doses!D5</f>
        <v>10</v>
      </c>
      <c r="D8" s="203" t="s">
        <v>162</v>
      </c>
      <c r="E8" s="219">
        <f>[1]Medications_doses!H5</f>
        <v>80</v>
      </c>
      <c r="F8" s="220">
        <v>0.9</v>
      </c>
      <c r="G8" s="240">
        <v>0.9</v>
      </c>
      <c r="H8" s="222">
        <f>[1]Medications_doses!I5</f>
        <v>2.25</v>
      </c>
      <c r="I8" s="222">
        <f>E8*H8*F8*G8</f>
        <v>145.80000000000001</v>
      </c>
      <c r="J8" s="241">
        <f>J6</f>
        <v>2318.8700000000003</v>
      </c>
      <c r="K8" s="226">
        <f>I8*J8</f>
        <v>338091.2460000001</v>
      </c>
      <c r="L8" s="227">
        <f>[1]Medications_doses!K5*[1]ASTHMA!J8</f>
        <v>185509.60000000003</v>
      </c>
      <c r="M8" s="243" t="s">
        <v>125</v>
      </c>
    </row>
    <row r="9" spans="2:13" ht="33" customHeight="1" x14ac:dyDescent="0.25">
      <c r="B9" s="239"/>
      <c r="C9" s="144" t="s">
        <v>160</v>
      </c>
      <c r="D9" s="203"/>
      <c r="E9" s="219"/>
      <c r="F9" s="221"/>
      <c r="G9" s="240"/>
      <c r="H9" s="222"/>
      <c r="I9" s="222"/>
      <c r="J9" s="242"/>
      <c r="K9" s="226"/>
      <c r="L9" s="227"/>
      <c r="M9" s="243"/>
    </row>
    <row r="10" spans="2:13" ht="15" customHeight="1" x14ac:dyDescent="0.25">
      <c r="B10" s="239" t="s">
        <v>163</v>
      </c>
      <c r="C10" s="143">
        <f>[1]Medications_doses!D7</f>
        <v>600</v>
      </c>
      <c r="D10" s="203" t="s">
        <v>164</v>
      </c>
      <c r="E10" s="219">
        <f>[1]Medications_doses!H7</f>
        <v>18.25</v>
      </c>
      <c r="F10" s="220">
        <v>0.7</v>
      </c>
      <c r="G10" s="240">
        <v>0.7</v>
      </c>
      <c r="H10" s="222">
        <f>[1]Medications_doses!I7</f>
        <v>27.5</v>
      </c>
      <c r="I10" s="222">
        <f>E10*F10*G10*H10</f>
        <v>245.91874999999996</v>
      </c>
      <c r="J10" s="219">
        <f>J8</f>
        <v>2318.8700000000003</v>
      </c>
      <c r="K10" s="226">
        <f>I10*J10</f>
        <v>570253.61181250005</v>
      </c>
      <c r="L10" s="227">
        <f>[1]Medications_doses!K7*[1]ASTHMA!J10</f>
        <v>42319.37750000001</v>
      </c>
      <c r="M10" s="243" t="s">
        <v>128</v>
      </c>
    </row>
    <row r="11" spans="2:13" ht="39.75" customHeight="1" x14ac:dyDescent="0.25">
      <c r="B11" s="239"/>
      <c r="C11" s="144" t="s">
        <v>160</v>
      </c>
      <c r="D11" s="196"/>
      <c r="E11" s="219"/>
      <c r="F11" s="221"/>
      <c r="G11" s="240"/>
      <c r="H11" s="223"/>
      <c r="I11" s="222"/>
      <c r="J11" s="223"/>
      <c r="K11" s="226"/>
      <c r="L11" s="227"/>
      <c r="M11" s="243"/>
    </row>
    <row r="12" spans="2:13" x14ac:dyDescent="0.25">
      <c r="B12" s="239" t="s">
        <v>165</v>
      </c>
      <c r="C12" s="143">
        <f>[1]Medications_doses!D9</f>
        <v>400</v>
      </c>
      <c r="D12" s="203" t="s">
        <v>166</v>
      </c>
      <c r="E12" s="219">
        <f>[1]Medications_doses!H9</f>
        <v>1460</v>
      </c>
      <c r="F12" s="220">
        <v>0.9</v>
      </c>
      <c r="G12" s="240">
        <v>0.7</v>
      </c>
      <c r="H12" s="222">
        <f>[1]Medications_doses!I9</f>
        <v>4.5199999999999997E-2</v>
      </c>
      <c r="I12" s="222">
        <f>E12*F12*G12*H12</f>
        <v>41.574959999999997</v>
      </c>
      <c r="J12" s="219">
        <f>J10</f>
        <v>2318.8700000000003</v>
      </c>
      <c r="K12" s="226">
        <f>I12*J12</f>
        <v>96406.927495200012</v>
      </c>
      <c r="L12" s="227">
        <f>[1]Medications_doses!K9*[1]ASTHMA!J12</f>
        <v>4231.937750000001</v>
      </c>
      <c r="M12" s="245" t="s">
        <v>131</v>
      </c>
    </row>
    <row r="13" spans="2:13" ht="35.25" customHeight="1" x14ac:dyDescent="0.25">
      <c r="B13" s="239"/>
      <c r="C13" s="143" t="s">
        <v>167</v>
      </c>
      <c r="D13" s="203"/>
      <c r="E13" s="219"/>
      <c r="F13" s="221"/>
      <c r="G13" s="240"/>
      <c r="H13" s="222"/>
      <c r="I13" s="222"/>
      <c r="J13" s="219"/>
      <c r="K13" s="226"/>
      <c r="L13" s="227"/>
      <c r="M13" s="246"/>
    </row>
    <row r="14" spans="2:13" ht="14.25" customHeight="1" x14ac:dyDescent="0.25">
      <c r="B14" s="217" t="s">
        <v>132</v>
      </c>
      <c r="C14" s="143">
        <v>500</v>
      </c>
      <c r="D14" s="210" t="s">
        <v>168</v>
      </c>
      <c r="E14" s="229">
        <f>[1]Medications_doses!H10</f>
        <v>12.166666666666666</v>
      </c>
      <c r="F14" s="231">
        <v>0.7</v>
      </c>
      <c r="G14" s="231">
        <v>0.7</v>
      </c>
      <c r="H14" s="231">
        <f>[1]Medications_doses!I10</f>
        <v>54.71</v>
      </c>
      <c r="I14" s="222">
        <f>E14*F14*G14*H14</f>
        <v>326.16278333333332</v>
      </c>
      <c r="J14" s="229">
        <f>J12</f>
        <v>2318.8700000000003</v>
      </c>
      <c r="K14" s="226">
        <f>I14*J14</f>
        <v>756329.09338816674</v>
      </c>
      <c r="L14" s="227">
        <f>[1]Medications_doses!K10*[1]ASTHMA!J14</f>
        <v>28212.918333333335</v>
      </c>
      <c r="M14" s="244" t="s">
        <v>135</v>
      </c>
    </row>
    <row r="15" spans="2:13" ht="30.75" customHeight="1" x14ac:dyDescent="0.25">
      <c r="B15" s="218"/>
      <c r="C15" s="143" t="s">
        <v>169</v>
      </c>
      <c r="D15" s="195"/>
      <c r="E15" s="230"/>
      <c r="F15" s="232"/>
      <c r="G15" s="232"/>
      <c r="H15" s="232"/>
      <c r="I15" s="222"/>
      <c r="J15" s="230"/>
      <c r="K15" s="226"/>
      <c r="L15" s="227"/>
      <c r="M15" s="244"/>
    </row>
    <row r="16" spans="2:13" x14ac:dyDescent="0.25">
      <c r="B16" s="234" t="s">
        <v>170</v>
      </c>
      <c r="C16" s="234"/>
      <c r="D16" s="234"/>
      <c r="E16" s="234"/>
      <c r="F16" s="234"/>
      <c r="G16" s="234"/>
      <c r="H16" s="234"/>
      <c r="I16" s="234"/>
      <c r="J16" s="234"/>
      <c r="K16" s="145">
        <f>SUM(K6:K15)</f>
        <v>1980214.0936958669</v>
      </c>
      <c r="L16" s="146"/>
      <c r="M16" s="146"/>
    </row>
    <row r="19" spans="1:9" x14ac:dyDescent="0.25">
      <c r="A19" s="147"/>
      <c r="B19" t="s">
        <v>106</v>
      </c>
    </row>
    <row r="21" spans="1:9" x14ac:dyDescent="0.25">
      <c r="A21" s="148" t="s">
        <v>171</v>
      </c>
    </row>
    <row r="23" spans="1:9" ht="30.75" customHeight="1" x14ac:dyDescent="0.25">
      <c r="A23" s="235" t="s">
        <v>172</v>
      </c>
      <c r="B23" s="235"/>
      <c r="C23" s="235"/>
      <c r="D23" s="235"/>
      <c r="E23" s="235"/>
      <c r="F23" s="235"/>
      <c r="G23" s="235"/>
      <c r="H23" s="235"/>
      <c r="I23" s="235"/>
    </row>
    <row r="24" spans="1:9" ht="48.75" customHeight="1" x14ac:dyDescent="0.25">
      <c r="A24" s="238" t="s">
        <v>173</v>
      </c>
      <c r="B24" s="238"/>
      <c r="C24" s="238"/>
      <c r="D24" s="238"/>
      <c r="E24" s="238"/>
      <c r="F24" s="238"/>
      <c r="G24" s="238"/>
      <c r="H24" s="238"/>
      <c r="I24" s="238"/>
    </row>
    <row r="25" spans="1:9" ht="48.75" customHeight="1" x14ac:dyDescent="0.25">
      <c r="A25" s="238" t="s">
        <v>174</v>
      </c>
      <c r="B25" s="238"/>
      <c r="C25" s="238"/>
      <c r="D25" s="238"/>
      <c r="E25" s="238"/>
      <c r="F25" s="238"/>
      <c r="G25" s="238"/>
      <c r="H25" s="238"/>
      <c r="I25" s="238"/>
    </row>
    <row r="26" spans="1:9" ht="29.25" customHeight="1" x14ac:dyDescent="0.25">
      <c r="A26" s="238" t="s">
        <v>175</v>
      </c>
      <c r="B26" s="238"/>
      <c r="C26" s="238"/>
      <c r="D26" s="238"/>
      <c r="E26" s="238"/>
      <c r="F26" s="238"/>
      <c r="G26" s="238"/>
      <c r="H26" s="238"/>
      <c r="I26" s="238"/>
    </row>
  </sheetData>
  <mergeCells count="61">
    <mergeCell ref="B16:J16"/>
    <mergeCell ref="A23:I23"/>
    <mergeCell ref="A24:I24"/>
    <mergeCell ref="A25:I25"/>
    <mergeCell ref="A26:I26"/>
    <mergeCell ref="M14:M15"/>
    <mergeCell ref="I12:I13"/>
    <mergeCell ref="J12:J13"/>
    <mergeCell ref="K12:K13"/>
    <mergeCell ref="L12:L13"/>
    <mergeCell ref="M12:M13"/>
    <mergeCell ref="I14:I15"/>
    <mergeCell ref="J14:J15"/>
    <mergeCell ref="K14:K15"/>
    <mergeCell ref="L14:L15"/>
    <mergeCell ref="H12:H13"/>
    <mergeCell ref="B14:B15"/>
    <mergeCell ref="D14:D15"/>
    <mergeCell ref="E14:E15"/>
    <mergeCell ref="F14:F15"/>
    <mergeCell ref="G14:G15"/>
    <mergeCell ref="H14:H15"/>
    <mergeCell ref="B12:B13"/>
    <mergeCell ref="D12:D13"/>
    <mergeCell ref="E12:E13"/>
    <mergeCell ref="F12:F13"/>
    <mergeCell ref="G12:G13"/>
    <mergeCell ref="M8:M9"/>
    <mergeCell ref="B10:B11"/>
    <mergeCell ref="D10:D11"/>
    <mergeCell ref="E10:E11"/>
    <mergeCell ref="F10:F11"/>
    <mergeCell ref="G10:G11"/>
    <mergeCell ref="H10:H11"/>
    <mergeCell ref="I10:I11"/>
    <mergeCell ref="J10:J11"/>
    <mergeCell ref="K10:K11"/>
    <mergeCell ref="L10:L11"/>
    <mergeCell ref="M10:M11"/>
    <mergeCell ref="H8:H9"/>
    <mergeCell ref="I8:I9"/>
    <mergeCell ref="J8:J9"/>
    <mergeCell ref="K8:K9"/>
    <mergeCell ref="L8:L9"/>
    <mergeCell ref="B8:B9"/>
    <mergeCell ref="D8:D9"/>
    <mergeCell ref="E8:E9"/>
    <mergeCell ref="F8:F9"/>
    <mergeCell ref="G8:G9"/>
    <mergeCell ref="B4:M4"/>
    <mergeCell ref="B6:B7"/>
    <mergeCell ref="D6:D7"/>
    <mergeCell ref="E6:E7"/>
    <mergeCell ref="F6:F7"/>
    <mergeCell ref="G6:G7"/>
    <mergeCell ref="H6:H7"/>
    <mergeCell ref="I6:I7"/>
    <mergeCell ref="J6:J7"/>
    <mergeCell ref="K6:K7"/>
    <mergeCell ref="L6:L7"/>
    <mergeCell ref="M6:M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opLeftCell="H13" workbookViewId="0">
      <selection activeCell="D3" sqref="D3"/>
    </sheetView>
  </sheetViews>
  <sheetFormatPr defaultRowHeight="15.75" x14ac:dyDescent="0.25"/>
  <cols>
    <col min="1" max="1" width="4.42578125" style="21" customWidth="1"/>
    <col min="2" max="2" width="40.5703125" style="21" customWidth="1"/>
    <col min="3" max="3" width="48.85546875" style="21" customWidth="1"/>
    <col min="4" max="4" width="21.28515625" style="21" customWidth="1"/>
    <col min="5" max="5" width="20.7109375" style="21" customWidth="1"/>
    <col min="6" max="6" width="17.5703125" style="21" customWidth="1"/>
    <col min="7" max="7" width="20.42578125" style="21" customWidth="1"/>
    <col min="8" max="8" width="20.28515625" style="21" customWidth="1"/>
    <col min="9" max="9" width="19" style="21" customWidth="1"/>
    <col min="10" max="10" width="17" style="21" customWidth="1"/>
    <col min="11" max="11" width="36" style="21" customWidth="1"/>
    <col min="12" max="12" width="18.42578125" style="21" customWidth="1"/>
    <col min="13" max="13" width="21.85546875" style="21" customWidth="1"/>
    <col min="14" max="14" width="21.28515625" style="21" customWidth="1"/>
    <col min="15" max="15" width="21.7109375" style="60" customWidth="1"/>
    <col min="16" max="16" width="22.140625" style="21" customWidth="1"/>
    <col min="17" max="16384" width="9.140625" style="21"/>
  </cols>
  <sheetData>
    <row r="1" spans="1:16" ht="31.5" x14ac:dyDescent="0.25">
      <c r="C1" s="22"/>
      <c r="D1" s="23" t="s">
        <v>8</v>
      </c>
      <c r="E1" s="24" t="s">
        <v>0</v>
      </c>
      <c r="F1" s="25"/>
      <c r="G1" s="25"/>
      <c r="H1" s="26"/>
      <c r="I1" s="26"/>
    </row>
    <row r="2" spans="1:16" x14ac:dyDescent="0.25">
      <c r="C2" s="93" t="s">
        <v>197</v>
      </c>
      <c r="D2" s="28">
        <v>900000</v>
      </c>
      <c r="E2" s="16">
        <f>D2/100000</f>
        <v>9</v>
      </c>
      <c r="F2" s="10"/>
      <c r="G2" s="10"/>
      <c r="I2" s="26"/>
    </row>
    <row r="3" spans="1:16" x14ac:dyDescent="0.25">
      <c r="C3" s="29"/>
      <c r="D3" s="30"/>
      <c r="E3" s="18"/>
      <c r="F3" s="10"/>
      <c r="G3" s="10"/>
    </row>
    <row r="4" spans="1:16" s="31" customFormat="1" ht="122.25" customHeight="1" x14ac:dyDescent="0.25">
      <c r="A4" s="31" t="s">
        <v>10</v>
      </c>
      <c r="B4" s="32" t="s">
        <v>11</v>
      </c>
      <c r="C4" s="32" t="s">
        <v>26</v>
      </c>
      <c r="D4" s="33" t="s">
        <v>17</v>
      </c>
      <c r="E4" s="33" t="s">
        <v>56</v>
      </c>
      <c r="F4" s="33" t="s">
        <v>57</v>
      </c>
      <c r="G4" s="34" t="s">
        <v>5</v>
      </c>
      <c r="H4" s="34" t="s">
        <v>30</v>
      </c>
      <c r="I4" s="33" t="s">
        <v>18</v>
      </c>
      <c r="J4" s="34" t="s">
        <v>47</v>
      </c>
      <c r="K4" s="34" t="s">
        <v>19</v>
      </c>
      <c r="L4" s="34" t="s">
        <v>48</v>
      </c>
      <c r="M4" s="20" t="s">
        <v>49</v>
      </c>
      <c r="N4" s="20" t="s">
        <v>7</v>
      </c>
      <c r="O4" s="61" t="s">
        <v>45</v>
      </c>
      <c r="P4" s="35" t="s">
        <v>20</v>
      </c>
    </row>
    <row r="5" spans="1:16" ht="15" customHeight="1" x14ac:dyDescent="0.25">
      <c r="A5" s="36">
        <v>1</v>
      </c>
      <c r="B5" s="46" t="s">
        <v>2</v>
      </c>
      <c r="C5" s="37" t="s">
        <v>14</v>
      </c>
      <c r="D5" s="36">
        <v>7457.2</v>
      </c>
      <c r="E5" s="36"/>
      <c r="F5" s="38">
        <f>D5*E2</f>
        <v>67114.8</v>
      </c>
      <c r="G5" s="39">
        <v>0.6</v>
      </c>
      <c r="H5" s="39">
        <v>0.6</v>
      </c>
      <c r="I5" s="40">
        <v>22.5</v>
      </c>
      <c r="J5" s="40">
        <v>20</v>
      </c>
      <c r="K5" s="41">
        <f>I5/J5*365</f>
        <v>410.625</v>
      </c>
      <c r="L5" s="42">
        <v>0.23</v>
      </c>
      <c r="M5" s="43">
        <f t="shared" ref="M5:M20" si="0">G5*H5*K5*L5</f>
        <v>33.999749999999999</v>
      </c>
      <c r="N5" s="44">
        <f>F5*G5*H5</f>
        <v>24161.327999999998</v>
      </c>
      <c r="O5" s="62">
        <f>M5*N5</f>
        <v>821479.11166799988</v>
      </c>
      <c r="P5" s="45">
        <f t="shared" ref="P5:P20" si="1">N5*K5</f>
        <v>9921245.3099999987</v>
      </c>
    </row>
    <row r="6" spans="1:16" x14ac:dyDescent="0.25">
      <c r="A6" s="36"/>
      <c r="B6" s="46"/>
      <c r="C6" s="37" t="s">
        <v>13</v>
      </c>
      <c r="D6" s="36">
        <v>2007.8</v>
      </c>
      <c r="E6" s="36"/>
      <c r="F6" s="38">
        <f>D6*E2</f>
        <v>18070.2</v>
      </c>
      <c r="G6" s="39">
        <v>0.8</v>
      </c>
      <c r="H6" s="39">
        <v>0.6</v>
      </c>
      <c r="I6" s="40">
        <v>12.5</v>
      </c>
      <c r="J6" s="40">
        <v>10</v>
      </c>
      <c r="K6" s="41">
        <f>I6/J6*365</f>
        <v>456.25</v>
      </c>
      <c r="L6" s="40">
        <v>0.16</v>
      </c>
      <c r="M6" s="43">
        <f t="shared" si="0"/>
        <v>35.04</v>
      </c>
      <c r="N6" s="44">
        <f>F6*G6*H6</f>
        <v>8673.6959999999999</v>
      </c>
      <c r="O6" s="62">
        <f t="shared" ref="O6:O20" si="2">M6*N6</f>
        <v>303926.30783999996</v>
      </c>
      <c r="P6" s="45">
        <f t="shared" si="1"/>
        <v>3957373.8</v>
      </c>
    </row>
    <row r="7" spans="1:16" x14ac:dyDescent="0.25">
      <c r="A7" s="36">
        <v>2</v>
      </c>
      <c r="B7" s="46" t="s">
        <v>46</v>
      </c>
      <c r="C7" s="37" t="s">
        <v>14</v>
      </c>
      <c r="D7" s="36">
        <v>7457.2</v>
      </c>
      <c r="E7" s="36"/>
      <c r="F7" s="38">
        <f>D7*E2</f>
        <v>67114.8</v>
      </c>
      <c r="G7" s="39">
        <v>0.2</v>
      </c>
      <c r="H7" s="39">
        <v>0.6</v>
      </c>
      <c r="I7" s="40">
        <v>100</v>
      </c>
      <c r="J7" s="40">
        <v>100</v>
      </c>
      <c r="K7" s="41">
        <f>I7/J7*365</f>
        <v>365</v>
      </c>
      <c r="L7" s="42">
        <v>0.69</v>
      </c>
      <c r="M7" s="43">
        <f t="shared" si="0"/>
        <v>30.221999999999994</v>
      </c>
      <c r="N7" s="44">
        <f>F7*G7*H7</f>
        <v>8053.7759999999998</v>
      </c>
      <c r="O7" s="62">
        <f t="shared" si="2"/>
        <v>243401.21827199994</v>
      </c>
      <c r="P7" s="45">
        <f t="shared" si="1"/>
        <v>2939628.2399999998</v>
      </c>
    </row>
    <row r="8" spans="1:16" x14ac:dyDescent="0.25">
      <c r="A8" s="36">
        <v>3</v>
      </c>
      <c r="B8" s="46" t="s">
        <v>3</v>
      </c>
      <c r="C8" s="46" t="s">
        <v>14</v>
      </c>
      <c r="D8" s="36">
        <v>7457.2</v>
      </c>
      <c r="E8" s="36"/>
      <c r="F8" s="38">
        <f>D8*E2</f>
        <v>67114.8</v>
      </c>
      <c r="G8" s="39">
        <v>0.6</v>
      </c>
      <c r="H8" s="39">
        <v>0.6</v>
      </c>
      <c r="I8" s="40">
        <v>7.5</v>
      </c>
      <c r="J8" s="40">
        <v>5</v>
      </c>
      <c r="K8" s="41">
        <f>I8/J8*365</f>
        <v>547.5</v>
      </c>
      <c r="L8" s="40">
        <v>0.18</v>
      </c>
      <c r="M8" s="43">
        <f t="shared" si="0"/>
        <v>35.477999999999994</v>
      </c>
      <c r="N8" s="44">
        <f>F8*G8*H8</f>
        <v>24161.327999999998</v>
      </c>
      <c r="O8" s="62">
        <f t="shared" si="2"/>
        <v>857195.59478399984</v>
      </c>
      <c r="P8" s="45">
        <f t="shared" si="1"/>
        <v>13228327.079999998</v>
      </c>
    </row>
    <row r="9" spans="1:16" x14ac:dyDescent="0.25">
      <c r="A9" s="36">
        <v>4</v>
      </c>
      <c r="B9" s="46" t="s">
        <v>4</v>
      </c>
      <c r="C9" s="46" t="s">
        <v>13</v>
      </c>
      <c r="D9" s="36">
        <v>2007.8</v>
      </c>
      <c r="E9" s="36"/>
      <c r="F9" s="38">
        <f>D9*E2</f>
        <v>18070.2</v>
      </c>
      <c r="G9" s="39">
        <v>0.8</v>
      </c>
      <c r="H9" s="39">
        <v>0.6</v>
      </c>
      <c r="I9" s="40">
        <v>75</v>
      </c>
      <c r="J9" s="40">
        <v>100</v>
      </c>
      <c r="K9" s="41">
        <f t="shared" ref="K9:K20" si="3">I9/J9*365</f>
        <v>273.75</v>
      </c>
      <c r="L9" s="40">
        <v>0.17</v>
      </c>
      <c r="M9" s="43">
        <f t="shared" si="0"/>
        <v>22.338000000000001</v>
      </c>
      <c r="N9" s="44">
        <f>F9*G9*H9</f>
        <v>8673.6959999999999</v>
      </c>
      <c r="O9" s="62">
        <f t="shared" si="2"/>
        <v>193753.021248</v>
      </c>
      <c r="P9" s="45">
        <f t="shared" si="1"/>
        <v>2374424.2799999998</v>
      </c>
    </row>
    <row r="10" spans="1:16" x14ac:dyDescent="0.25">
      <c r="A10" s="36">
        <v>5</v>
      </c>
      <c r="B10" s="46" t="s">
        <v>41</v>
      </c>
      <c r="C10" s="46" t="s">
        <v>51</v>
      </c>
      <c r="D10" s="36"/>
      <c r="E10" s="36"/>
      <c r="F10" s="38">
        <v>4206</v>
      </c>
      <c r="G10" s="39">
        <v>0.9</v>
      </c>
      <c r="H10" s="39">
        <v>0.6</v>
      </c>
      <c r="I10" s="40">
        <v>300</v>
      </c>
      <c r="J10" s="40">
        <v>200</v>
      </c>
      <c r="K10" s="41">
        <f>I10/J10*(365-105)</f>
        <v>390</v>
      </c>
      <c r="L10" s="42">
        <f>11.36/30</f>
        <v>0.37866666666666665</v>
      </c>
      <c r="M10" s="43">
        <f t="shared" si="0"/>
        <v>79.747200000000007</v>
      </c>
      <c r="N10" s="44">
        <f t="shared" ref="N10:N20" si="4">F10*G10*H10</f>
        <v>2271.2399999999998</v>
      </c>
      <c r="O10" s="62">
        <f t="shared" si="2"/>
        <v>181125.030528</v>
      </c>
      <c r="P10" s="45">
        <f t="shared" si="1"/>
        <v>885783.59999999986</v>
      </c>
    </row>
    <row r="11" spans="1:16" x14ac:dyDescent="0.25">
      <c r="A11" s="36"/>
      <c r="B11" s="46"/>
      <c r="C11" s="46" t="s">
        <v>52</v>
      </c>
      <c r="D11" s="36"/>
      <c r="E11" s="36">
        <v>2300</v>
      </c>
      <c r="F11" s="38">
        <f>E11*E2</f>
        <v>20700</v>
      </c>
      <c r="G11" s="39">
        <v>0.4</v>
      </c>
      <c r="H11" s="39">
        <v>0.6</v>
      </c>
      <c r="I11" s="40">
        <v>300</v>
      </c>
      <c r="J11" s="40">
        <v>200</v>
      </c>
      <c r="K11" s="41">
        <f>I11/J11*(365-105)</f>
        <v>390</v>
      </c>
      <c r="L11" s="42">
        <f>11.36/30</f>
        <v>0.37866666666666665</v>
      </c>
      <c r="M11" s="43">
        <f t="shared" si="0"/>
        <v>35.443199999999997</v>
      </c>
      <c r="N11" s="44">
        <f t="shared" si="4"/>
        <v>4968</v>
      </c>
      <c r="O11" s="62">
        <f t="shared" si="2"/>
        <v>176081.81759999998</v>
      </c>
      <c r="P11" s="45">
        <f t="shared" si="1"/>
        <v>1937520</v>
      </c>
    </row>
    <row r="12" spans="1:16" x14ac:dyDescent="0.25">
      <c r="A12" s="36">
        <v>6</v>
      </c>
      <c r="B12" s="46" t="s">
        <v>38</v>
      </c>
      <c r="C12" s="46" t="s">
        <v>53</v>
      </c>
      <c r="D12" s="36"/>
      <c r="E12" s="36"/>
      <c r="F12" s="38">
        <v>4580</v>
      </c>
      <c r="G12" s="39">
        <v>0.4</v>
      </c>
      <c r="H12" s="39">
        <v>0.6</v>
      </c>
      <c r="I12" s="40">
        <v>40</v>
      </c>
      <c r="J12" s="40">
        <v>10</v>
      </c>
      <c r="K12" s="41">
        <f>I12/J12*120</f>
        <v>480</v>
      </c>
      <c r="L12" s="42">
        <f>0.81/25</f>
        <v>3.2400000000000005E-2</v>
      </c>
      <c r="M12" s="43">
        <f t="shared" si="0"/>
        <v>3.7324800000000002</v>
      </c>
      <c r="N12" s="44">
        <f t="shared" si="4"/>
        <v>1099.2</v>
      </c>
      <c r="O12" s="62">
        <f t="shared" si="2"/>
        <v>4102.7420160000001</v>
      </c>
      <c r="P12" s="45">
        <f t="shared" si="1"/>
        <v>527616</v>
      </c>
    </row>
    <row r="13" spans="1:16" x14ac:dyDescent="0.25">
      <c r="A13" s="36"/>
      <c r="B13" s="46"/>
      <c r="C13" s="37" t="s">
        <v>54</v>
      </c>
      <c r="D13" s="36"/>
      <c r="E13" s="36">
        <v>2450</v>
      </c>
      <c r="F13" s="38">
        <f>E13*E2</f>
        <v>22050</v>
      </c>
      <c r="G13" s="39">
        <v>0.1</v>
      </c>
      <c r="H13" s="39">
        <v>0.6</v>
      </c>
      <c r="I13" s="40">
        <v>20</v>
      </c>
      <c r="J13" s="40">
        <v>10</v>
      </c>
      <c r="K13" s="41">
        <f>I13/J13*365</f>
        <v>730</v>
      </c>
      <c r="L13" s="42">
        <f>0.81/25</f>
        <v>3.2400000000000005E-2</v>
      </c>
      <c r="M13" s="43">
        <f t="shared" si="0"/>
        <v>1.4191200000000002</v>
      </c>
      <c r="N13" s="44">
        <f t="shared" si="4"/>
        <v>1323</v>
      </c>
      <c r="O13" s="62">
        <f t="shared" si="2"/>
        <v>1877.4957600000002</v>
      </c>
      <c r="P13" s="45">
        <f t="shared" si="1"/>
        <v>965790</v>
      </c>
    </row>
    <row r="14" spans="1:16" x14ac:dyDescent="0.25">
      <c r="A14" s="36">
        <v>7</v>
      </c>
      <c r="B14" s="46" t="s">
        <v>36</v>
      </c>
      <c r="C14" s="37" t="s">
        <v>54</v>
      </c>
      <c r="D14" s="36"/>
      <c r="E14" s="36">
        <v>2450</v>
      </c>
      <c r="F14" s="38">
        <f>E14*E2</f>
        <v>22050</v>
      </c>
      <c r="G14" s="39">
        <v>0.8</v>
      </c>
      <c r="H14" s="39">
        <v>0.6</v>
      </c>
      <c r="I14" s="40">
        <v>50</v>
      </c>
      <c r="J14" s="40">
        <v>25</v>
      </c>
      <c r="K14" s="41">
        <f>I14/J14*365</f>
        <v>730</v>
      </c>
      <c r="L14" s="42">
        <f>5.5/20</f>
        <v>0.27500000000000002</v>
      </c>
      <c r="M14" s="43">
        <f t="shared" si="0"/>
        <v>96.36</v>
      </c>
      <c r="N14" s="44">
        <f t="shared" si="4"/>
        <v>10584</v>
      </c>
      <c r="O14" s="62">
        <f t="shared" si="2"/>
        <v>1019874.24</v>
      </c>
      <c r="P14" s="45">
        <f t="shared" si="1"/>
        <v>7726320</v>
      </c>
    </row>
    <row r="15" spans="1:16" x14ac:dyDescent="0.25">
      <c r="A15" s="36">
        <v>8</v>
      </c>
      <c r="B15" s="46" t="s">
        <v>37</v>
      </c>
      <c r="C15" s="37" t="s">
        <v>54</v>
      </c>
      <c r="D15" s="36"/>
      <c r="E15" s="36">
        <v>2450</v>
      </c>
      <c r="F15" s="38">
        <f>E15*E2</f>
        <v>22050</v>
      </c>
      <c r="G15" s="39">
        <v>0.9</v>
      </c>
      <c r="H15" s="39">
        <v>0.6</v>
      </c>
      <c r="I15" s="40">
        <v>80</v>
      </c>
      <c r="J15" s="40">
        <v>40</v>
      </c>
      <c r="K15" s="41">
        <f>I15/J15*156</f>
        <v>312</v>
      </c>
      <c r="L15" s="42">
        <v>0.04</v>
      </c>
      <c r="M15" s="43">
        <f t="shared" si="0"/>
        <v>6.7392000000000012</v>
      </c>
      <c r="N15" s="44">
        <f t="shared" si="4"/>
        <v>11907</v>
      </c>
      <c r="O15" s="62">
        <f t="shared" si="2"/>
        <v>80243.654400000014</v>
      </c>
      <c r="P15" s="45">
        <f t="shared" si="1"/>
        <v>3714984</v>
      </c>
    </row>
    <row r="16" spans="1:16" x14ac:dyDescent="0.25">
      <c r="A16" s="36">
        <v>9</v>
      </c>
      <c r="B16" s="46" t="s">
        <v>42</v>
      </c>
      <c r="C16" s="37" t="s">
        <v>54</v>
      </c>
      <c r="D16" s="36"/>
      <c r="E16" s="36">
        <v>2450</v>
      </c>
      <c r="F16" s="38">
        <f>E16*E2</f>
        <v>22050</v>
      </c>
      <c r="G16" s="39">
        <v>0.4</v>
      </c>
      <c r="H16" s="39">
        <v>0.6</v>
      </c>
      <c r="I16" s="40">
        <v>0.375</v>
      </c>
      <c r="J16" s="40">
        <v>0.25</v>
      </c>
      <c r="K16" s="41">
        <f>I16/J16*365/3</f>
        <v>182.5</v>
      </c>
      <c r="L16" s="42">
        <f>2.55/50</f>
        <v>5.0999999999999997E-2</v>
      </c>
      <c r="M16" s="43">
        <f t="shared" si="0"/>
        <v>2.2337999999999996</v>
      </c>
      <c r="N16" s="44">
        <f t="shared" si="4"/>
        <v>5292</v>
      </c>
      <c r="O16" s="62">
        <f t="shared" si="2"/>
        <v>11821.269599999998</v>
      </c>
      <c r="P16" s="45">
        <f t="shared" si="1"/>
        <v>965790</v>
      </c>
    </row>
    <row r="17" spans="1:16" x14ac:dyDescent="0.25">
      <c r="A17" s="36">
        <v>10</v>
      </c>
      <c r="B17" s="46" t="s">
        <v>39</v>
      </c>
      <c r="C17" s="46" t="s">
        <v>43</v>
      </c>
      <c r="D17" s="48"/>
      <c r="E17" s="48"/>
      <c r="F17" s="38">
        <v>2460</v>
      </c>
      <c r="G17" s="39">
        <v>0.9</v>
      </c>
      <c r="H17" s="39">
        <v>0.6</v>
      </c>
      <c r="I17" s="40">
        <v>75</v>
      </c>
      <c r="J17" s="40">
        <v>75</v>
      </c>
      <c r="K17" s="41">
        <f>I17/J17*365</f>
        <v>365</v>
      </c>
      <c r="L17" s="42">
        <f>21.95/28</f>
        <v>0.78392857142857142</v>
      </c>
      <c r="M17" s="43">
        <f t="shared" si="0"/>
        <v>154.51232142857145</v>
      </c>
      <c r="N17" s="44">
        <f t="shared" si="4"/>
        <v>1328.3999999999999</v>
      </c>
      <c r="O17" s="62">
        <f t="shared" si="2"/>
        <v>205254.16778571429</v>
      </c>
      <c r="P17" s="45">
        <f t="shared" si="1"/>
        <v>484865.99999999994</v>
      </c>
    </row>
    <row r="18" spans="1:16" ht="18" x14ac:dyDescent="0.25">
      <c r="A18" s="36">
        <v>11</v>
      </c>
      <c r="B18" s="46" t="s">
        <v>40</v>
      </c>
      <c r="C18" s="46" t="s">
        <v>55</v>
      </c>
      <c r="D18" s="48"/>
      <c r="E18" s="38">
        <v>2300</v>
      </c>
      <c r="F18" s="38">
        <f>E18*E2</f>
        <v>20700</v>
      </c>
      <c r="G18" s="39">
        <v>0.9</v>
      </c>
      <c r="H18" s="39">
        <v>0.6</v>
      </c>
      <c r="I18" s="40">
        <v>5</v>
      </c>
      <c r="J18" s="40">
        <v>2.5</v>
      </c>
      <c r="K18" s="41">
        <f>I18/J18*365</f>
        <v>730</v>
      </c>
      <c r="L18" s="42">
        <f>5.1/50</f>
        <v>0.10199999999999999</v>
      </c>
      <c r="M18" s="43">
        <f t="shared" si="0"/>
        <v>40.208400000000005</v>
      </c>
      <c r="N18" s="44">
        <f t="shared" si="4"/>
        <v>11178</v>
      </c>
      <c r="O18" s="62">
        <f t="shared" si="2"/>
        <v>449449.49520000006</v>
      </c>
      <c r="P18" s="45">
        <f t="shared" si="1"/>
        <v>8159940</v>
      </c>
    </row>
    <row r="19" spans="1:16" x14ac:dyDescent="0.25">
      <c r="A19" s="36">
        <v>12</v>
      </c>
      <c r="B19" s="46" t="s">
        <v>9</v>
      </c>
      <c r="C19" s="46" t="s">
        <v>15</v>
      </c>
      <c r="D19" s="36">
        <v>2007.8</v>
      </c>
      <c r="E19" s="36"/>
      <c r="F19" s="38">
        <f>D19*E2</f>
        <v>18070.2</v>
      </c>
      <c r="G19" s="39">
        <v>0.8</v>
      </c>
      <c r="H19" s="39">
        <v>0.6</v>
      </c>
      <c r="I19" s="49">
        <v>20</v>
      </c>
      <c r="J19" s="49">
        <v>20</v>
      </c>
      <c r="K19" s="50">
        <f t="shared" si="3"/>
        <v>365</v>
      </c>
      <c r="L19" s="47">
        <v>0.48</v>
      </c>
      <c r="M19" s="43">
        <f t="shared" si="0"/>
        <v>84.095999999999989</v>
      </c>
      <c r="N19" s="44">
        <f t="shared" si="4"/>
        <v>8673.6959999999999</v>
      </c>
      <c r="O19" s="62">
        <f t="shared" si="2"/>
        <v>729423.13881599985</v>
      </c>
      <c r="P19" s="45">
        <f t="shared" si="1"/>
        <v>3165899.04</v>
      </c>
    </row>
    <row r="20" spans="1:16" x14ac:dyDescent="0.25">
      <c r="A20" s="36"/>
      <c r="B20" s="37"/>
      <c r="C20" s="46" t="s">
        <v>16</v>
      </c>
      <c r="D20" s="48">
        <v>385</v>
      </c>
      <c r="E20" s="48"/>
      <c r="F20" s="38">
        <f>D20*E2</f>
        <v>3465</v>
      </c>
      <c r="G20" s="39">
        <v>0.8</v>
      </c>
      <c r="H20" s="39">
        <v>0.6</v>
      </c>
      <c r="I20" s="49">
        <v>20</v>
      </c>
      <c r="J20" s="49">
        <v>20</v>
      </c>
      <c r="K20" s="50">
        <f t="shared" si="3"/>
        <v>365</v>
      </c>
      <c r="L20" s="40">
        <v>0.48</v>
      </c>
      <c r="M20" s="43">
        <f t="shared" si="0"/>
        <v>84.095999999999989</v>
      </c>
      <c r="N20" s="44">
        <f t="shared" si="4"/>
        <v>1663.2</v>
      </c>
      <c r="O20" s="62">
        <f t="shared" si="2"/>
        <v>139868.46719999998</v>
      </c>
      <c r="P20" s="45">
        <f t="shared" si="1"/>
        <v>607068</v>
      </c>
    </row>
    <row r="21" spans="1:16" x14ac:dyDescent="0.25">
      <c r="A21" s="51"/>
      <c r="B21" s="21" t="s">
        <v>22</v>
      </c>
      <c r="N21" s="52"/>
      <c r="O21" s="63">
        <f>SUM(O5:O20)</f>
        <v>5418876.7727177134</v>
      </c>
    </row>
    <row r="22" spans="1:16" x14ac:dyDescent="0.25">
      <c r="C22" s="53"/>
    </row>
    <row r="24" spans="1:16" ht="30.75" customHeight="1" x14ac:dyDescent="0.25">
      <c r="C24" s="54" t="s">
        <v>21</v>
      </c>
      <c r="D24" s="166" t="s">
        <v>23</v>
      </c>
      <c r="E24" s="166"/>
      <c r="F24" s="166"/>
      <c r="G24" s="166"/>
      <c r="H24" s="166"/>
      <c r="I24" s="166"/>
      <c r="J24" s="166"/>
      <c r="K24" s="166"/>
      <c r="L24" s="166"/>
    </row>
    <row r="25" spans="1:16" ht="60.75" customHeight="1" x14ac:dyDescent="0.25">
      <c r="C25" s="55" t="s">
        <v>24</v>
      </c>
      <c r="D25" s="167" t="s">
        <v>58</v>
      </c>
      <c r="E25" s="167"/>
      <c r="F25" s="167"/>
      <c r="G25" s="167"/>
      <c r="H25" s="167"/>
      <c r="I25" s="167"/>
      <c r="J25" s="167"/>
      <c r="K25" s="167"/>
      <c r="L25" s="167"/>
    </row>
    <row r="26" spans="1:16" ht="30" customHeight="1" x14ac:dyDescent="0.25">
      <c r="C26" s="55" t="s">
        <v>25</v>
      </c>
      <c r="D26" s="168" t="s">
        <v>28</v>
      </c>
      <c r="E26" s="168"/>
      <c r="F26" s="168"/>
      <c r="G26" s="168"/>
      <c r="H26" s="168"/>
      <c r="I26" s="168"/>
      <c r="J26" s="168"/>
      <c r="K26" s="168"/>
      <c r="L26" s="168"/>
    </row>
    <row r="27" spans="1:16" ht="32.25" customHeight="1" x14ac:dyDescent="0.25">
      <c r="C27" s="54" t="s">
        <v>27</v>
      </c>
      <c r="D27" s="165" t="s">
        <v>59</v>
      </c>
      <c r="E27" s="165"/>
      <c r="F27" s="165"/>
      <c r="G27" s="165"/>
      <c r="H27" s="165"/>
      <c r="I27" s="165"/>
      <c r="J27" s="165"/>
      <c r="K27" s="165"/>
      <c r="L27" s="165"/>
    </row>
    <row r="28" spans="1:16" ht="84.75" customHeight="1" x14ac:dyDescent="0.25">
      <c r="C28" s="54" t="s">
        <v>6</v>
      </c>
      <c r="D28" s="165" t="s">
        <v>29</v>
      </c>
      <c r="E28" s="165"/>
      <c r="F28" s="165"/>
      <c r="G28" s="165"/>
      <c r="H28" s="165"/>
      <c r="I28" s="165"/>
      <c r="J28" s="165"/>
      <c r="K28" s="165"/>
      <c r="L28" s="165"/>
    </row>
    <row r="29" spans="1:16" ht="54" customHeight="1" x14ac:dyDescent="0.25">
      <c r="C29" s="54" t="s">
        <v>31</v>
      </c>
      <c r="D29" s="165" t="s">
        <v>32</v>
      </c>
      <c r="E29" s="165"/>
      <c r="F29" s="165"/>
      <c r="G29" s="165"/>
      <c r="H29" s="165"/>
      <c r="I29" s="165"/>
      <c r="J29" s="165"/>
      <c r="K29" s="165"/>
      <c r="L29" s="165"/>
    </row>
    <row r="30" spans="1:16" ht="30.75" customHeight="1" x14ac:dyDescent="0.25">
      <c r="C30" s="54" t="s">
        <v>1</v>
      </c>
      <c r="D30" s="165" t="s">
        <v>33</v>
      </c>
      <c r="E30" s="165"/>
      <c r="F30" s="165"/>
      <c r="G30" s="165"/>
      <c r="H30" s="165"/>
      <c r="I30" s="165"/>
      <c r="J30" s="165"/>
      <c r="K30" s="165"/>
      <c r="L30" s="165"/>
    </row>
    <row r="31" spans="1:16" ht="31.5" x14ac:dyDescent="0.25">
      <c r="C31" s="57" t="s">
        <v>34</v>
      </c>
      <c r="D31" s="165" t="s">
        <v>35</v>
      </c>
      <c r="E31" s="165"/>
      <c r="F31" s="165"/>
      <c r="G31" s="165"/>
      <c r="H31" s="165"/>
      <c r="I31" s="165"/>
      <c r="J31" s="165"/>
      <c r="K31" s="165"/>
      <c r="L31" s="165"/>
    </row>
  </sheetData>
  <mergeCells count="8">
    <mergeCell ref="D30:L30"/>
    <mergeCell ref="D31:L31"/>
    <mergeCell ref="D24:L24"/>
    <mergeCell ref="D25:L25"/>
    <mergeCell ref="D26:L26"/>
    <mergeCell ref="D27:L27"/>
    <mergeCell ref="D28:L28"/>
    <mergeCell ref="D29:L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სულ ბიუჯეტი</vt:lpstr>
      <vt:lpstr>2017-გულ-სისხლძარღვთა</vt:lpstr>
      <vt:lpstr>2017-დიაბეტი</vt:lpstr>
      <vt:lpstr>2017-ფარისებრი</vt:lpstr>
      <vt:lpstr>2017-ფილტვი-პრევალენტობ</vt:lpstr>
      <vt:lpstr>2017-ფილტვი-მედიკამენტ</vt:lpstr>
      <vt:lpstr>2017-ფქოდი-ბიუჯეტი</vt:lpstr>
      <vt:lpstr>2017-ასთმა-ბიუჯეტი</vt:lpstr>
      <vt:lpstr>2018-გულ-სისხლძარღვთ</vt:lpstr>
      <vt:lpstr>2018-დიაბეტი</vt:lpstr>
      <vt:lpstr>2018-ფარისებრი</vt:lpstr>
      <vt:lpstr>2018-ფილტვი-1</vt:lpstr>
      <vt:lpstr>2018-ფილტვი-2</vt:lpstr>
      <vt:lpstr>2018-ფილტვი-3</vt:lpstr>
      <vt:lpstr>2018-ფილტვი-4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2019-03-19T11:31:14Z</dcterms:modified>
</cp:coreProperties>
</file>