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tgabunia\Desktop\CORONAVIRUS\Donor Matrixs\"/>
    </mc:Choice>
  </mc:AlternateContent>
  <bookViews>
    <workbookView xWindow="0" yWindow="0" windowWidth="20490" windowHeight="7650"/>
  </bookViews>
  <sheets>
    <sheet name="Summary Sheet" sheetId="7" r:id="rId1"/>
    <sheet name="Servicecosts" sheetId="8" r:id="rId2"/>
    <sheet name="PPEs" sheetId="6" r:id="rId3"/>
    <sheet name="Lugar - testing" sheetId="1" r:id="rId4"/>
    <sheet name="PPE - reg.labs" sheetId="2" r:id="rId5"/>
    <sheet name="Testing - reg.labs" sheetId="3" r:id="rId6"/>
    <sheet name="Abkhazia - labs" sheetId="4" r:id="rId7"/>
    <sheet name="Abkhazia - PPE" sheetId="5"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4" i="7" l="1"/>
  <c r="G9" i="7"/>
  <c r="G10" i="7"/>
  <c r="G11" i="7"/>
  <c r="E19" i="7"/>
  <c r="H19" i="7"/>
  <c r="G19" i="7" s="1"/>
  <c r="H20" i="7"/>
  <c r="H21" i="7"/>
  <c r="H22" i="7"/>
  <c r="G22" i="7" s="1"/>
  <c r="H23" i="7"/>
  <c r="H25" i="7"/>
  <c r="H3" i="7"/>
  <c r="H8" i="7"/>
  <c r="H12" i="7"/>
  <c r="H16" i="7"/>
  <c r="H26" i="7"/>
  <c r="G26" i="7" s="1"/>
  <c r="H27" i="7"/>
  <c r="H28" i="7"/>
  <c r="H29" i="7"/>
  <c r="G29" i="7" s="1"/>
  <c r="G13" i="7"/>
  <c r="G14" i="7"/>
  <c r="G17" i="7"/>
  <c r="G25" i="7"/>
  <c r="C24" i="7"/>
  <c r="G15" i="7"/>
  <c r="G20" i="7"/>
  <c r="G23" i="7"/>
  <c r="C16" i="8"/>
  <c r="F16" i="8" s="1"/>
  <c r="G16" i="8" s="1"/>
  <c r="C15" i="8"/>
  <c r="C14" i="8"/>
  <c r="E29" i="7"/>
  <c r="G12" i="8"/>
  <c r="F15" i="8"/>
  <c r="G15" i="8" s="1"/>
  <c r="F14" i="8"/>
  <c r="G14" i="8" s="1"/>
  <c r="C18" i="8"/>
  <c r="F18" i="8" s="1"/>
  <c r="G18" i="8" s="1"/>
  <c r="C17" i="8"/>
  <c r="F17" i="8" s="1"/>
  <c r="G17" i="8" s="1"/>
  <c r="E22" i="7"/>
  <c r="E23" i="7"/>
  <c r="E25" i="7"/>
  <c r="E26" i="7"/>
  <c r="B4" i="7"/>
  <c r="G20" i="8" l="1"/>
  <c r="C28" i="7" s="1"/>
  <c r="G28" i="7" s="1"/>
  <c r="C16" i="7"/>
  <c r="G16" i="7" s="1"/>
  <c r="H10" i="8"/>
  <c r="C27" i="7" l="1"/>
  <c r="G27" i="7" s="1"/>
  <c r="E28" i="7"/>
  <c r="D25" i="6"/>
  <c r="D24" i="6"/>
  <c r="D23" i="6"/>
  <c r="D22" i="6"/>
  <c r="D21" i="6"/>
  <c r="D20" i="6" l="1"/>
  <c r="D19" i="6"/>
  <c r="D17" i="6"/>
  <c r="J33" i="6" s="1"/>
  <c r="C4" i="7" s="1"/>
  <c r="E4" i="7" l="1"/>
  <c r="G4" i="7"/>
  <c r="F32" i="1"/>
  <c r="F7" i="2"/>
  <c r="F8" i="2"/>
  <c r="F9" i="2"/>
  <c r="F10" i="2"/>
  <c r="F11" i="2"/>
  <c r="F12" i="2"/>
  <c r="F13" i="2"/>
  <c r="F14" i="2"/>
  <c r="F15" i="2"/>
  <c r="F16" i="2"/>
  <c r="F17" i="2"/>
  <c r="F18" i="2"/>
  <c r="F19" i="2"/>
  <c r="F20" i="2"/>
  <c r="F21" i="2"/>
  <c r="F22" i="2"/>
  <c r="F23" i="2"/>
  <c r="F24" i="2"/>
  <c r="F25" i="2"/>
  <c r="F26" i="2"/>
  <c r="F27" i="2"/>
  <c r="F5" i="3"/>
  <c r="F6" i="3"/>
  <c r="F7" i="3"/>
  <c r="F22" i="3" s="1"/>
  <c r="F8" i="3"/>
  <c r="F9" i="3"/>
  <c r="F10" i="3"/>
  <c r="F11" i="3"/>
  <c r="F12" i="3"/>
  <c r="F13" i="3"/>
  <c r="F14" i="3"/>
  <c r="F15" i="3"/>
  <c r="F16" i="3"/>
  <c r="F17" i="3"/>
  <c r="F18" i="3"/>
  <c r="F19" i="3"/>
  <c r="F20" i="3"/>
  <c r="F6" i="4"/>
  <c r="F7" i="4"/>
  <c r="F8" i="4"/>
  <c r="F23" i="4" s="1"/>
  <c r="F9" i="4"/>
  <c r="F10" i="4"/>
  <c r="F11" i="4"/>
  <c r="F12" i="4"/>
  <c r="F13" i="4"/>
  <c r="F14" i="4"/>
  <c r="F15" i="4"/>
  <c r="F16" i="4"/>
  <c r="F17" i="4"/>
  <c r="F18" i="4"/>
  <c r="F19" i="4"/>
  <c r="F20" i="4"/>
  <c r="F21" i="4"/>
  <c r="D18" i="6"/>
  <c r="D26" i="6"/>
  <c r="D27" i="6"/>
  <c r="D29" i="6"/>
  <c r="D30" i="6"/>
  <c r="D31" i="6"/>
  <c r="D32" i="6"/>
  <c r="D34" i="6"/>
  <c r="F18" i="6"/>
  <c r="F26" i="6"/>
  <c r="F27" i="6"/>
  <c r="F29" i="6"/>
  <c r="F30" i="6"/>
  <c r="F31" i="6"/>
  <c r="F32" i="6"/>
  <c r="F33" i="6"/>
  <c r="F34" i="6"/>
  <c r="D5" i="6"/>
  <c r="D6" i="6"/>
  <c r="D7" i="6"/>
  <c r="D8" i="6"/>
  <c r="D9" i="6"/>
  <c r="D10" i="6"/>
  <c r="D11" i="6"/>
  <c r="D12" i="6"/>
  <c r="D13" i="6"/>
  <c r="D14" i="6"/>
  <c r="D15" i="6"/>
  <c r="D16" i="6"/>
  <c r="D28" i="6"/>
  <c r="F5" i="6"/>
  <c r="F6" i="6"/>
  <c r="F7" i="6"/>
  <c r="F8" i="6"/>
  <c r="F9" i="6"/>
  <c r="F10" i="6"/>
  <c r="F11" i="6"/>
  <c r="F12" i="6"/>
  <c r="F13" i="6"/>
  <c r="F14" i="6"/>
  <c r="F15" i="6"/>
  <c r="F16" i="6"/>
  <c r="F28" i="6"/>
  <c r="C12" i="7"/>
  <c r="G12" i="7" s="1"/>
  <c r="C18" i="7"/>
  <c r="C21" i="7"/>
  <c r="H2" i="7"/>
  <c r="C8" i="7"/>
  <c r="G8" i="7" s="1"/>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I5" i="5"/>
  <c r="H27" i="2"/>
  <c r="H26" i="2"/>
  <c r="H25" i="2"/>
  <c r="H24" i="2"/>
  <c r="H23" i="2"/>
  <c r="H22" i="2"/>
  <c r="H21" i="2"/>
  <c r="H20" i="2"/>
  <c r="H19" i="2"/>
  <c r="H18" i="2"/>
  <c r="H17" i="2"/>
  <c r="H16" i="2"/>
  <c r="H15" i="2"/>
  <c r="H14" i="2"/>
  <c r="H13" i="2"/>
  <c r="H12" i="2"/>
  <c r="H11" i="2"/>
  <c r="H10" i="2"/>
  <c r="H9" i="2"/>
  <c r="H8" i="2"/>
  <c r="H5" i="2" s="1"/>
  <c r="H7" i="2"/>
  <c r="I5" i="2"/>
  <c r="J31" i="6" l="1"/>
  <c r="H5" i="5"/>
  <c r="F29" i="2"/>
  <c r="C5" i="7" s="1"/>
  <c r="G5" i="7" s="1"/>
  <c r="F29" i="5"/>
  <c r="C7" i="7"/>
  <c r="G7" i="7" s="1"/>
  <c r="J32" i="6"/>
  <c r="K32" i="6"/>
  <c r="E8" i="7"/>
  <c r="E12" i="7"/>
  <c r="E16" i="7"/>
  <c r="K31" i="6"/>
  <c r="C3" i="7" s="1"/>
  <c r="G3" i="7" s="1"/>
  <c r="F36" i="6"/>
  <c r="D36" i="6"/>
  <c r="F38" i="6" s="1"/>
  <c r="E5" i="7" l="1"/>
  <c r="J34" i="6"/>
  <c r="E3" i="7"/>
  <c r="C2" i="7"/>
  <c r="G2" i="7" s="1"/>
  <c r="G31" i="7" l="1"/>
  <c r="E2" i="7"/>
  <c r="E31" i="7" s="1"/>
  <c r="D31" i="7" s="1"/>
</calcChain>
</file>

<file path=xl/sharedStrings.xml><?xml version="1.0" encoding="utf-8"?>
<sst xmlns="http://schemas.openxmlformats.org/spreadsheetml/2006/main" count="363" uniqueCount="258">
  <si>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</si>
  <si>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</si>
  <si>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</si>
  <si>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</si>
  <si>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</si>
  <si>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</si>
  <si>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</si>
  <si>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</si>
  <si>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</si>
  <si>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</si>
  <si>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</si>
  <si>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</si>
  <si>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</si>
  <si>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</si>
  <si>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</si>
  <si>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</si>
  <si>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</si>
  <si>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</si>
  <si>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</si>
  <si>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</si>
  <si>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</si>
  <si>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</si>
  <si>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</si>
  <si>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</si>
  <si>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</si>
  <si>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</si>
  <si>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</si>
  <si>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</si>
  <si>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</si>
  <si>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</si>
  <si>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</si>
  <si>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</si>
  <si>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</si>
  <si>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</si>
  <si>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</si>
  <si>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</si>
  <si>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</si>
  <si>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</si>
  <si>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</si>
  <si>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</si>
  <si>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</si>
  <si>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</si>
  <si>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</si>
  <si>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</si>
  <si>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</si>
  <si>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</si>
  <si>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</si>
  <si>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</si>
  <si>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</si>
  <si>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</si>
  <si>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</si>
  <si>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</si>
  <si>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</si>
  <si>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</si>
  <si>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</si>
  <si>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</si>
  <si>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</si>
  <si>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</si>
  <si>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</si>
  <si>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</si>
  <si>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</si>
  <si>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</si>
  <si>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</si>
  <si>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</si>
  <si>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</si>
  <si>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</si>
  <si>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</si>
  <si>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</si>
  <si>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</si>
  <si>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</si>
  <si>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</si>
  <si>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</si>
  <si>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</si>
  <si>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</si>
  <si>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</si>
  <si>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</si>
  <si>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</si>
  <si>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</si>
  <si>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</si>
  <si>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</si>
  <si>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</si>
  <si>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</si>
  <si>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</si>
  <si>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</si>
  <si>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</si>
  <si>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</si>
  <si>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</si>
  <si>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</si>
  <si>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</si>
  <si>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</si>
  <si>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</si>
  <si>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</si>
  <si>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</si>
  <si>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</si>
  <si>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</si>
  <si>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</si>
  <si>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</si>
  <si>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</si>
  <si>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</si>
  <si>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</si>
  <si>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</si>
  <si>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</si>
  <si>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</si>
  <si>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</si>
  <si>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</si>
  <si>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</si>
  <si>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</si>
  <si>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</si>
  <si>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</si>
  <si>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</si>
  <si>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</si>
  <si>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</si>
  <si>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</si>
  <si>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</si>
  <si>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</si>
  <si>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</si>
  <si>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</si>
  <si>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</si>
  <si>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</si>
  <si>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</si>
  <si>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</si>
  <si>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</si>
  <si>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</si>
  <si>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</si>
  <si>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</si>
  <si>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</si>
  <si>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</si>
  <si>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</si>
  <si>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</si>
  <si>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</si>
  <si>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</si>
  <si>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</si>
  <si>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</si>
  <si>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</si>
  <si>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</si>
  <si>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</si>
  <si>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</si>
  <si>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</si>
  <si>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</si>
  <si>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</si>
  <si>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</si>
  <si>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</si>
  <si>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</si>
  <si>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</si>
  <si>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</si>
  <si>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</si>
  <si>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</si>
  <si>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</si>
  <si>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</si>
  <si>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</si>
  <si>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</si>
  <si>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</si>
  <si>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</si>
  <si>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</si>
  <si>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</si>
  <si>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</si>
  <si>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</si>
  <si>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</si>
  <si>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</si>
  <si>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</si>
  <si>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</si>
  <si>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</si>
  <si>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</si>
  <si>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</si>
  <si>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</si>
  <si>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</si>
  <si>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</si>
  <si>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</si>
  <si>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</si>
  <si>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</si>
  <si>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</si>
  <si>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</si>
  <si>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</si>
  <si>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</si>
  <si>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</si>
  <si>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</si>
  <si>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</si>
  <si>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</si>
  <si>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</si>
  <si>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</si>
  <si>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</si>
  <si>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</si>
  <si>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</si>
  <si>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</si>
  <si>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</si>
  <si>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</si>
  <si>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</si>
  <si>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</si>
  <si>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</si>
  <si>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</si>
  <si>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</si>
  <si>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</si>
  <si>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</si>
  <si>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</si>
  <si>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</si>
  <si>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</si>
  <si>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</si>
  <si>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</si>
  <si>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</si>
  <si>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</si>
  <si>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</si>
  <si>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</si>
  <si>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</si>
  <si>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</si>
  <si>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</si>
  <si>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</si>
  <si>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</si>
  <si>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</si>
  <si>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</si>
  <si>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</si>
  <si>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</si>
  <si>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</si>
  <si>
    <t>COVID კლინიკების კომპენსაცია</t>
  </si>
  <si>
    <t>COVID შემთხვევების მართვა</t>
  </si>
  <si>
    <t>რუხის კლინიკის სრული აღჭურვა</t>
  </si>
  <si>
    <t>ბათუმის რესპუბლიკური საავადმყოფოს აღჭურვა</t>
  </si>
  <si>
    <t>ინფექციური საავადმყოფოს შენობის შესყიდვა</t>
  </si>
  <si>
    <t>ამბულატორიების აღჭურვა(პიველადი ჯანდაცვა)</t>
  </si>
  <si>
    <t>3 თვეზე გათვლით.</t>
  </si>
  <si>
    <t>6000 შემთხვევაზე</t>
  </si>
  <si>
    <t>ინფექციური საავადმყოფოს აღჭურვა/რემონტი</t>
  </si>
  <si>
    <t>Emergency/Ambulance service equipment</t>
  </si>
  <si>
    <t>See PPE sheet in red font</t>
  </si>
  <si>
    <t xml:space="preserve">SERVICE COSTS </t>
  </si>
  <si>
    <t xml:space="preserve">Equipment for village ambulatories </t>
  </si>
  <si>
    <t xml:space="preserve">Basic equipment </t>
  </si>
  <si>
    <t xml:space="preserve">Telemedicine equipment </t>
  </si>
  <si>
    <t>Compansation for hospitals after transforming them into COVID19</t>
  </si>
  <si>
    <t>Clinical Management of COVID cases</t>
  </si>
  <si>
    <t xml:space="preserve">This is estimated case based service costs for 5000 cases to be treated in hospital wards and emergency units </t>
  </si>
  <si>
    <t xml:space="preserve">Central Rebuplican Hospital </t>
  </si>
  <si>
    <t>COVID and FEVER CLINICS</t>
  </si>
  <si>
    <t>Stage 1 - 1050 Beds</t>
  </si>
  <si>
    <t>Stage 2 - 2000 Beds</t>
  </si>
  <si>
    <t>Stage 3- 4040 Beds</t>
  </si>
  <si>
    <t>Per month in GEL</t>
  </si>
  <si>
    <t>Months</t>
  </si>
  <si>
    <t>in March and April</t>
  </si>
  <si>
    <t>2 weeks in May</t>
  </si>
  <si>
    <t xml:space="preserve">May-September </t>
  </si>
  <si>
    <t>Maintanance and Recovary phase</t>
  </si>
  <si>
    <t>October November</t>
  </si>
  <si>
    <t>December</t>
  </si>
  <si>
    <t>TOTAL in GEL</t>
  </si>
  <si>
    <t>TOTAL in USD</t>
  </si>
  <si>
    <t>SERVICE Costs (Compensation for Clinics)</t>
  </si>
  <si>
    <t>Based on GoG decision selected hospitals (29) will be fully converted into COVID19 and 16 hospitals into fever clinics- compensation should be provided to cover direct and indirect costs related to hospital infrastructure maintenance and salaries for staff within the COVID 19 program- See service costs sheet for details</t>
  </si>
  <si>
    <t>ESTIMATED NEEDS in 2020</t>
  </si>
  <si>
    <t>Estimated needs in 2021</t>
  </si>
  <si>
    <t>1 USD=3,1 GEL</t>
  </si>
  <si>
    <t>Potential Funding sources</t>
  </si>
  <si>
    <t xml:space="preserve">World Bank </t>
  </si>
  <si>
    <t>USAID/WHO</t>
  </si>
  <si>
    <t>Unmet needs</t>
  </si>
  <si>
    <t>European Commission</t>
  </si>
  <si>
    <t xml:space="preserve">None identified </t>
  </si>
  <si>
    <t>Strenghtening testing infrustructure</t>
  </si>
  <si>
    <t>Procuring COBAS6800 for automated PRC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</si>
</sst>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4" formatCode="_(&quot;$&quot;* #,##0.00_);_(&quot;$&quot;* \(#,##0.00\);_(&quot;$&quot;* &quot;-&quot;??_);_(@_)"/>
    <numFmt numFmtId="43" formatCode="_(* #,##0.00_);_(* \(#,##0.00\);_(* &quot;-&quot;??_);_(@_)"/>
    <numFmt numFmtId="164" formatCode="_-* #,##0.00\ _₾_-;\-* #,##0.00\ _₾_-;_-* &quot;-&quot;??\ _₾_-;_-@_-"/>
    <numFmt numFmtId="165" formatCode="#,##0.000"/>
    <numFmt numFmtId="166" formatCode="#,##0.00000"/>
    <numFmt numFmtId="167" formatCode="0.00000"/>
    <numFmt numFmtId="168" formatCode="_(&quot;$&quot;* #,##0_);_(&quot;$&quot;* \(#,##0\);_(&quot;$&quot;* &quot;-&quot;??_);_(@_)"/>
    <numFmt numFmtId="169" formatCode="_(* #,##0_);_(* \(#,##0\);_(* &quot;-&quot;??_);_(@_)"/>
    <numFmt numFmtId="170" formatCode="[$$-409]#,##0.00"/>
    <numFmt numFmtId="173" formatCode="0.000%"/>
  </numFmts>
  <fonts count="48"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sz val="10"/>
      <color rgb="FFFF0000"/>
      <name val="Arial"/>
      <family val="2"/>
    </font>
    <font>
      <b/>
      <sz val="11"/>
      <color theme="1"/>
      <name val="Calibri"/>
      <family val="2"/>
      <scheme val="minor"/>
    </font>
    <font>
      <b/>
      <sz val="10"/>
      <color theme="1"/>
      <name val="Arial"/>
      <family val="2"/>
      <charset val="204"/>
    </font>
    <font>
      <sz val="11"/>
      <color theme="1"/>
      <name val="Arial"/>
      <family val="2"/>
      <charset val="204"/>
    </font>
    <font>
      <sz val="16"/>
      <color theme="1"/>
      <name val="Arial"/>
      <family val="2"/>
      <charset val="204"/>
    </font>
    <font>
      <sz val="16"/>
      <color theme="1"/>
      <name val="Calibri"/>
      <family val="2"/>
      <scheme val="minor"/>
    </font>
    <font>
      <b/>
      <sz val="16"/>
      <color theme="1"/>
      <name val="Arial"/>
      <family val="2"/>
      <charset val="204"/>
    </font>
    <font>
      <b/>
      <sz val="16"/>
      <color theme="1"/>
      <name val="Calibri"/>
      <family val="2"/>
      <scheme val="minor"/>
    </font>
    <font>
      <sz val="11"/>
      <color rgb="FFFF0000"/>
      <name val="Calibri"/>
      <family val="2"/>
      <scheme val="minor"/>
    </font>
    <font>
      <b/>
      <sz val="12"/>
      <color rgb="FFFF0000"/>
      <name val="Arial"/>
      <family val="2"/>
    </font>
  </fonts>
  <fills count="21">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0">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5"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6"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7"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8"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9" fontId="14" fillId="10" borderId="7" xfId="8" applyNumberFormat="1" applyFont="1" applyFill="1" applyBorder="1"/>
    <xf numFmtId="169" fontId="14" fillId="0" borderId="7" xfId="8" applyNumberFormat="1" applyFont="1" applyBorder="1"/>
    <xf numFmtId="169" fontId="14" fillId="10" borderId="10" xfId="8" applyNumberFormat="1" applyFont="1" applyFill="1" applyBorder="1"/>
    <xf numFmtId="168" fontId="36" fillId="16" borderId="0" xfId="0" applyNumberFormat="1" applyFont="1" applyFill="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0" fontId="0" fillId="0" borderId="0" xfId="0" applyFill="1"/>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8" fillId="0" borderId="7" xfId="0" applyFont="1" applyBorder="1"/>
    <xf numFmtId="169" fontId="38" fillId="0" borderId="7" xfId="8" applyNumberFormat="1" applyFont="1" applyBorder="1"/>
    <xf numFmtId="0" fontId="38" fillId="10" borderId="7" xfId="0" applyFont="1" applyFill="1" applyBorder="1"/>
    <xf numFmtId="169" fontId="38" fillId="10" borderId="7" xfId="8" applyNumberFormat="1" applyFont="1" applyFill="1" applyBorder="1"/>
    <xf numFmtId="169" fontId="0" fillId="0" borderId="0" xfId="0" applyNumberFormat="1"/>
    <xf numFmtId="0" fontId="39" fillId="0" borderId="0" xfId="0" applyFont="1"/>
    <xf numFmtId="0" fontId="0" fillId="0" borderId="1" xfId="0" applyBorder="1"/>
    <xf numFmtId="43" fontId="0" fillId="0" borderId="1" xfId="8" applyFont="1" applyBorder="1"/>
    <xf numFmtId="0" fontId="40" fillId="0" borderId="0" xfId="0" applyFont="1"/>
    <xf numFmtId="0" fontId="41" fillId="0" borderId="0" xfId="0" applyFont="1"/>
    <xf numFmtId="43" fontId="41" fillId="0" borderId="0" xfId="8" applyFont="1"/>
    <xf numFmtId="0" fontId="0" fillId="0" borderId="0" xfId="0" applyFont="1"/>
    <xf numFmtId="0" fontId="0" fillId="0" borderId="0" xfId="0" applyAlignment="1">
      <alignment horizontal="center"/>
    </xf>
    <xf numFmtId="0" fontId="41" fillId="0" borderId="0" xfId="0" applyFont="1" applyAlignment="1">
      <alignment horizontal="center"/>
    </xf>
    <xf numFmtId="170" fontId="0" fillId="0" borderId="0" xfId="0" applyNumberFormat="1"/>
    <xf numFmtId="170" fontId="41" fillId="0" borderId="0" xfId="0" applyNumberFormat="1" applyFont="1"/>
    <xf numFmtId="168" fontId="37" fillId="17" borderId="0" xfId="0" applyNumberFormat="1" applyFont="1" applyFill="1"/>
    <xf numFmtId="168" fontId="13" fillId="17" borderId="0" xfId="0" applyNumberFormat="1" applyFont="1" applyFill="1"/>
    <xf numFmtId="0" fontId="42" fillId="0" borderId="0" xfId="0" applyFont="1" applyAlignment="1">
      <alignment horizontal="center"/>
    </xf>
    <xf numFmtId="0" fontId="42" fillId="0" borderId="0" xfId="0" applyFont="1" applyFill="1" applyAlignment="1">
      <alignment horizontal="center"/>
    </xf>
    <xf numFmtId="43" fontId="39" fillId="0" borderId="0" xfId="8" applyFont="1"/>
    <xf numFmtId="0" fontId="44" fillId="0" borderId="0" xfId="0" applyFont="1"/>
    <xf numFmtId="0" fontId="45" fillId="0" borderId="0" xfId="0" applyFont="1"/>
    <xf numFmtId="0" fontId="42" fillId="18" borderId="0" xfId="0" applyFont="1" applyFill="1"/>
    <xf numFmtId="0" fontId="43" fillId="18" borderId="0" xfId="0" applyFont="1" applyFill="1"/>
    <xf numFmtId="170" fontId="42" fillId="18" borderId="0" xfId="0" applyNumberFormat="1" applyFont="1" applyFill="1"/>
    <xf numFmtId="0" fontId="41" fillId="19" borderId="0" xfId="0" applyFont="1" applyFill="1"/>
    <xf numFmtId="168" fontId="0" fillId="0" borderId="0" xfId="0" applyNumberFormat="1"/>
    <xf numFmtId="168" fontId="0" fillId="0" borderId="0" xfId="0" applyNumberFormat="1" applyFill="1"/>
    <xf numFmtId="164" fontId="14" fillId="0" borderId="0" xfId="0" applyNumberFormat="1" applyFont="1"/>
    <xf numFmtId="9" fontId="38" fillId="0" borderId="0" xfId="0" applyNumberFormat="1" applyFont="1"/>
    <xf numFmtId="168" fontId="36" fillId="20" borderId="0" xfId="0" applyNumberFormat="1" applyFont="1" applyFill="1"/>
    <xf numFmtId="0" fontId="0" fillId="0" borderId="1" xfId="0" applyBorder="1" applyAlignment="1">
      <alignment horizontal="left"/>
    </xf>
    <xf numFmtId="0" fontId="15" fillId="0" borderId="0" xfId="0" applyFont="1" applyFill="1" applyAlignment="1">
      <alignment horizontal="center" vertical="center" wrapText="1"/>
    </xf>
    <xf numFmtId="9" fontId="0" fillId="0" borderId="0" xfId="0" applyNumberFormat="1"/>
    <xf numFmtId="168" fontId="19" fillId="0" borderId="0" xfId="0" applyNumberFormat="1" applyFont="1" applyFill="1"/>
    <xf numFmtId="10" fontId="0" fillId="0" borderId="0" xfId="9" applyNumberFormat="1" applyFont="1"/>
    <xf numFmtId="173" fontId="0" fillId="0" borderId="0" xfId="0" applyNumberFormat="1"/>
    <xf numFmtId="0" fontId="38" fillId="0" borderId="0" xfId="0" applyFont="1"/>
    <xf numFmtId="168" fontId="38" fillId="0" borderId="0" xfId="0" applyNumberFormat="1" applyFont="1"/>
    <xf numFmtId="0" fontId="46" fillId="0" borderId="0" xfId="0" applyFont="1"/>
    <xf numFmtId="9" fontId="46" fillId="0" borderId="0" xfId="0" applyNumberFormat="1" applyFont="1"/>
    <xf numFmtId="168" fontId="46" fillId="0" borderId="0" xfId="0" applyNumberFormat="1" applyFont="1" applyFill="1"/>
    <xf numFmtId="168" fontId="47" fillId="17" borderId="0" xfId="0" applyNumberFormat="1" applyFont="1" applyFill="1"/>
    <xf numFmtId="0" fontId="38" fillId="0" borderId="0" xfId="0" applyFont="1" applyAlignment="1">
      <alignment wrapText="1"/>
    </xf>
    <xf numFmtId="44" fontId="38" fillId="0" borderId="0" xfId="0" applyNumberFormat="1" applyFont="1"/>
  </cellXfs>
  <cellStyles count="10">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topLeftCell="E14" zoomScale="110" zoomScaleNormal="110" workbookViewId="0">
      <selection activeCell="E31" sqref="E31"/>
    </sheetView>
  </sheetViews>
  <sheetFormatPr defaultRowHeight="15" x14ac:dyDescent="0.25"/>
  <cols>
    <col min="2" max="2" width="39.28515625" customWidth="1"/>
    <col min="3" max="3" width="25" customWidth="1"/>
    <col min="4" max="4" width="88.42578125" customWidth="1"/>
    <col min="5" max="5" width="22" customWidth="1"/>
    <col min="6" max="6" width="18.28515625" customWidth="1"/>
    <col min="7" max="7" width="37.140625" customWidth="1"/>
    <col min="8" max="8" width="18.42578125" customWidth="1"/>
    <col min="9" max="9" width="17" style="131" customWidth="1"/>
    <col min="10" max="10" width="16.85546875" customWidth="1"/>
    <col min="13" max="13" width="14.140625" customWidth="1"/>
  </cols>
  <sheetData>
    <row r="1" spans="1:13" ht="58.5" customHeight="1" x14ac:dyDescent="0.25">
      <c r="B1" s="117" t="s">
        <v>176</v>
      </c>
      <c r="C1" s="117" t="s">
        <v>199</v>
      </c>
      <c r="D1" s="117" t="s">
        <v>190</v>
      </c>
      <c r="E1" s="128" t="s">
        <v>200</v>
      </c>
      <c r="F1" s="130" t="s">
        <v>201</v>
      </c>
      <c r="G1" s="128" t="s">
        <v>202</v>
      </c>
      <c r="H1" s="130" t="s">
        <v>201</v>
      </c>
      <c r="I1" s="168" t="s">
        <v>250</v>
      </c>
      <c r="J1" s="168"/>
      <c r="K1" s="168"/>
      <c r="L1" s="168"/>
      <c r="M1" s="128" t="s">
        <v>253</v>
      </c>
    </row>
    <row r="2" spans="1:13" ht="51.75" x14ac:dyDescent="0.25">
      <c r="B2" s="73" t="s">
        <v>177</v>
      </c>
      <c r="C2" s="152">
        <f>PPEs!J32+PPEs!K32</f>
        <v>65614100</v>
      </c>
      <c r="D2" s="127" t="s">
        <v>194</v>
      </c>
      <c r="E2" s="118">
        <f>C2*F2</f>
        <v>45929870</v>
      </c>
      <c r="F2" s="129">
        <v>0.7</v>
      </c>
      <c r="G2" s="118">
        <f>C2*H2</f>
        <v>19684230.000000004</v>
      </c>
      <c r="H2" s="129">
        <f>100%-F2</f>
        <v>0.30000000000000004</v>
      </c>
      <c r="I2" s="129" t="s">
        <v>251</v>
      </c>
      <c r="J2" t="s">
        <v>252</v>
      </c>
      <c r="M2" s="169">
        <v>0.5</v>
      </c>
    </row>
    <row r="3" spans="1:13" ht="15.75" x14ac:dyDescent="0.25">
      <c r="B3" s="73" t="s">
        <v>193</v>
      </c>
      <c r="C3" s="152">
        <f>PPEs!J31+PPEs!K31</f>
        <v>9160860</v>
      </c>
      <c r="D3" s="73" t="s">
        <v>191</v>
      </c>
      <c r="E3" s="118">
        <f>C3*F3</f>
        <v>9160860</v>
      </c>
      <c r="F3" s="129">
        <v>1</v>
      </c>
      <c r="G3" s="118">
        <f t="shared" ref="G3:G12" si="0">C3*H3</f>
        <v>0</v>
      </c>
      <c r="H3" s="129">
        <f>100%-F3</f>
        <v>0</v>
      </c>
      <c r="I3" s="163"/>
    </row>
    <row r="4" spans="1:13" ht="15.75" x14ac:dyDescent="0.25">
      <c r="B4" s="73" t="str">
        <f>PPEs!I33</f>
        <v>Emergency/Ambulance service equipment</v>
      </c>
      <c r="C4" s="152">
        <f>PPEs!J33</f>
        <v>14925000</v>
      </c>
      <c r="D4" s="73" t="s">
        <v>222</v>
      </c>
      <c r="E4" s="118">
        <f>C4*F4</f>
        <v>14925000</v>
      </c>
      <c r="F4" s="129">
        <v>1</v>
      </c>
      <c r="G4" s="118">
        <f t="shared" si="0"/>
        <v>0</v>
      </c>
      <c r="H4" s="129"/>
      <c r="I4" s="163"/>
      <c r="M4" s="169">
        <v>1</v>
      </c>
    </row>
    <row r="5" spans="1:13" ht="77.25" x14ac:dyDescent="0.25">
      <c r="B5" s="73" t="s">
        <v>178</v>
      </c>
      <c r="C5" s="152">
        <f>'Lugar - testing'!F32+'PPE - reg.labs'!F29+'Testing - reg.labs'!F22+'Abkhazia - labs'!F23</f>
        <v>975296.25722711417</v>
      </c>
      <c r="D5" s="127" t="s">
        <v>192</v>
      </c>
      <c r="E5" s="115">
        <f>C5*F5</f>
        <v>3901185.0289084567</v>
      </c>
      <c r="F5" s="165">
        <v>4</v>
      </c>
      <c r="G5" s="118">
        <f t="shared" si="0"/>
        <v>1950592.5144542283</v>
      </c>
      <c r="H5" s="165">
        <v>2</v>
      </c>
      <c r="I5" s="129" t="s">
        <v>251</v>
      </c>
      <c r="J5" t="s">
        <v>252</v>
      </c>
      <c r="M5" s="169">
        <v>0.3</v>
      </c>
    </row>
    <row r="6" spans="1:13" ht="15.75" x14ac:dyDescent="0.25">
      <c r="B6" s="173" t="s">
        <v>256</v>
      </c>
      <c r="C6" s="178">
        <v>700000</v>
      </c>
      <c r="D6" s="179" t="s">
        <v>257</v>
      </c>
      <c r="E6" s="180">
        <v>700000</v>
      </c>
      <c r="F6" s="165">
        <v>1</v>
      </c>
      <c r="G6" s="174"/>
      <c r="H6" s="165"/>
      <c r="I6" s="165" t="s">
        <v>255</v>
      </c>
      <c r="J6" s="175"/>
      <c r="K6" s="175"/>
      <c r="L6" s="175"/>
      <c r="M6" s="176">
        <v>1</v>
      </c>
    </row>
    <row r="7" spans="1:13" ht="18.75" x14ac:dyDescent="0.3">
      <c r="B7" s="116" t="s">
        <v>179</v>
      </c>
      <c r="C7" s="151">
        <f>C8+C12+C16+C18+C21</f>
        <v>77500000</v>
      </c>
      <c r="D7" s="73"/>
      <c r="E7" s="73"/>
      <c r="F7" s="129"/>
      <c r="G7" s="118">
        <f t="shared" si="0"/>
        <v>0</v>
      </c>
      <c r="H7" s="129"/>
      <c r="I7" s="163"/>
      <c r="M7" s="169"/>
    </row>
    <row r="8" spans="1:13" x14ac:dyDescent="0.25">
      <c r="A8">
        <v>1</v>
      </c>
      <c r="B8" s="73" t="s">
        <v>195</v>
      </c>
      <c r="C8" s="121">
        <f>C9+C10+C11</f>
        <v>25000000</v>
      </c>
      <c r="D8" s="73" t="s">
        <v>180</v>
      </c>
      <c r="E8" s="118">
        <f>C8*F8</f>
        <v>25000000</v>
      </c>
      <c r="F8" s="129">
        <v>1</v>
      </c>
      <c r="G8" s="118">
        <f t="shared" si="0"/>
        <v>0</v>
      </c>
      <c r="H8" s="129">
        <f>100%-F8</f>
        <v>0</v>
      </c>
      <c r="M8" s="169"/>
    </row>
    <row r="9" spans="1:13" x14ac:dyDescent="0.25">
      <c r="B9" s="173" t="s">
        <v>185</v>
      </c>
      <c r="C9" s="174">
        <v>12000000</v>
      </c>
      <c r="D9" s="173"/>
      <c r="E9" s="173"/>
      <c r="F9" s="165"/>
      <c r="G9" s="174">
        <f t="shared" si="0"/>
        <v>0</v>
      </c>
      <c r="H9" s="165"/>
      <c r="I9" s="165" t="s">
        <v>255</v>
      </c>
      <c r="J9" s="175"/>
      <c r="K9" s="175"/>
      <c r="L9" s="175"/>
      <c r="M9" s="176">
        <v>1</v>
      </c>
    </row>
    <row r="10" spans="1:13" x14ac:dyDescent="0.25">
      <c r="B10" s="73" t="s">
        <v>186</v>
      </c>
      <c r="C10" s="118">
        <v>5000000</v>
      </c>
      <c r="D10" s="73"/>
      <c r="E10" s="73"/>
      <c r="F10" s="129"/>
      <c r="G10" s="118">
        <f t="shared" si="0"/>
        <v>0</v>
      </c>
      <c r="H10" s="129"/>
      <c r="I10" s="163"/>
    </row>
    <row r="11" spans="1:13" x14ac:dyDescent="0.25">
      <c r="B11" s="73" t="s">
        <v>166</v>
      </c>
      <c r="C11" s="118">
        <v>8000000</v>
      </c>
      <c r="D11" s="73"/>
      <c r="E11" s="73"/>
      <c r="F11" s="129"/>
      <c r="G11" s="118">
        <f t="shared" si="0"/>
        <v>0</v>
      </c>
      <c r="H11" s="129"/>
      <c r="I11" s="163"/>
    </row>
    <row r="12" spans="1:13" x14ac:dyDescent="0.25">
      <c r="A12">
        <v>2</v>
      </c>
      <c r="B12" s="73" t="s">
        <v>196</v>
      </c>
      <c r="C12" s="121">
        <f>C13+C14</f>
        <v>17000000</v>
      </c>
      <c r="D12" s="73" t="s">
        <v>181</v>
      </c>
      <c r="E12" s="119">
        <f>C12*F12</f>
        <v>8500000</v>
      </c>
      <c r="F12" s="129">
        <v>0.5</v>
      </c>
      <c r="G12" s="118">
        <f t="shared" si="0"/>
        <v>8500000</v>
      </c>
      <c r="H12" s="129">
        <f>100%-F12</f>
        <v>0.5</v>
      </c>
      <c r="I12" s="163"/>
    </row>
    <row r="13" spans="1:13" x14ac:dyDescent="0.25">
      <c r="B13" s="73" t="s">
        <v>186</v>
      </c>
      <c r="C13" s="118">
        <v>10000000</v>
      </c>
      <c r="D13" s="73"/>
      <c r="E13" s="73"/>
      <c r="F13" s="129"/>
      <c r="G13" s="118">
        <f t="shared" ref="G13:G29" si="1">C13*H13</f>
        <v>0</v>
      </c>
      <c r="H13" s="129"/>
      <c r="I13" s="163"/>
    </row>
    <row r="14" spans="1:13" x14ac:dyDescent="0.25">
      <c r="B14" s="73" t="s">
        <v>166</v>
      </c>
      <c r="C14" s="118">
        <v>7000000</v>
      </c>
      <c r="D14" s="120"/>
      <c r="E14" s="73"/>
      <c r="F14" s="129"/>
      <c r="G14" s="118">
        <f t="shared" si="1"/>
        <v>0</v>
      </c>
      <c r="H14" s="129"/>
      <c r="I14" s="163"/>
    </row>
    <row r="15" spans="1:13" x14ac:dyDescent="0.25">
      <c r="B15" s="73"/>
      <c r="C15" s="115"/>
      <c r="D15" s="73"/>
      <c r="E15" s="73"/>
      <c r="F15" s="129"/>
      <c r="G15" s="118">
        <f t="shared" si="1"/>
        <v>0</v>
      </c>
      <c r="H15" s="129"/>
      <c r="I15" s="163"/>
    </row>
    <row r="16" spans="1:13" x14ac:dyDescent="0.25">
      <c r="A16">
        <v>3</v>
      </c>
      <c r="B16" s="73" t="s">
        <v>197</v>
      </c>
      <c r="C16" s="121">
        <f>C17</f>
        <v>13500000</v>
      </c>
      <c r="D16" s="73" t="s">
        <v>182</v>
      </c>
      <c r="E16" s="119">
        <f>C16*F16</f>
        <v>13500000</v>
      </c>
      <c r="F16" s="129">
        <v>1</v>
      </c>
      <c r="G16" s="118">
        <f t="shared" si="1"/>
        <v>0</v>
      </c>
      <c r="H16" s="129">
        <f>100%-F16</f>
        <v>0</v>
      </c>
      <c r="I16" s="163" t="s">
        <v>251</v>
      </c>
      <c r="M16" s="169">
        <v>0.6</v>
      </c>
    </row>
    <row r="17" spans="1:13" x14ac:dyDescent="0.25">
      <c r="B17" s="73" t="s">
        <v>187</v>
      </c>
      <c r="C17" s="119">
        <v>13500000</v>
      </c>
      <c r="D17" s="73"/>
      <c r="E17" s="73"/>
      <c r="F17" s="129"/>
      <c r="G17" s="118">
        <f t="shared" si="1"/>
        <v>0</v>
      </c>
      <c r="H17" s="129"/>
      <c r="I17" s="163"/>
    </row>
    <row r="18" spans="1:13" x14ac:dyDescent="0.25">
      <c r="A18">
        <v>4</v>
      </c>
      <c r="B18" s="73" t="s">
        <v>188</v>
      </c>
      <c r="C18" s="122">
        <f>C19</f>
        <v>10000000</v>
      </c>
      <c r="D18" s="73" t="s">
        <v>183</v>
      </c>
      <c r="E18" s="115"/>
      <c r="F18" s="129"/>
      <c r="G18" s="118"/>
      <c r="H18" s="129"/>
      <c r="I18" s="163" t="s">
        <v>251</v>
      </c>
      <c r="M18" s="169">
        <v>0.6</v>
      </c>
    </row>
    <row r="19" spans="1:13" x14ac:dyDescent="0.25">
      <c r="B19" s="73" t="s">
        <v>166</v>
      </c>
      <c r="C19" s="115">
        <v>10000000</v>
      </c>
      <c r="D19" s="73"/>
      <c r="E19" s="164">
        <f>C19*F19</f>
        <v>10000000</v>
      </c>
      <c r="F19" s="129">
        <v>1</v>
      </c>
      <c r="G19" s="118">
        <f t="shared" si="1"/>
        <v>0</v>
      </c>
      <c r="H19" s="129">
        <f t="shared" ref="H19:H25" si="2">100%-F19</f>
        <v>0</v>
      </c>
      <c r="I19" s="163"/>
    </row>
    <row r="20" spans="1:13" x14ac:dyDescent="0.25">
      <c r="B20" s="73"/>
      <c r="C20" s="115"/>
      <c r="D20" s="73"/>
      <c r="E20" s="73"/>
      <c r="F20" s="129"/>
      <c r="G20" s="118">
        <f t="shared" si="1"/>
        <v>0</v>
      </c>
      <c r="H20" s="129">
        <f t="shared" si="2"/>
        <v>1</v>
      </c>
      <c r="I20" s="163"/>
    </row>
    <row r="21" spans="1:13" x14ac:dyDescent="0.25">
      <c r="A21">
        <v>5</v>
      </c>
      <c r="B21" s="73" t="s">
        <v>198</v>
      </c>
      <c r="C21" s="122">
        <f>C22+C23</f>
        <v>12000000</v>
      </c>
      <c r="D21" s="73" t="s">
        <v>184</v>
      </c>
      <c r="E21" s="115"/>
      <c r="F21" s="129"/>
      <c r="G21" s="118"/>
      <c r="H21" s="129">
        <f t="shared" si="2"/>
        <v>1</v>
      </c>
      <c r="I21" s="177" t="s">
        <v>255</v>
      </c>
      <c r="J21" s="175"/>
      <c r="K21" s="175"/>
      <c r="L21" s="175"/>
      <c r="M21" s="176">
        <v>1</v>
      </c>
    </row>
    <row r="22" spans="1:13" x14ac:dyDescent="0.25">
      <c r="B22" s="73" t="s">
        <v>186</v>
      </c>
      <c r="C22" s="118">
        <v>5000000</v>
      </c>
      <c r="E22" s="115">
        <f>C22*F22</f>
        <v>2500000</v>
      </c>
      <c r="F22" s="129">
        <v>0.5</v>
      </c>
      <c r="G22" s="118">
        <f t="shared" si="1"/>
        <v>2500000</v>
      </c>
      <c r="H22" s="129">
        <f t="shared" si="2"/>
        <v>0.5</v>
      </c>
      <c r="I22" s="163"/>
    </row>
    <row r="23" spans="1:13" x14ac:dyDescent="0.25">
      <c r="B23" s="73" t="s">
        <v>166</v>
      </c>
      <c r="C23" s="118">
        <v>7000000</v>
      </c>
      <c r="E23" s="115">
        <f>C23*F23</f>
        <v>3500000</v>
      </c>
      <c r="F23" s="129">
        <v>0.5</v>
      </c>
      <c r="G23" s="118">
        <f t="shared" si="1"/>
        <v>3500000</v>
      </c>
      <c r="H23" s="129">
        <f t="shared" si="2"/>
        <v>0.5</v>
      </c>
      <c r="I23" s="163"/>
    </row>
    <row r="24" spans="1:13" ht="18.75" x14ac:dyDescent="0.3">
      <c r="A24">
        <v>6</v>
      </c>
      <c r="B24" s="143" t="s">
        <v>224</v>
      </c>
      <c r="C24" s="151">
        <f>C25+C26</f>
        <v>20000000</v>
      </c>
      <c r="E24" s="115"/>
      <c r="F24" s="129"/>
      <c r="G24" s="118"/>
      <c r="H24" s="129"/>
      <c r="I24" s="170" t="s">
        <v>254</v>
      </c>
      <c r="K24" s="171"/>
      <c r="M24" s="172">
        <f>100%-22.5%</f>
        <v>0.77500000000000002</v>
      </c>
    </row>
    <row r="25" spans="1:13" x14ac:dyDescent="0.25">
      <c r="B25" s="73" t="s">
        <v>225</v>
      </c>
      <c r="C25" s="118">
        <v>10000000</v>
      </c>
      <c r="E25" s="115">
        <f>C25*F25</f>
        <v>10000000</v>
      </c>
      <c r="F25" s="129">
        <v>1</v>
      </c>
      <c r="G25" s="118">
        <f t="shared" si="1"/>
        <v>0</v>
      </c>
      <c r="H25" s="129">
        <f t="shared" si="2"/>
        <v>0</v>
      </c>
      <c r="I25" s="163"/>
    </row>
    <row r="26" spans="1:13" x14ac:dyDescent="0.25">
      <c r="B26" s="73" t="s">
        <v>226</v>
      </c>
      <c r="C26" s="118">
        <v>10000000</v>
      </c>
      <c r="E26" s="115">
        <f>C26*F26</f>
        <v>7000000</v>
      </c>
      <c r="F26" s="129">
        <v>0.7</v>
      </c>
      <c r="G26" s="118">
        <f t="shared" si="1"/>
        <v>3000000.0000000005</v>
      </c>
      <c r="H26" s="129">
        <f>100%-F26</f>
        <v>0.30000000000000004</v>
      </c>
      <c r="I26" s="163"/>
    </row>
    <row r="27" spans="1:13" ht="18.75" x14ac:dyDescent="0.3">
      <c r="B27" s="143" t="s">
        <v>223</v>
      </c>
      <c r="C27" s="151">
        <f>C28+C29</f>
        <v>25575483.870967738</v>
      </c>
      <c r="E27" s="115"/>
      <c r="F27" s="129">
        <v>1</v>
      </c>
      <c r="G27" s="118">
        <f t="shared" si="1"/>
        <v>0</v>
      </c>
      <c r="H27" s="129">
        <f>100%-F27</f>
        <v>0</v>
      </c>
      <c r="I27" s="163"/>
    </row>
    <row r="28" spans="1:13" ht="58.15" customHeight="1" x14ac:dyDescent="0.25">
      <c r="B28" s="127" t="s">
        <v>227</v>
      </c>
      <c r="C28" s="118">
        <f>Servicecosts!G20</f>
        <v>15575483.87096774</v>
      </c>
      <c r="D28" s="127" t="s">
        <v>246</v>
      </c>
      <c r="E28" s="115">
        <f>C28*F28</f>
        <v>15575483.87096774</v>
      </c>
      <c r="F28" s="129">
        <v>1</v>
      </c>
      <c r="G28" s="118">
        <f t="shared" si="1"/>
        <v>0</v>
      </c>
      <c r="H28" s="129">
        <f>100%-F28</f>
        <v>0</v>
      </c>
      <c r="I28" s="163"/>
    </row>
    <row r="29" spans="1:13" ht="26.25" x14ac:dyDescent="0.25">
      <c r="B29" s="73" t="s">
        <v>228</v>
      </c>
      <c r="C29" s="118">
        <v>10000000</v>
      </c>
      <c r="D29" s="127" t="s">
        <v>229</v>
      </c>
      <c r="E29" s="115">
        <f>C29*F29</f>
        <v>10000000</v>
      </c>
      <c r="F29" s="129">
        <v>1</v>
      </c>
      <c r="G29" s="118">
        <f t="shared" si="1"/>
        <v>0</v>
      </c>
      <c r="H29" s="129">
        <f>100%-F29</f>
        <v>0</v>
      </c>
      <c r="I29" s="163"/>
    </row>
    <row r="30" spans="1:13" s="153" customFormat="1" ht="20.25" x14ac:dyDescent="0.3">
      <c r="E30" s="153" t="s">
        <v>247</v>
      </c>
      <c r="G30" s="153" t="s">
        <v>248</v>
      </c>
      <c r="I30" s="154"/>
    </row>
    <row r="31" spans="1:13" ht="20.25" x14ac:dyDescent="0.3">
      <c r="B31" s="73" t="s">
        <v>168</v>
      </c>
      <c r="D31" s="166">
        <f>E31+G31</f>
        <v>219327221.41433042</v>
      </c>
      <c r="E31" s="126">
        <f>SUM(E2:E29)</f>
        <v>180192398.89987621</v>
      </c>
      <c r="F31" s="126"/>
      <c r="G31" s="126">
        <f>SUM(G2:G29)</f>
        <v>39134822.514454231</v>
      </c>
      <c r="H31" s="126"/>
    </row>
    <row r="33" spans="7:8" x14ac:dyDescent="0.25">
      <c r="G33" s="162"/>
    </row>
    <row r="34" spans="7:8" x14ac:dyDescent="0.25">
      <c r="H34" s="140"/>
    </row>
  </sheetData>
  <mergeCells count="1">
    <mergeCell ref="I1:L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0"/>
  <sheetViews>
    <sheetView workbookViewId="0">
      <selection sqref="A1:XFD11"/>
    </sheetView>
  </sheetViews>
  <sheetFormatPr defaultRowHeight="15" x14ac:dyDescent="0.25"/>
  <cols>
    <col min="2" max="2" width="53.140625" customWidth="1"/>
    <col min="3" max="3" width="20" customWidth="1"/>
    <col min="5" max="5" width="17.7109375" customWidth="1"/>
    <col min="6" max="6" width="13.5703125" bestFit="1" customWidth="1"/>
    <col min="7" max="7" width="26.5703125" customWidth="1"/>
    <col min="8" max="8" width="15" customWidth="1"/>
    <col min="9" max="9" width="18.85546875" customWidth="1"/>
    <col min="10" max="10" width="9" bestFit="1" customWidth="1"/>
  </cols>
  <sheetData>
    <row r="3" spans="2:9" hidden="1" x14ac:dyDescent="0.25">
      <c r="B3" s="167" t="s">
        <v>212</v>
      </c>
      <c r="C3" s="167"/>
      <c r="D3" s="167"/>
      <c r="E3" s="167"/>
      <c r="F3" s="167"/>
      <c r="G3" s="167"/>
      <c r="H3" s="142">
        <v>40000000</v>
      </c>
      <c r="I3" s="141" t="s">
        <v>218</v>
      </c>
    </row>
    <row r="4" spans="2:9" hidden="1" x14ac:dyDescent="0.25">
      <c r="B4" s="167" t="s">
        <v>213</v>
      </c>
      <c r="C4" s="167"/>
      <c r="D4" s="167"/>
      <c r="E4" s="167"/>
      <c r="F4" s="167"/>
      <c r="G4" s="167"/>
      <c r="H4" s="142">
        <v>30000000</v>
      </c>
      <c r="I4" s="141" t="s">
        <v>219</v>
      </c>
    </row>
    <row r="5" spans="2:9" hidden="1" x14ac:dyDescent="0.25">
      <c r="B5" s="167" t="s">
        <v>214</v>
      </c>
      <c r="C5" s="167"/>
      <c r="D5" s="167"/>
      <c r="E5" s="167"/>
      <c r="F5" s="167"/>
      <c r="G5" s="167"/>
      <c r="H5" s="142">
        <v>40000000</v>
      </c>
      <c r="I5" s="142"/>
    </row>
    <row r="6" spans="2:9" hidden="1" x14ac:dyDescent="0.25">
      <c r="B6" s="167" t="s">
        <v>215</v>
      </c>
      <c r="C6" s="167"/>
      <c r="D6" s="167"/>
      <c r="E6" s="167"/>
      <c r="F6" s="167"/>
      <c r="G6" s="167"/>
      <c r="H6" s="142">
        <v>30000000</v>
      </c>
      <c r="I6" s="141"/>
    </row>
    <row r="7" spans="2:9" hidden="1" x14ac:dyDescent="0.25">
      <c r="B7" s="167" t="s">
        <v>216</v>
      </c>
      <c r="C7" s="167"/>
      <c r="D7" s="167"/>
      <c r="E7" s="167"/>
      <c r="F7" s="167"/>
      <c r="G7" s="167"/>
      <c r="H7" s="142">
        <v>37800000</v>
      </c>
      <c r="I7" s="141"/>
    </row>
    <row r="8" spans="2:9" hidden="1" x14ac:dyDescent="0.25">
      <c r="B8" s="167" t="s">
        <v>220</v>
      </c>
      <c r="C8" s="167"/>
      <c r="D8" s="167"/>
      <c r="E8" s="167"/>
      <c r="F8" s="167"/>
      <c r="G8" s="167"/>
      <c r="H8" s="142">
        <v>20000000</v>
      </c>
      <c r="I8" s="141"/>
    </row>
    <row r="9" spans="2:9" hidden="1" x14ac:dyDescent="0.25">
      <c r="B9" s="167" t="s">
        <v>217</v>
      </c>
      <c r="C9" s="167"/>
      <c r="D9" s="167"/>
      <c r="E9" s="167"/>
      <c r="F9" s="167"/>
      <c r="G9" s="167"/>
      <c r="H9" s="142">
        <v>30000000</v>
      </c>
      <c r="I9" s="141"/>
    </row>
    <row r="10" spans="2:9" hidden="1" x14ac:dyDescent="0.25">
      <c r="H10" s="155">
        <f>SUM(H3:H9)</f>
        <v>227800000</v>
      </c>
    </row>
    <row r="11" spans="2:9" ht="21" x14ac:dyDescent="0.35">
      <c r="B11" s="156" t="s">
        <v>245</v>
      </c>
      <c r="C11" s="156" t="s">
        <v>235</v>
      </c>
      <c r="D11" s="156" t="s">
        <v>236</v>
      </c>
      <c r="E11" s="157"/>
      <c r="F11" s="156" t="s">
        <v>243</v>
      </c>
      <c r="G11" s="156" t="s">
        <v>244</v>
      </c>
      <c r="H11" s="144" t="s">
        <v>249</v>
      </c>
    </row>
    <row r="12" spans="2:9" x14ac:dyDescent="0.25">
      <c r="B12" s="144" t="s">
        <v>230</v>
      </c>
      <c r="C12" s="145">
        <v>800000</v>
      </c>
      <c r="D12" s="147">
        <v>1</v>
      </c>
      <c r="G12" s="150">
        <f>C12/H14</f>
        <v>258064.51612903224</v>
      </c>
    </row>
    <row r="13" spans="2:9" x14ac:dyDescent="0.25">
      <c r="B13" s="144" t="s">
        <v>231</v>
      </c>
      <c r="D13" s="147"/>
      <c r="G13" s="144"/>
    </row>
    <row r="14" spans="2:9" x14ac:dyDescent="0.25">
      <c r="B14" s="144" t="s">
        <v>232</v>
      </c>
      <c r="C14" s="144">
        <f>120*1050*30</f>
        <v>3780000</v>
      </c>
      <c r="D14" s="148">
        <v>2</v>
      </c>
      <c r="E14" s="144" t="s">
        <v>237</v>
      </c>
      <c r="F14" s="144">
        <f>C14*D14</f>
        <v>7560000</v>
      </c>
      <c r="G14" s="150">
        <f>F14/$H$14</f>
        <v>2438709.6774193547</v>
      </c>
      <c r="H14" s="161">
        <v>3.1</v>
      </c>
    </row>
    <row r="15" spans="2:9" x14ac:dyDescent="0.25">
      <c r="B15" s="144" t="s">
        <v>233</v>
      </c>
      <c r="C15" s="144">
        <f>120*2000*30</f>
        <v>7200000</v>
      </c>
      <c r="D15" s="148">
        <v>1</v>
      </c>
      <c r="E15" s="144" t="s">
        <v>238</v>
      </c>
      <c r="F15" s="144">
        <f t="shared" ref="F15:F18" si="0">C15*D15</f>
        <v>7200000</v>
      </c>
      <c r="G15" s="150">
        <f t="shared" ref="G15:G18" si="1">F15/$H$14</f>
        <v>2322580.6451612902</v>
      </c>
    </row>
    <row r="16" spans="2:9" x14ac:dyDescent="0.25">
      <c r="B16" s="144" t="s">
        <v>234</v>
      </c>
      <c r="C16" s="144">
        <f>120*4040*30</f>
        <v>14544000</v>
      </c>
      <c r="D16" s="148">
        <v>1</v>
      </c>
      <c r="E16" s="144" t="s">
        <v>239</v>
      </c>
      <c r="F16" s="144">
        <f t="shared" si="0"/>
        <v>14544000</v>
      </c>
      <c r="G16" s="150">
        <f t="shared" si="1"/>
        <v>4691612.9032258065</v>
      </c>
    </row>
    <row r="17" spans="2:8" x14ac:dyDescent="0.25">
      <c r="B17" s="144" t="s">
        <v>240</v>
      </c>
      <c r="C17" s="144">
        <f>C15</f>
        <v>7200000</v>
      </c>
      <c r="D17" s="148">
        <v>2</v>
      </c>
      <c r="E17" s="144" t="s">
        <v>241</v>
      </c>
      <c r="F17" s="144">
        <f t="shared" si="0"/>
        <v>14400000</v>
      </c>
      <c r="G17" s="150">
        <f t="shared" si="1"/>
        <v>4645161.2903225804</v>
      </c>
    </row>
    <row r="18" spans="2:8" x14ac:dyDescent="0.25">
      <c r="C18" s="146">
        <f>C14</f>
        <v>3780000</v>
      </c>
      <c r="D18" s="147">
        <v>1</v>
      </c>
      <c r="E18" s="144" t="s">
        <v>242</v>
      </c>
      <c r="F18" s="144">
        <f t="shared" si="0"/>
        <v>3780000</v>
      </c>
      <c r="G18" s="150">
        <f t="shared" si="1"/>
        <v>1219354.8387096773</v>
      </c>
    </row>
    <row r="19" spans="2:8" x14ac:dyDescent="0.25">
      <c r="D19" s="147"/>
    </row>
    <row r="20" spans="2:8" ht="21" x14ac:dyDescent="0.35">
      <c r="B20" s="158" t="s">
        <v>168</v>
      </c>
      <c r="C20" s="159"/>
      <c r="D20" s="159"/>
      <c r="E20" s="159"/>
      <c r="F20" s="159"/>
      <c r="G20" s="160">
        <f>G12+G14+G15+G16+G17+G18</f>
        <v>15575483.87096774</v>
      </c>
      <c r="H20" s="149"/>
    </row>
  </sheetData>
  <mergeCells count="7">
    <mergeCell ref="B9:G9"/>
    <mergeCell ref="B3:G3"/>
    <mergeCell ref="B4:G4"/>
    <mergeCell ref="B5:G5"/>
    <mergeCell ref="B8:G8"/>
    <mergeCell ref="B6:G6"/>
    <mergeCell ref="B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topLeftCell="A11" zoomScale="90" zoomScaleNormal="90" workbookViewId="0">
      <selection activeCell="K37" sqref="K37"/>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26.7109375" customWidth="1"/>
    <col min="10" max="10" width="16.85546875" bestFit="1" customWidth="1"/>
    <col min="11" max="11" width="15.5703125" customWidth="1"/>
    <col min="14" max="14" width="12.140625" bestFit="1"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4">
        <f t="shared" ref="D5:D32" si="0">C5*B5</f>
        <v>1050000</v>
      </c>
      <c r="E5" s="80">
        <v>4000000</v>
      </c>
      <c r="F5" s="81">
        <f t="shared" ref="F5:F34" si="1">E5*B5</f>
        <v>280000</v>
      </c>
    </row>
    <row r="6" spans="1:6" x14ac:dyDescent="0.25">
      <c r="A6" s="82" t="s">
        <v>143</v>
      </c>
      <c r="B6" s="83">
        <v>0.8</v>
      </c>
      <c r="C6" s="83">
        <v>20000000</v>
      </c>
      <c r="D6" s="123">
        <f t="shared" si="0"/>
        <v>16000000</v>
      </c>
      <c r="E6" s="83">
        <v>4000000</v>
      </c>
      <c r="F6" s="84">
        <f t="shared" si="1"/>
        <v>3200000</v>
      </c>
    </row>
    <row r="7" spans="1:6" x14ac:dyDescent="0.25">
      <c r="A7" s="85" t="s">
        <v>144</v>
      </c>
      <c r="B7" s="86">
        <v>13</v>
      </c>
      <c r="C7" s="86">
        <v>100000</v>
      </c>
      <c r="D7" s="124">
        <f t="shared" si="0"/>
        <v>1300000</v>
      </c>
      <c r="E7" s="86">
        <v>100000</v>
      </c>
      <c r="F7" s="87">
        <f t="shared" si="1"/>
        <v>1300000</v>
      </c>
    </row>
    <row r="8" spans="1:6" x14ac:dyDescent="0.25">
      <c r="A8" s="82" t="s">
        <v>145</v>
      </c>
      <c r="B8" s="83">
        <v>0.66</v>
      </c>
      <c r="C8" s="83">
        <v>30000000</v>
      </c>
      <c r="D8" s="123">
        <f t="shared" si="0"/>
        <v>19800000</v>
      </c>
      <c r="E8" s="83">
        <v>10000000</v>
      </c>
      <c r="F8" s="84">
        <f t="shared" si="1"/>
        <v>6600000</v>
      </c>
    </row>
    <row r="9" spans="1:6" x14ac:dyDescent="0.25">
      <c r="A9" s="85" t="s">
        <v>146</v>
      </c>
      <c r="B9" s="86">
        <v>0.66</v>
      </c>
      <c r="C9" s="86">
        <v>3000000</v>
      </c>
      <c r="D9" s="124">
        <f t="shared" si="0"/>
        <v>1980000</v>
      </c>
      <c r="E9" s="86">
        <v>1000000</v>
      </c>
      <c r="F9" s="87">
        <f t="shared" si="1"/>
        <v>660000</v>
      </c>
    </row>
    <row r="10" spans="1:6" x14ac:dyDescent="0.25">
      <c r="A10" s="82" t="s">
        <v>147</v>
      </c>
      <c r="B10" s="83">
        <v>400</v>
      </c>
      <c r="C10" s="83">
        <v>25</v>
      </c>
      <c r="D10" s="123">
        <f t="shared" si="0"/>
        <v>10000</v>
      </c>
      <c r="E10" s="83">
        <v>4</v>
      </c>
      <c r="F10" s="84">
        <f t="shared" si="1"/>
        <v>1600</v>
      </c>
    </row>
    <row r="11" spans="1:6" x14ac:dyDescent="0.25">
      <c r="A11" s="85" t="s">
        <v>148</v>
      </c>
      <c r="B11" s="86">
        <v>10</v>
      </c>
      <c r="C11" s="86">
        <v>100000</v>
      </c>
      <c r="D11" s="124">
        <f t="shared" si="0"/>
        <v>1000000</v>
      </c>
      <c r="E11" s="86">
        <v>42000</v>
      </c>
      <c r="F11" s="87">
        <f t="shared" si="1"/>
        <v>420000</v>
      </c>
    </row>
    <row r="12" spans="1:6" x14ac:dyDescent="0.25">
      <c r="A12" s="82" t="s">
        <v>149</v>
      </c>
      <c r="B12" s="83">
        <v>12</v>
      </c>
      <c r="C12" s="83">
        <v>100000</v>
      </c>
      <c r="D12" s="123">
        <f t="shared" si="0"/>
        <v>1200000</v>
      </c>
      <c r="E12" s="83">
        <v>42000</v>
      </c>
      <c r="F12" s="84">
        <f t="shared" si="1"/>
        <v>504000</v>
      </c>
    </row>
    <row r="13" spans="1:6" x14ac:dyDescent="0.25">
      <c r="A13" s="85" t="s">
        <v>150</v>
      </c>
      <c r="B13" s="86">
        <v>15</v>
      </c>
      <c r="C13" s="86">
        <v>50000</v>
      </c>
      <c r="D13" s="124">
        <f t="shared" si="0"/>
        <v>750000</v>
      </c>
      <c r="E13" s="86">
        <v>10000</v>
      </c>
      <c r="F13" s="87">
        <f t="shared" si="1"/>
        <v>150000</v>
      </c>
    </row>
    <row r="14" spans="1:6" x14ac:dyDescent="0.25">
      <c r="A14" s="82" t="s">
        <v>151</v>
      </c>
      <c r="B14" s="83">
        <v>5</v>
      </c>
      <c r="C14" s="83">
        <v>200000</v>
      </c>
      <c r="D14" s="123">
        <f t="shared" si="0"/>
        <v>1000000</v>
      </c>
      <c r="E14" s="83">
        <v>20000</v>
      </c>
      <c r="F14" s="84">
        <f t="shared" si="1"/>
        <v>100000</v>
      </c>
    </row>
    <row r="15" spans="1:6" x14ac:dyDescent="0.25">
      <c r="A15" s="85" t="s">
        <v>152</v>
      </c>
      <c r="B15" s="86">
        <v>4</v>
      </c>
      <c r="C15" s="86">
        <v>1000</v>
      </c>
      <c r="D15" s="124">
        <f t="shared" si="0"/>
        <v>4000</v>
      </c>
      <c r="E15" s="86">
        <v>1000</v>
      </c>
      <c r="F15" s="87">
        <f t="shared" si="1"/>
        <v>4000</v>
      </c>
    </row>
    <row r="16" spans="1:6" ht="12.75" customHeight="1" x14ac:dyDescent="0.25">
      <c r="A16" s="82" t="s">
        <v>153</v>
      </c>
      <c r="B16" s="83">
        <v>25</v>
      </c>
      <c r="C16" s="83">
        <v>2000</v>
      </c>
      <c r="D16" s="123">
        <f t="shared" si="0"/>
        <v>50000</v>
      </c>
      <c r="E16" s="83">
        <v>20</v>
      </c>
      <c r="F16" s="84">
        <f t="shared" si="1"/>
        <v>500</v>
      </c>
    </row>
    <row r="17" spans="1:11" ht="31.5" customHeight="1" x14ac:dyDescent="0.25">
      <c r="A17" s="132" t="s">
        <v>204</v>
      </c>
      <c r="B17" s="137">
        <v>25000</v>
      </c>
      <c r="C17" s="137">
        <v>50</v>
      </c>
      <c r="D17" s="138">
        <f t="shared" si="0"/>
        <v>1250000</v>
      </c>
      <c r="E17" s="83"/>
      <c r="F17" s="84"/>
    </row>
    <row r="18" spans="1:11" x14ac:dyDescent="0.25">
      <c r="A18" s="85" t="s">
        <v>154</v>
      </c>
      <c r="B18" s="86">
        <v>14000</v>
      </c>
      <c r="C18" s="86">
        <v>320</v>
      </c>
      <c r="D18" s="124">
        <f t="shared" si="0"/>
        <v>4480000</v>
      </c>
      <c r="E18" s="86">
        <v>30</v>
      </c>
      <c r="F18" s="87">
        <f t="shared" si="1"/>
        <v>420000</v>
      </c>
    </row>
    <row r="19" spans="1:11" ht="26.25" x14ac:dyDescent="0.25">
      <c r="A19" s="133" t="s">
        <v>205</v>
      </c>
      <c r="B19" s="135">
        <v>4000</v>
      </c>
      <c r="C19" s="135">
        <v>350</v>
      </c>
      <c r="D19" s="136">
        <f t="shared" si="0"/>
        <v>1400000</v>
      </c>
      <c r="E19" s="86"/>
      <c r="F19" s="87"/>
    </row>
    <row r="20" spans="1:11" x14ac:dyDescent="0.25">
      <c r="A20" s="134" t="s">
        <v>206</v>
      </c>
      <c r="B20" s="135">
        <v>1400</v>
      </c>
      <c r="C20" s="135">
        <v>1150</v>
      </c>
      <c r="D20" s="136">
        <f t="shared" si="0"/>
        <v>1610000</v>
      </c>
      <c r="E20" s="86"/>
      <c r="F20" s="87"/>
    </row>
    <row r="21" spans="1:11" x14ac:dyDescent="0.25">
      <c r="A21" s="134" t="s">
        <v>207</v>
      </c>
      <c r="B21" s="135">
        <v>60000</v>
      </c>
      <c r="C21" s="135">
        <v>50</v>
      </c>
      <c r="D21" s="136">
        <f t="shared" si="0"/>
        <v>3000000</v>
      </c>
      <c r="E21" s="86"/>
      <c r="F21" s="87"/>
    </row>
    <row r="22" spans="1:11" x14ac:dyDescent="0.25">
      <c r="A22" s="134" t="s">
        <v>208</v>
      </c>
      <c r="B22" s="135">
        <v>80000</v>
      </c>
      <c r="C22" s="135">
        <v>30</v>
      </c>
      <c r="D22" s="136">
        <f t="shared" si="0"/>
        <v>2400000</v>
      </c>
      <c r="E22" s="86"/>
      <c r="F22" s="87"/>
    </row>
    <row r="23" spans="1:11" x14ac:dyDescent="0.25">
      <c r="A23" s="134" t="s">
        <v>209</v>
      </c>
      <c r="B23" s="135">
        <v>30000</v>
      </c>
      <c r="C23" s="135">
        <v>90</v>
      </c>
      <c r="D23" s="136">
        <f t="shared" si="0"/>
        <v>2700000</v>
      </c>
      <c r="E23" s="86"/>
      <c r="F23" s="87"/>
    </row>
    <row r="24" spans="1:11" x14ac:dyDescent="0.25">
      <c r="A24" s="134" t="s">
        <v>210</v>
      </c>
      <c r="B24" s="135">
        <v>1500</v>
      </c>
      <c r="C24" s="135">
        <v>950</v>
      </c>
      <c r="D24" s="136">
        <f t="shared" si="0"/>
        <v>1425000</v>
      </c>
      <c r="E24" s="86"/>
      <c r="F24" s="87"/>
    </row>
    <row r="25" spans="1:11" x14ac:dyDescent="0.25">
      <c r="A25" s="134" t="s">
        <v>211</v>
      </c>
      <c r="B25" s="135">
        <v>1200</v>
      </c>
      <c r="C25" s="135">
        <v>950</v>
      </c>
      <c r="D25" s="136">
        <f t="shared" si="0"/>
        <v>1140000</v>
      </c>
      <c r="E25" s="86"/>
      <c r="F25" s="87"/>
    </row>
    <row r="26" spans="1:11" x14ac:dyDescent="0.25">
      <c r="A26" s="82" t="s">
        <v>155</v>
      </c>
      <c r="B26" s="83">
        <v>75000</v>
      </c>
      <c r="C26" s="83">
        <v>20</v>
      </c>
      <c r="D26" s="123">
        <f t="shared" si="0"/>
        <v>1500000</v>
      </c>
      <c r="E26" s="83">
        <v>2</v>
      </c>
      <c r="F26" s="84">
        <f t="shared" si="1"/>
        <v>150000</v>
      </c>
    </row>
    <row r="27" spans="1:11" x14ac:dyDescent="0.25">
      <c r="A27" s="85" t="s">
        <v>156</v>
      </c>
      <c r="B27" s="86">
        <v>18</v>
      </c>
      <c r="C27" s="86">
        <v>320</v>
      </c>
      <c r="D27" s="124">
        <f t="shared" si="0"/>
        <v>5760</v>
      </c>
      <c r="E27" s="86">
        <v>50</v>
      </c>
      <c r="F27" s="87">
        <f t="shared" si="1"/>
        <v>900</v>
      </c>
    </row>
    <row r="28" spans="1:11" x14ac:dyDescent="0.25">
      <c r="A28" s="82" t="s">
        <v>157</v>
      </c>
      <c r="B28" s="83">
        <v>15</v>
      </c>
      <c r="C28" s="123">
        <v>450000</v>
      </c>
      <c r="D28" s="123">
        <f t="shared" si="0"/>
        <v>6750000</v>
      </c>
      <c r="E28" s="83">
        <v>100000</v>
      </c>
      <c r="F28" s="84">
        <f t="shared" si="1"/>
        <v>1500000</v>
      </c>
    </row>
    <row r="29" spans="1:11" x14ac:dyDescent="0.25">
      <c r="A29" s="85" t="s">
        <v>158</v>
      </c>
      <c r="B29" s="86">
        <v>4500</v>
      </c>
      <c r="C29" s="86">
        <v>20</v>
      </c>
      <c r="D29" s="124">
        <f t="shared" si="0"/>
        <v>90000</v>
      </c>
      <c r="E29" s="86">
        <v>3</v>
      </c>
      <c r="F29" s="87">
        <f t="shared" si="1"/>
        <v>13500</v>
      </c>
    </row>
    <row r="30" spans="1:11" x14ac:dyDescent="0.25">
      <c r="A30" s="82" t="s">
        <v>159</v>
      </c>
      <c r="B30" s="83">
        <v>7</v>
      </c>
      <c r="C30" s="83">
        <v>250000</v>
      </c>
      <c r="D30" s="123">
        <f t="shared" si="0"/>
        <v>1750000</v>
      </c>
      <c r="E30" s="83">
        <v>60000</v>
      </c>
      <c r="F30" s="84">
        <f t="shared" si="1"/>
        <v>420000</v>
      </c>
      <c r="I30" s="99"/>
      <c r="J30" s="107" t="s">
        <v>167</v>
      </c>
      <c r="K30" s="107" t="s">
        <v>203</v>
      </c>
    </row>
    <row r="31" spans="1:11" x14ac:dyDescent="0.25">
      <c r="A31" s="85" t="s">
        <v>160</v>
      </c>
      <c r="B31" s="86">
        <v>100</v>
      </c>
      <c r="C31" s="86">
        <v>10</v>
      </c>
      <c r="D31" s="124">
        <f t="shared" si="0"/>
        <v>1000</v>
      </c>
      <c r="E31" s="86">
        <v>5</v>
      </c>
      <c r="F31" s="87">
        <f t="shared" si="1"/>
        <v>500</v>
      </c>
      <c r="I31" s="99" t="s">
        <v>166</v>
      </c>
      <c r="J31" s="99">
        <f>D18+D26+D27+D29+D30+D31+D32+D33+D34</f>
        <v>8077660</v>
      </c>
      <c r="K31" s="99">
        <f>F18+F26+F27+F29+F30+F31+F32+F33+F34</f>
        <v>1083200</v>
      </c>
    </row>
    <row r="32" spans="1:11" x14ac:dyDescent="0.25">
      <c r="A32" s="82" t="s">
        <v>161</v>
      </c>
      <c r="B32" s="83">
        <v>25000</v>
      </c>
      <c r="C32" s="83">
        <v>10</v>
      </c>
      <c r="D32" s="123">
        <f t="shared" si="0"/>
        <v>250000</v>
      </c>
      <c r="E32" s="83">
        <v>3</v>
      </c>
      <c r="F32" s="84">
        <f t="shared" si="1"/>
        <v>75000</v>
      </c>
      <c r="I32" s="99" t="s">
        <v>189</v>
      </c>
      <c r="J32" s="99">
        <f>SUM(D5:D16)+D28</f>
        <v>50894000</v>
      </c>
      <c r="K32" s="99">
        <f>SUM(F5:EF16)+F28</f>
        <v>14720100</v>
      </c>
    </row>
    <row r="33" spans="1:14" x14ac:dyDescent="0.25">
      <c r="A33" s="85" t="s">
        <v>162</v>
      </c>
      <c r="B33" s="86">
        <v>15</v>
      </c>
      <c r="C33" s="86"/>
      <c r="D33" s="124"/>
      <c r="E33" s="86">
        <v>200</v>
      </c>
      <c r="F33" s="87">
        <f t="shared" si="1"/>
        <v>3000</v>
      </c>
      <c r="I33" t="s">
        <v>221</v>
      </c>
      <c r="J33" s="99">
        <f>D17+D19+D20+D21+D22+D23+D24+D25</f>
        <v>14925000</v>
      </c>
    </row>
    <row r="34" spans="1:14" ht="15.75" thickBot="1" x14ac:dyDescent="0.3">
      <c r="A34" s="88" t="s">
        <v>163</v>
      </c>
      <c r="B34" s="89">
        <v>30</v>
      </c>
      <c r="C34" s="89">
        <v>30</v>
      </c>
      <c r="D34" s="125">
        <f>B34*C34</f>
        <v>900</v>
      </c>
      <c r="E34" s="89">
        <v>10</v>
      </c>
      <c r="F34" s="90">
        <f t="shared" si="1"/>
        <v>300</v>
      </c>
      <c r="I34" t="s">
        <v>168</v>
      </c>
      <c r="J34" s="99">
        <f>J31+J32+J33</f>
        <v>73896660</v>
      </c>
      <c r="N34" s="139"/>
    </row>
    <row r="35" spans="1:14" x14ac:dyDescent="0.25">
      <c r="A35" s="91"/>
      <c r="B35" s="92"/>
      <c r="C35" s="92"/>
      <c r="D35" s="92"/>
      <c r="E35" s="92"/>
      <c r="F35" s="93"/>
    </row>
    <row r="36" spans="1:14" x14ac:dyDescent="0.25">
      <c r="A36" s="94" t="s">
        <v>164</v>
      </c>
      <c r="B36" s="95"/>
      <c r="C36" s="95"/>
      <c r="D36" s="100">
        <f>SUM(D5:D34)</f>
        <v>73896660</v>
      </c>
      <c r="E36" s="101"/>
      <c r="F36" s="102">
        <f>SUM(F5:F35)</f>
        <v>15803300</v>
      </c>
    </row>
    <row r="37" spans="1:14" x14ac:dyDescent="0.25">
      <c r="A37" s="96"/>
      <c r="B37" s="39"/>
      <c r="C37" s="39"/>
      <c r="D37" s="103"/>
      <c r="E37" s="103"/>
      <c r="F37" s="104"/>
    </row>
    <row r="38" spans="1:14" ht="15.75" thickBot="1" x14ac:dyDescent="0.3">
      <c r="A38" s="97" t="s">
        <v>165</v>
      </c>
      <c r="B38" s="98"/>
      <c r="C38" s="98"/>
      <c r="D38" s="105"/>
      <c r="E38" s="105"/>
      <c r="F38" s="106">
        <f>SUM(D36+F36)</f>
        <v>89699960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zoomScale="120" zoomScaleNormal="120" workbookViewId="0">
      <selection activeCell="H10" sqref="H10"/>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topLeftCell="A3" workbookViewId="0">
      <selection activeCell="G8" sqref="G8"/>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Sheet</vt:lpstr>
      <vt:lpstr>Servicecosts</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2020-04-26T10:04:36Z</dcterms:modified>
</cp:coreProperties>
</file>