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9600" firstSheet="5" activeTab="12"/>
  </bookViews>
  <sheets>
    <sheet name="ბენეფიციარი" sheetId="1" r:id="rId1"/>
    <sheet name="Sheet15" sheetId="20" r:id="rId2"/>
    <sheet name="მედიკამენტები" sheetId="2" r:id="rId3"/>
    <sheet name="საპენსიო" sheetId="3" r:id="rId4"/>
    <sheet name="შშმპ" sheetId="4" r:id="rId5"/>
    <sheet name="გულ-სისხლძარღვთა-1" sheetId="5" r:id="rId6"/>
    <sheet name="გულ-სისხლძარღვთა-2" sheetId="6" r:id="rId7"/>
    <sheet name="დიაბეტი" sheetId="7" r:id="rId8"/>
    <sheet name="ფარისებრი" sheetId="8" r:id="rId9"/>
    <sheet name="ფილტვი" sheetId="9" r:id="rId10"/>
    <sheet name="პარკინსონი" sheetId="10" r:id="rId11"/>
    <sheet name="ეპილეფსია" sheetId="11" r:id="rId12"/>
    <sheet name="Sheet7" sheetId="12" r:id="rId13"/>
    <sheet name="ვადაგასული მედიკამენტები" sheetId="21" r:id="rId14"/>
  </sheets>
  <definedNames>
    <definedName name="_xlnm._FilterDatabase" localSheetId="2" hidden="1">მედიკამენტები!$A$1:$AH$44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1" l="1"/>
  <c r="D23" i="21"/>
  <c r="C23" i="21"/>
  <c r="D22" i="21"/>
  <c r="C22" i="21"/>
  <c r="D21" i="21"/>
  <c r="D20" i="21"/>
  <c r="C20" i="21"/>
  <c r="C21" i="21"/>
  <c r="G14" i="21"/>
  <c r="AQ43" i="12" l="1"/>
  <c r="AR43" i="12" s="1"/>
  <c r="AS43" i="12" s="1"/>
  <c r="AT43" i="12" s="1"/>
  <c r="AH43" i="12"/>
  <c r="AE43" i="12"/>
  <c r="H43" i="12"/>
  <c r="G43" i="12"/>
  <c r="AT42" i="12"/>
  <c r="AS42" i="12"/>
  <c r="AE42" i="12"/>
  <c r="AH42" i="12" s="1"/>
  <c r="H42" i="12"/>
  <c r="AQ41" i="12"/>
  <c r="AR41" i="12" s="1"/>
  <c r="AU41" i="12" s="1"/>
  <c r="AH41" i="12"/>
  <c r="AG41" i="12"/>
  <c r="AE41" i="12"/>
  <c r="H41" i="12"/>
  <c r="G41" i="12"/>
  <c r="AR40" i="12"/>
  <c r="AQ40" i="12"/>
  <c r="AG40" i="12"/>
  <c r="AE40" i="12"/>
  <c r="H40" i="12"/>
  <c r="G40" i="12"/>
  <c r="AU39" i="12"/>
  <c r="AQ39" i="12"/>
  <c r="AP39" i="12"/>
  <c r="AR39" i="12" s="1"/>
  <c r="AS39" i="12" s="1"/>
  <c r="AT39" i="12" s="1"/>
  <c r="AE39" i="12"/>
  <c r="AH39" i="12" s="1"/>
  <c r="H39" i="12"/>
  <c r="G39" i="12"/>
  <c r="AQ38" i="12"/>
  <c r="AP38" i="12"/>
  <c r="AR38" i="12" s="1"/>
  <c r="AH38" i="12"/>
  <c r="AE38" i="12"/>
  <c r="H38" i="12"/>
  <c r="G38" i="12"/>
  <c r="AQ37" i="12"/>
  <c r="AR37" i="12" s="1"/>
  <c r="AU37" i="12" s="1"/>
  <c r="AP37" i="12"/>
  <c r="AE37" i="12"/>
  <c r="AH37" i="12" s="1"/>
  <c r="H37" i="12"/>
  <c r="G37" i="12"/>
  <c r="AR36" i="12"/>
  <c r="AQ36" i="12"/>
  <c r="AP36" i="12"/>
  <c r="AH36" i="12"/>
  <c r="AE36" i="12"/>
  <c r="H36" i="12"/>
  <c r="G36" i="12"/>
  <c r="AQ35" i="12"/>
  <c r="AP35" i="12"/>
  <c r="AE35" i="12"/>
  <c r="AH35" i="12" s="1"/>
  <c r="L35" i="12"/>
  <c r="K35" i="12"/>
  <c r="E35" i="12" s="1"/>
  <c r="J35" i="12"/>
  <c r="H35" i="12"/>
  <c r="G35" i="12"/>
  <c r="F35" i="12"/>
  <c r="AQ34" i="12"/>
  <c r="AP34" i="12"/>
  <c r="AR34" i="12" s="1"/>
  <c r="AS34" i="12" s="1"/>
  <c r="AT34" i="12" s="1"/>
  <c r="AE34" i="12"/>
  <c r="AH34" i="12" s="1"/>
  <c r="H34" i="12"/>
  <c r="G34" i="12"/>
  <c r="F34" i="12"/>
  <c r="E34" i="12"/>
  <c r="AR33" i="12"/>
  <c r="AQ33" i="12"/>
  <c r="AP33" i="12"/>
  <c r="N33" i="12"/>
  <c r="M33" i="12"/>
  <c r="L33" i="12"/>
  <c r="E33" i="12" s="1"/>
  <c r="K33" i="12"/>
  <c r="J33" i="12"/>
  <c r="H33" i="12"/>
  <c r="G33" i="12"/>
  <c r="F33" i="12"/>
  <c r="AS32" i="12"/>
  <c r="AT32" i="12" s="1"/>
  <c r="AH32" i="12"/>
  <c r="AE32" i="12"/>
  <c r="H32" i="12"/>
  <c r="G32" i="12"/>
  <c r="AQ31" i="12"/>
  <c r="AP31" i="12"/>
  <c r="AR31" i="12" s="1"/>
  <c r="AU31" i="12" s="1"/>
  <c r="AE31" i="12"/>
  <c r="AH31" i="12" s="1"/>
  <c r="N31" i="12"/>
  <c r="L31" i="12"/>
  <c r="E31" i="12" s="1"/>
  <c r="J31" i="12"/>
  <c r="H31" i="12"/>
  <c r="G31" i="12"/>
  <c r="F31" i="12"/>
  <c r="AU30" i="12"/>
  <c r="AS30" i="12"/>
  <c r="AT30" i="12" s="1"/>
  <c r="AM30" i="12" s="1"/>
  <c r="AP30" i="12"/>
  <c r="AR30" i="12" s="1"/>
  <c r="AE30" i="12"/>
  <c r="AH30" i="12" s="1"/>
  <c r="N30" i="12"/>
  <c r="H30" i="12"/>
  <c r="G30" i="12"/>
  <c r="F30" i="12"/>
  <c r="E30" i="12"/>
  <c r="AQ29" i="12"/>
  <c r="AP29" i="12"/>
  <c r="AA29" i="12"/>
  <c r="H29" i="12" s="1"/>
  <c r="N29" i="12"/>
  <c r="AE29" i="12" s="1"/>
  <c r="AH29" i="12" s="1"/>
  <c r="G29" i="12"/>
  <c r="F29" i="12"/>
  <c r="E29" i="12"/>
  <c r="AR28" i="12"/>
  <c r="AQ28" i="12"/>
  <c r="AP28" i="12"/>
  <c r="N28" i="12"/>
  <c r="E28" i="12" s="1"/>
  <c r="L28" i="12"/>
  <c r="H28" i="12"/>
  <c r="G28" i="12"/>
  <c r="F28" i="12"/>
  <c r="AU27" i="12"/>
  <c r="AS27" i="12"/>
  <c r="AT27" i="12" s="1"/>
  <c r="AQ27" i="12"/>
  <c r="AR27" i="12" s="1"/>
  <c r="AP27" i="12"/>
  <c r="N27" i="12"/>
  <c r="L27" i="12"/>
  <c r="AE27" i="12" s="1"/>
  <c r="AH27" i="12" s="1"/>
  <c r="H27" i="12"/>
  <c r="G27" i="12"/>
  <c r="F27" i="12"/>
  <c r="E27" i="12"/>
  <c r="AQ26" i="12"/>
  <c r="AP26" i="12"/>
  <c r="AR26" i="12" s="1"/>
  <c r="N26" i="12"/>
  <c r="E26" i="12" s="1"/>
  <c r="L26" i="12"/>
  <c r="J26" i="12"/>
  <c r="H26" i="12"/>
  <c r="G26" i="12"/>
  <c r="F26" i="12"/>
  <c r="AR25" i="12"/>
  <c r="AQ25" i="12"/>
  <c r="AP25" i="12"/>
  <c r="N25" i="12"/>
  <c r="L25" i="12"/>
  <c r="J25" i="12"/>
  <c r="AE25" i="12" s="1"/>
  <c r="AH25" i="12" s="1"/>
  <c r="H25" i="12"/>
  <c r="G25" i="12"/>
  <c r="F25" i="12"/>
  <c r="E25" i="12"/>
  <c r="AQ24" i="12"/>
  <c r="AP24" i="12"/>
  <c r="AR24" i="12" s="1"/>
  <c r="N24" i="12"/>
  <c r="E24" i="12" s="1"/>
  <c r="L24" i="12"/>
  <c r="K24" i="12"/>
  <c r="H24" i="12"/>
  <c r="G24" i="12"/>
  <c r="F24" i="12"/>
  <c r="AR23" i="12"/>
  <c r="AP23" i="12"/>
  <c r="AE23" i="12"/>
  <c r="AH23" i="12" s="1"/>
  <c r="H23" i="12"/>
  <c r="G23" i="12"/>
  <c r="AQ22" i="12"/>
  <c r="AP22" i="12"/>
  <c r="AR22" i="12" s="1"/>
  <c r="AH22" i="12"/>
  <c r="AE22" i="12"/>
  <c r="H22" i="12"/>
  <c r="G22" i="12"/>
  <c r="AQ21" i="12"/>
  <c r="AR21" i="12" s="1"/>
  <c r="AU21" i="12" s="1"/>
  <c r="AP21" i="12"/>
  <c r="AE21" i="12"/>
  <c r="AH21" i="12" s="1"/>
  <c r="H21" i="12"/>
  <c r="G21" i="12"/>
  <c r="AR20" i="12"/>
  <c r="AP20" i="12"/>
  <c r="AE20" i="12"/>
  <c r="AH20" i="12" s="1"/>
  <c r="H20" i="12"/>
  <c r="G20" i="12"/>
  <c r="AS19" i="12"/>
  <c r="AT19" i="12" s="1"/>
  <c r="AH19" i="12"/>
  <c r="AE19" i="12"/>
  <c r="H19" i="12"/>
  <c r="G19" i="12"/>
  <c r="AT18" i="12"/>
  <c r="AS18" i="12"/>
  <c r="AE18" i="12"/>
  <c r="AH18" i="12" s="1"/>
  <c r="H18" i="12"/>
  <c r="G18" i="12"/>
  <c r="AQ17" i="12"/>
  <c r="AR17" i="12" s="1"/>
  <c r="AU17" i="12" s="1"/>
  <c r="AH17" i="12"/>
  <c r="AE17" i="12"/>
  <c r="H17" i="12"/>
  <c r="G17" i="12"/>
  <c r="AQ16" i="12"/>
  <c r="AP16" i="12"/>
  <c r="AR16" i="12" s="1"/>
  <c r="AH16" i="12"/>
  <c r="AE16" i="12"/>
  <c r="H16" i="12"/>
  <c r="G16" i="12"/>
  <c r="AR15" i="12"/>
  <c r="AQ15" i="12"/>
  <c r="AP15" i="12"/>
  <c r="AH15" i="12"/>
  <c r="AE15" i="12"/>
  <c r="H15" i="12"/>
  <c r="G15" i="12"/>
  <c r="AR14" i="12"/>
  <c r="AQ14" i="12"/>
  <c r="AP14" i="12"/>
  <c r="N14" i="12"/>
  <c r="L14" i="12"/>
  <c r="K14" i="12"/>
  <c r="J14" i="12"/>
  <c r="AE14" i="12" s="1"/>
  <c r="AH14" i="12" s="1"/>
  <c r="H14" i="12"/>
  <c r="G14" i="12"/>
  <c r="F14" i="12"/>
  <c r="E14" i="12"/>
  <c r="AR13" i="12"/>
  <c r="AQ13" i="12"/>
  <c r="AP13" i="12"/>
  <c r="N13" i="12"/>
  <c r="E13" i="12" s="1"/>
  <c r="L13" i="12"/>
  <c r="K13" i="12"/>
  <c r="H13" i="12"/>
  <c r="G13" i="12"/>
  <c r="F13" i="12"/>
  <c r="AQ12" i="12"/>
  <c r="AP12" i="12"/>
  <c r="AR12" i="12" s="1"/>
  <c r="N12" i="12"/>
  <c r="E12" i="12" s="1"/>
  <c r="L12" i="12"/>
  <c r="H12" i="12"/>
  <c r="G12" i="12"/>
  <c r="F12" i="12"/>
  <c r="AQ11" i="12"/>
  <c r="AP11" i="12"/>
  <c r="AR11" i="12" s="1"/>
  <c r="N11" i="12"/>
  <c r="L11" i="12"/>
  <c r="K11" i="12"/>
  <c r="E11" i="12" s="1"/>
  <c r="J11" i="12"/>
  <c r="AE11" i="12" s="1"/>
  <c r="AH11" i="12" s="1"/>
  <c r="H11" i="12"/>
  <c r="G11" i="12"/>
  <c r="F11" i="12"/>
  <c r="AR10" i="12"/>
  <c r="AU10" i="12" s="1"/>
  <c r="AQ10" i="12"/>
  <c r="AP10" i="12"/>
  <c r="N10" i="12"/>
  <c r="L10" i="12"/>
  <c r="K10" i="12"/>
  <c r="AE10" i="12" s="1"/>
  <c r="AH10" i="12" s="1"/>
  <c r="H10" i="12"/>
  <c r="G10" i="12"/>
  <c r="F10" i="12"/>
  <c r="E10" i="12"/>
  <c r="AQ9" i="12"/>
  <c r="AP9" i="12"/>
  <c r="AR9" i="12" s="1"/>
  <c r="N9" i="12"/>
  <c r="L9" i="12"/>
  <c r="AE9" i="12" s="1"/>
  <c r="AH9" i="12" s="1"/>
  <c r="H9" i="12"/>
  <c r="G9" i="12"/>
  <c r="F9" i="12"/>
  <c r="E9" i="12"/>
  <c r="AQ8" i="12"/>
  <c r="AR8" i="12" s="1"/>
  <c r="AP8" i="12"/>
  <c r="N8" i="12"/>
  <c r="L8" i="12"/>
  <c r="AE8" i="12" s="1"/>
  <c r="AH8" i="12" s="1"/>
  <c r="H8" i="12"/>
  <c r="G8" i="12"/>
  <c r="F8" i="12"/>
  <c r="E8" i="12"/>
  <c r="AQ7" i="12"/>
  <c r="AR7" i="12" s="1"/>
  <c r="AP7" i="12"/>
  <c r="N7" i="12"/>
  <c r="L7" i="12"/>
  <c r="E7" i="12" s="1"/>
  <c r="K7" i="12"/>
  <c r="J7" i="12"/>
  <c r="H7" i="12"/>
  <c r="G7" i="12"/>
  <c r="F7" i="12"/>
  <c r="AQ6" i="12"/>
  <c r="AP6" i="12"/>
  <c r="N6" i="12"/>
  <c r="L6" i="12"/>
  <c r="K6" i="12"/>
  <c r="J6" i="12"/>
  <c r="AE6" i="12" s="1"/>
  <c r="AH6" i="12" s="1"/>
  <c r="H6" i="12"/>
  <c r="G6" i="12"/>
  <c r="F6" i="12"/>
  <c r="E6" i="12"/>
  <c r="AS5" i="12"/>
  <c r="AQ5" i="12"/>
  <c r="AR5" i="12" s="1"/>
  <c r="AU5" i="12" s="1"/>
  <c r="AP5" i="12"/>
  <c r="N5" i="12"/>
  <c r="L5" i="12"/>
  <c r="AE5" i="12" s="1"/>
  <c r="AH5" i="12" s="1"/>
  <c r="H5" i="12"/>
  <c r="G5" i="12"/>
  <c r="F5" i="12"/>
  <c r="E5" i="12"/>
  <c r="AQ4" i="12"/>
  <c r="AR4" i="12" s="1"/>
  <c r="AU4" i="12" s="1"/>
  <c r="AP4" i="12"/>
  <c r="AB4" i="12"/>
  <c r="N4" i="12"/>
  <c r="L4" i="12"/>
  <c r="K4" i="12"/>
  <c r="J4" i="12"/>
  <c r="H4" i="12"/>
  <c r="G4" i="12"/>
  <c r="F4" i="12"/>
  <c r="AR3" i="12"/>
  <c r="AQ3" i="12"/>
  <c r="AP3" i="12"/>
  <c r="N3" i="12"/>
  <c r="L3" i="12"/>
  <c r="K3" i="12"/>
  <c r="E3" i="12" s="1"/>
  <c r="J3" i="12"/>
  <c r="H3" i="12"/>
  <c r="G3" i="12"/>
  <c r="F3" i="12"/>
  <c r="AQ2" i="12"/>
  <c r="AP2" i="12"/>
  <c r="AR2" i="12" s="1"/>
  <c r="N2" i="12"/>
  <c r="L2" i="12"/>
  <c r="K2" i="12"/>
  <c r="J2" i="12"/>
  <c r="AE2" i="12" s="1"/>
  <c r="H2" i="12"/>
  <c r="G2" i="12"/>
  <c r="F2" i="12"/>
  <c r="AQ43" i="11"/>
  <c r="AR43" i="11" s="1"/>
  <c r="AE43" i="11"/>
  <c r="AH43" i="11" s="1"/>
  <c r="H43" i="11"/>
  <c r="G43" i="11"/>
  <c r="AS42" i="11"/>
  <c r="AT42" i="11" s="1"/>
  <c r="AH42" i="11"/>
  <c r="AE42" i="11"/>
  <c r="H42" i="11"/>
  <c r="AQ41" i="11"/>
  <c r="AR41" i="11" s="1"/>
  <c r="AG41" i="11"/>
  <c r="AE41" i="11"/>
  <c r="AH41" i="11" s="1"/>
  <c r="H41" i="11"/>
  <c r="G41" i="11"/>
  <c r="AQ40" i="11"/>
  <c r="AR40" i="11" s="1"/>
  <c r="AG40" i="11"/>
  <c r="AE40" i="11"/>
  <c r="AH40" i="11" s="1"/>
  <c r="H40" i="11"/>
  <c r="G40" i="11"/>
  <c r="AQ39" i="11"/>
  <c r="AP39" i="11"/>
  <c r="AR39" i="11" s="1"/>
  <c r="AE39" i="11"/>
  <c r="AH39" i="11" s="1"/>
  <c r="H39" i="11"/>
  <c r="G39" i="11"/>
  <c r="AR38" i="11"/>
  <c r="AS38" i="11" s="1"/>
  <c r="AT38" i="11" s="1"/>
  <c r="AQ38" i="11"/>
  <c r="AP38" i="11"/>
  <c r="AH38" i="11"/>
  <c r="AE38" i="11"/>
  <c r="H38" i="11"/>
  <c r="G38" i="11"/>
  <c r="AQ37" i="11"/>
  <c r="AR37" i="11" s="1"/>
  <c r="AP37" i="11"/>
  <c r="AE37" i="11"/>
  <c r="AH37" i="11" s="1"/>
  <c r="H37" i="11"/>
  <c r="G37" i="11"/>
  <c r="AQ36" i="11"/>
  <c r="AP36" i="11"/>
  <c r="AR36" i="11" s="1"/>
  <c r="AE36" i="11"/>
  <c r="AH36" i="11" s="1"/>
  <c r="H36" i="11"/>
  <c r="G36" i="11"/>
  <c r="AQ35" i="11"/>
  <c r="AP35" i="11"/>
  <c r="AR35" i="11" s="1"/>
  <c r="L35" i="11"/>
  <c r="K35" i="11"/>
  <c r="E35" i="11" s="1"/>
  <c r="J35" i="11"/>
  <c r="H35" i="11"/>
  <c r="G35" i="11"/>
  <c r="F35" i="11"/>
  <c r="AQ34" i="11"/>
  <c r="AP34" i="11"/>
  <c r="AR34" i="11" s="1"/>
  <c r="AE34" i="11"/>
  <c r="AH34" i="11" s="1"/>
  <c r="H34" i="11"/>
  <c r="G34" i="11"/>
  <c r="F34" i="11"/>
  <c r="E34" i="11"/>
  <c r="AQ33" i="11"/>
  <c r="AP33" i="11"/>
  <c r="AR33" i="11" s="1"/>
  <c r="N33" i="11"/>
  <c r="M33" i="11"/>
  <c r="L33" i="11"/>
  <c r="K33" i="11"/>
  <c r="J33" i="11"/>
  <c r="AE33" i="11" s="1"/>
  <c r="AH33" i="11" s="1"/>
  <c r="H33" i="11"/>
  <c r="G33" i="11"/>
  <c r="F33" i="11"/>
  <c r="E33" i="11"/>
  <c r="AS32" i="11"/>
  <c r="AT32" i="11" s="1"/>
  <c r="AE32" i="11"/>
  <c r="AH32" i="11" s="1"/>
  <c r="H32" i="11"/>
  <c r="G32" i="11"/>
  <c r="AQ31" i="11"/>
  <c r="AP31" i="11"/>
  <c r="AR31" i="11" s="1"/>
  <c r="N31" i="11"/>
  <c r="L31" i="11"/>
  <c r="E31" i="11" s="1"/>
  <c r="J31" i="11"/>
  <c r="AE31" i="11" s="1"/>
  <c r="AH31" i="11" s="1"/>
  <c r="H31" i="11"/>
  <c r="G31" i="11"/>
  <c r="F31" i="11"/>
  <c r="AP30" i="11"/>
  <c r="AR30" i="11" s="1"/>
  <c r="AE30" i="11"/>
  <c r="AH30" i="11" s="1"/>
  <c r="N30" i="11"/>
  <c r="H30" i="11"/>
  <c r="G30" i="11"/>
  <c r="F30" i="11"/>
  <c r="E30" i="11"/>
  <c r="AQ29" i="11"/>
  <c r="AP29" i="11"/>
  <c r="AR29" i="11" s="1"/>
  <c r="AA29" i="11"/>
  <c r="H29" i="11" s="1"/>
  <c r="N29" i="11"/>
  <c r="AE29" i="11" s="1"/>
  <c r="AH29" i="11" s="1"/>
  <c r="G29" i="11"/>
  <c r="F29" i="11"/>
  <c r="E29" i="11"/>
  <c r="AR28" i="11"/>
  <c r="AS28" i="11" s="1"/>
  <c r="AT28" i="11" s="1"/>
  <c r="AQ28" i="11"/>
  <c r="AP28" i="11"/>
  <c r="N28" i="11"/>
  <c r="L28" i="11"/>
  <c r="AE28" i="11" s="1"/>
  <c r="AH28" i="11" s="1"/>
  <c r="H28" i="11"/>
  <c r="G28" i="11"/>
  <c r="F28" i="11"/>
  <c r="E28" i="11"/>
  <c r="AQ27" i="11"/>
  <c r="AR27" i="11" s="1"/>
  <c r="AP27" i="11"/>
  <c r="AE27" i="11"/>
  <c r="AH27" i="11" s="1"/>
  <c r="N27" i="11"/>
  <c r="L27" i="11"/>
  <c r="H27" i="11"/>
  <c r="G27" i="11"/>
  <c r="F27" i="11"/>
  <c r="E27" i="11"/>
  <c r="AQ26" i="11"/>
  <c r="AP26" i="11"/>
  <c r="AR26" i="11" s="1"/>
  <c r="N26" i="11"/>
  <c r="AE26" i="11" s="1"/>
  <c r="AH26" i="11" s="1"/>
  <c r="L26" i="11"/>
  <c r="J26" i="11"/>
  <c r="H26" i="11"/>
  <c r="G26" i="11"/>
  <c r="F26" i="11"/>
  <c r="AQ25" i="11"/>
  <c r="AP25" i="11"/>
  <c r="AR25" i="11" s="1"/>
  <c r="AE25" i="11"/>
  <c r="AH25" i="11" s="1"/>
  <c r="N25" i="11"/>
  <c r="E25" i="11" s="1"/>
  <c r="L25" i="11"/>
  <c r="J25" i="11"/>
  <c r="H25" i="11"/>
  <c r="G25" i="11"/>
  <c r="F25" i="11"/>
  <c r="AQ24" i="11"/>
  <c r="AP24" i="11"/>
  <c r="AR24" i="11" s="1"/>
  <c r="N24" i="11"/>
  <c r="L24" i="11"/>
  <c r="K24" i="11"/>
  <c r="H24" i="11"/>
  <c r="G24" i="11"/>
  <c r="F24" i="11"/>
  <c r="AP23" i="11"/>
  <c r="AR23" i="11" s="1"/>
  <c r="AE23" i="11"/>
  <c r="AH23" i="11" s="1"/>
  <c r="H23" i="11"/>
  <c r="G23" i="11"/>
  <c r="AR22" i="11"/>
  <c r="AQ22" i="11"/>
  <c r="AP22" i="11"/>
  <c r="AE22" i="11"/>
  <c r="AH22" i="11" s="1"/>
  <c r="H22" i="11"/>
  <c r="G22" i="11"/>
  <c r="AQ21" i="11"/>
  <c r="AR21" i="11" s="1"/>
  <c r="AS21" i="11" s="1"/>
  <c r="AT21" i="11" s="1"/>
  <c r="AP21" i="11"/>
  <c r="AE21" i="11"/>
  <c r="AH21" i="11" s="1"/>
  <c r="H21" i="11"/>
  <c r="G21" i="11"/>
  <c r="AP20" i="11"/>
  <c r="AR20" i="11" s="1"/>
  <c r="AE20" i="11"/>
  <c r="AH20" i="11" s="1"/>
  <c r="H20" i="11"/>
  <c r="G20" i="11"/>
  <c r="AS19" i="11"/>
  <c r="AT19" i="11" s="1"/>
  <c r="AE19" i="11"/>
  <c r="AH19" i="11" s="1"/>
  <c r="H19" i="11"/>
  <c r="G19" i="11"/>
  <c r="AS18" i="11"/>
  <c r="AT18" i="11" s="1"/>
  <c r="AE18" i="11"/>
  <c r="AH18" i="11" s="1"/>
  <c r="H18" i="11"/>
  <c r="G18" i="11"/>
  <c r="AR17" i="11"/>
  <c r="AS17" i="11" s="1"/>
  <c r="AT17" i="11" s="1"/>
  <c r="AQ17" i="11"/>
  <c r="AE17" i="11"/>
  <c r="AH17" i="11" s="1"/>
  <c r="H17" i="11"/>
  <c r="G17" i="11"/>
  <c r="AT16" i="11"/>
  <c r="AQ16" i="11"/>
  <c r="AP16" i="11"/>
  <c r="AR16" i="11" s="1"/>
  <c r="AS16" i="11" s="1"/>
  <c r="AV16" i="11" s="1"/>
  <c r="AE16" i="11"/>
  <c r="AH16" i="11" s="1"/>
  <c r="H16" i="11"/>
  <c r="G16" i="11"/>
  <c r="AQ15" i="11"/>
  <c r="AP15" i="11"/>
  <c r="AE15" i="11"/>
  <c r="AH15" i="11" s="1"/>
  <c r="H15" i="11"/>
  <c r="G15" i="11"/>
  <c r="AQ14" i="11"/>
  <c r="AP14" i="11"/>
  <c r="AR14" i="11" s="1"/>
  <c r="AS14" i="11" s="1"/>
  <c r="AV14" i="11" s="1"/>
  <c r="N14" i="11"/>
  <c r="E14" i="11" s="1"/>
  <c r="L14" i="11"/>
  <c r="K14" i="11"/>
  <c r="J14" i="11"/>
  <c r="AE14" i="11" s="1"/>
  <c r="AH14" i="11" s="1"/>
  <c r="H14" i="11"/>
  <c r="G14" i="11"/>
  <c r="F14" i="11"/>
  <c r="AR13" i="11"/>
  <c r="AU13" i="11" s="1"/>
  <c r="AQ13" i="11"/>
  <c r="AP13" i="11"/>
  <c r="N13" i="11"/>
  <c r="L13" i="11"/>
  <c r="E13" i="11" s="1"/>
  <c r="K13" i="11"/>
  <c r="H13" i="11"/>
  <c r="G13" i="11"/>
  <c r="F13" i="11"/>
  <c r="AQ12" i="11"/>
  <c r="AP12" i="11"/>
  <c r="AR12" i="11" s="1"/>
  <c r="AS12" i="11" s="1"/>
  <c r="N12" i="11"/>
  <c r="E12" i="11" s="1"/>
  <c r="L12" i="11"/>
  <c r="H12" i="11"/>
  <c r="G12" i="11"/>
  <c r="F12" i="11"/>
  <c r="AQ11" i="11"/>
  <c r="AP11" i="11"/>
  <c r="AR11" i="11" s="1"/>
  <c r="N11" i="11"/>
  <c r="L11" i="11"/>
  <c r="K11" i="11"/>
  <c r="E11" i="11" s="1"/>
  <c r="J11" i="11"/>
  <c r="AE11" i="11" s="1"/>
  <c r="AH11" i="11" s="1"/>
  <c r="H11" i="11"/>
  <c r="G11" i="11"/>
  <c r="F11" i="11"/>
  <c r="AR10" i="11"/>
  <c r="AU10" i="11" s="1"/>
  <c r="AQ10" i="11"/>
  <c r="AP10" i="11"/>
  <c r="N10" i="11"/>
  <c r="L10" i="11"/>
  <c r="K10" i="11"/>
  <c r="AE10" i="11" s="1"/>
  <c r="AH10" i="11" s="1"/>
  <c r="H10" i="11"/>
  <c r="G10" i="11"/>
  <c r="F10" i="11"/>
  <c r="E10" i="11"/>
  <c r="AQ9" i="11"/>
  <c r="AP9" i="11"/>
  <c r="AR9" i="11" s="1"/>
  <c r="N9" i="11"/>
  <c r="L9" i="11"/>
  <c r="AE9" i="11" s="1"/>
  <c r="AH9" i="11" s="1"/>
  <c r="H9" i="11"/>
  <c r="G9" i="11"/>
  <c r="F9" i="11"/>
  <c r="E9" i="11"/>
  <c r="AQ8" i="11"/>
  <c r="AP8" i="11"/>
  <c r="AR8" i="11" s="1"/>
  <c r="N8" i="11"/>
  <c r="L8" i="11"/>
  <c r="AE8" i="11" s="1"/>
  <c r="AH8" i="11" s="1"/>
  <c r="H8" i="11"/>
  <c r="G8" i="11"/>
  <c r="F8" i="11"/>
  <c r="E8" i="11"/>
  <c r="AQ7" i="11"/>
  <c r="AP7" i="11"/>
  <c r="AR7" i="11" s="1"/>
  <c r="N7" i="11"/>
  <c r="L7" i="11"/>
  <c r="E7" i="11" s="1"/>
  <c r="K7" i="11"/>
  <c r="J7" i="11"/>
  <c r="AE7" i="11" s="1"/>
  <c r="AH7" i="11" s="1"/>
  <c r="H7" i="11"/>
  <c r="G7" i="11"/>
  <c r="F7" i="11"/>
  <c r="AQ6" i="11"/>
  <c r="AP6" i="11"/>
  <c r="AR6" i="11" s="1"/>
  <c r="N6" i="11"/>
  <c r="L6" i="11"/>
  <c r="K6" i="11"/>
  <c r="J6" i="11"/>
  <c r="AE6" i="11" s="1"/>
  <c r="AH6" i="11" s="1"/>
  <c r="H6" i="11"/>
  <c r="G6" i="11"/>
  <c r="F6" i="11"/>
  <c r="E6" i="11"/>
  <c r="AQ5" i="11"/>
  <c r="AP5" i="11"/>
  <c r="AR5" i="11" s="1"/>
  <c r="N5" i="11"/>
  <c r="L5" i="11"/>
  <c r="AE5" i="11" s="1"/>
  <c r="AH5" i="11" s="1"/>
  <c r="H5" i="11"/>
  <c r="G5" i="11"/>
  <c r="F5" i="11"/>
  <c r="E5" i="11"/>
  <c r="AQ4" i="11"/>
  <c r="AR4" i="11" s="1"/>
  <c r="AP4" i="11"/>
  <c r="AB4" i="11"/>
  <c r="N4" i="11"/>
  <c r="L4" i="11"/>
  <c r="K4" i="11"/>
  <c r="AE4" i="11" s="1"/>
  <c r="AH4" i="11" s="1"/>
  <c r="J4" i="11"/>
  <c r="H4" i="11"/>
  <c r="G4" i="11"/>
  <c r="F4" i="11"/>
  <c r="AR3" i="11"/>
  <c r="AU3" i="11" s="1"/>
  <c r="AQ3" i="11"/>
  <c r="AP3" i="11"/>
  <c r="N3" i="11"/>
  <c r="L3" i="11"/>
  <c r="K3" i="11"/>
  <c r="E3" i="11" s="1"/>
  <c r="J3" i="11"/>
  <c r="AE3" i="11" s="1"/>
  <c r="AH3" i="11" s="1"/>
  <c r="H3" i="11"/>
  <c r="G3" i="11"/>
  <c r="F3" i="11"/>
  <c r="AQ2" i="11"/>
  <c r="AP2" i="11"/>
  <c r="AR2" i="11" s="1"/>
  <c r="N2" i="11"/>
  <c r="L2" i="11"/>
  <c r="K2" i="11"/>
  <c r="E2" i="11" s="1"/>
  <c r="J2" i="11"/>
  <c r="AE2" i="11" s="1"/>
  <c r="H2" i="11"/>
  <c r="G2" i="11"/>
  <c r="F2" i="11"/>
  <c r="AQ43" i="10"/>
  <c r="AR43" i="10" s="1"/>
  <c r="AU43" i="10" s="1"/>
  <c r="AE43" i="10"/>
  <c r="AH43" i="10" s="1"/>
  <c r="H43" i="10"/>
  <c r="G43" i="10"/>
  <c r="AS42" i="10"/>
  <c r="AT42" i="10" s="1"/>
  <c r="AE42" i="10"/>
  <c r="AH42" i="10" s="1"/>
  <c r="H42" i="10"/>
  <c r="AQ41" i="10"/>
  <c r="AR41" i="10" s="1"/>
  <c r="AU41" i="10" s="1"/>
  <c r="AG41" i="10"/>
  <c r="AE41" i="10"/>
  <c r="AH41" i="10" s="1"/>
  <c r="H41" i="10"/>
  <c r="G41" i="10"/>
  <c r="AR40" i="10"/>
  <c r="AU40" i="10" s="1"/>
  <c r="AQ40" i="10"/>
  <c r="AG40" i="10"/>
  <c r="AE40" i="10"/>
  <c r="H40" i="10"/>
  <c r="G40" i="10"/>
  <c r="AQ39" i="10"/>
  <c r="AR39" i="10" s="1"/>
  <c r="AS39" i="10" s="1"/>
  <c r="AT39" i="10" s="1"/>
  <c r="AP39" i="10"/>
  <c r="AH39" i="10"/>
  <c r="AE39" i="10"/>
  <c r="H39" i="10"/>
  <c r="G39" i="10"/>
  <c r="AQ38" i="10"/>
  <c r="AP38" i="10"/>
  <c r="AR38" i="10" s="1"/>
  <c r="AS38" i="10" s="1"/>
  <c r="AT38" i="10" s="1"/>
  <c r="AE38" i="10"/>
  <c r="AH38" i="10" s="1"/>
  <c r="H38" i="10"/>
  <c r="G38" i="10"/>
  <c r="AU37" i="10"/>
  <c r="AQ37" i="10"/>
  <c r="AP37" i="10"/>
  <c r="AR37" i="10" s="1"/>
  <c r="AS37" i="10" s="1"/>
  <c r="AT37" i="10" s="1"/>
  <c r="AE37" i="10"/>
  <c r="AH37" i="10" s="1"/>
  <c r="H37" i="10"/>
  <c r="G37" i="10"/>
  <c r="AQ36" i="10"/>
  <c r="AP36" i="10"/>
  <c r="AR36" i="10" s="1"/>
  <c r="AH36" i="10"/>
  <c r="AE36" i="10"/>
  <c r="H36" i="10"/>
  <c r="G36" i="10"/>
  <c r="AQ35" i="10"/>
  <c r="AR35" i="10" s="1"/>
  <c r="AP35" i="10"/>
  <c r="AE35" i="10"/>
  <c r="AH35" i="10" s="1"/>
  <c r="L35" i="10"/>
  <c r="K35" i="10"/>
  <c r="J35" i="10"/>
  <c r="H35" i="10"/>
  <c r="G35" i="10"/>
  <c r="F35" i="10"/>
  <c r="E35" i="10"/>
  <c r="AQ34" i="10"/>
  <c r="AR34" i="10" s="1"/>
  <c r="AS34" i="10" s="1"/>
  <c r="AT34" i="10" s="1"/>
  <c r="AP34" i="10"/>
  <c r="AE34" i="10"/>
  <c r="AH34" i="10" s="1"/>
  <c r="H34" i="10"/>
  <c r="G34" i="10"/>
  <c r="F34" i="10"/>
  <c r="E34" i="10"/>
  <c r="AR33" i="10"/>
  <c r="AU33" i="10" s="1"/>
  <c r="AQ33" i="10"/>
  <c r="AP33" i="10"/>
  <c r="N33" i="10"/>
  <c r="M33" i="10"/>
  <c r="L33" i="10"/>
  <c r="K33" i="10"/>
  <c r="J33" i="10"/>
  <c r="AE33" i="10" s="1"/>
  <c r="AH33" i="10" s="1"/>
  <c r="H33" i="10"/>
  <c r="G33" i="10"/>
  <c r="F33" i="10"/>
  <c r="E33" i="10"/>
  <c r="AS32" i="10"/>
  <c r="AT32" i="10" s="1"/>
  <c r="AE32" i="10"/>
  <c r="AH32" i="10" s="1"/>
  <c r="H32" i="10"/>
  <c r="G32" i="10"/>
  <c r="AQ31" i="10"/>
  <c r="AR31" i="10" s="1"/>
  <c r="AP31" i="10"/>
  <c r="AE31" i="10"/>
  <c r="AH31" i="10" s="1"/>
  <c r="N31" i="10"/>
  <c r="L31" i="10"/>
  <c r="J31" i="10"/>
  <c r="H31" i="10"/>
  <c r="G31" i="10"/>
  <c r="F31" i="10"/>
  <c r="E31" i="10"/>
  <c r="AP30" i="10"/>
  <c r="AR30" i="10" s="1"/>
  <c r="AS30" i="10" s="1"/>
  <c r="N30" i="10"/>
  <c r="AE30" i="10" s="1"/>
  <c r="AH30" i="10" s="1"/>
  <c r="H30" i="10"/>
  <c r="G30" i="10"/>
  <c r="F30" i="10"/>
  <c r="E30" i="10"/>
  <c r="AU29" i="10"/>
  <c r="AQ29" i="10"/>
  <c r="AR29" i="10" s="1"/>
  <c r="AS29" i="10" s="1"/>
  <c r="AT29" i="10" s="1"/>
  <c r="AP29" i="10"/>
  <c r="AA29" i="10"/>
  <c r="N29" i="10"/>
  <c r="AE29" i="10" s="1"/>
  <c r="AH29" i="10" s="1"/>
  <c r="H29" i="10"/>
  <c r="G29" i="10"/>
  <c r="F29" i="10"/>
  <c r="E29" i="10"/>
  <c r="AQ28" i="10"/>
  <c r="AR28" i="10" s="1"/>
  <c r="AP28" i="10"/>
  <c r="N28" i="10"/>
  <c r="L28" i="10"/>
  <c r="H28" i="10"/>
  <c r="G28" i="10"/>
  <c r="F28" i="10"/>
  <c r="AQ27" i="10"/>
  <c r="AP27" i="10"/>
  <c r="AR27" i="10" s="1"/>
  <c r="AS27" i="10" s="1"/>
  <c r="AT27" i="10" s="1"/>
  <c r="N27" i="10"/>
  <c r="L27" i="10"/>
  <c r="AE27" i="10" s="1"/>
  <c r="AH27" i="10" s="1"/>
  <c r="H27" i="10"/>
  <c r="G27" i="10"/>
  <c r="F27" i="10"/>
  <c r="E27" i="10"/>
  <c r="AQ26" i="10"/>
  <c r="AP26" i="10"/>
  <c r="AR26" i="10" s="1"/>
  <c r="N26" i="10"/>
  <c r="L26" i="10"/>
  <c r="J26" i="10"/>
  <c r="AE26" i="10" s="1"/>
  <c r="AH26" i="10" s="1"/>
  <c r="H26" i="10"/>
  <c r="G26" i="10"/>
  <c r="F26" i="10"/>
  <c r="E26" i="10"/>
  <c r="AR25" i="10"/>
  <c r="AQ25" i="10"/>
  <c r="AP25" i="10"/>
  <c r="N25" i="10"/>
  <c r="L25" i="10"/>
  <c r="E25" i="10" s="1"/>
  <c r="J25" i="10"/>
  <c r="H25" i="10"/>
  <c r="G25" i="10"/>
  <c r="F25" i="10"/>
  <c r="AR24" i="10"/>
  <c r="AU24" i="10" s="1"/>
  <c r="AQ24" i="10"/>
  <c r="AP24" i="10"/>
  <c r="N24" i="10"/>
  <c r="E24" i="10" s="1"/>
  <c r="L24" i="10"/>
  <c r="K24" i="10"/>
  <c r="H24" i="10"/>
  <c r="G24" i="10"/>
  <c r="F24" i="10"/>
  <c r="AR23" i="10"/>
  <c r="AU23" i="10" s="1"/>
  <c r="AP23" i="10"/>
  <c r="AE23" i="10"/>
  <c r="AH23" i="10" s="1"/>
  <c r="H23" i="10"/>
  <c r="G23" i="10"/>
  <c r="AU22" i="10"/>
  <c r="AT22" i="10"/>
  <c r="AQ22" i="10"/>
  <c r="AP22" i="10"/>
  <c r="AR22" i="10" s="1"/>
  <c r="AS22" i="10" s="1"/>
  <c r="AE22" i="10"/>
  <c r="AH22" i="10" s="1"/>
  <c r="H22" i="10"/>
  <c r="G22" i="10"/>
  <c r="AT21" i="10"/>
  <c r="AQ21" i="10"/>
  <c r="AP21" i="10"/>
  <c r="AR21" i="10" s="1"/>
  <c r="AS21" i="10" s="1"/>
  <c r="AE21" i="10"/>
  <c r="AH21" i="10" s="1"/>
  <c r="H21" i="10"/>
  <c r="G21" i="10"/>
  <c r="AR20" i="10"/>
  <c r="AU20" i="10" s="1"/>
  <c r="AP20" i="10"/>
  <c r="AE20" i="10"/>
  <c r="AH20" i="10" s="1"/>
  <c r="H20" i="10"/>
  <c r="G20" i="10"/>
  <c r="AS19" i="10"/>
  <c r="AT19" i="10" s="1"/>
  <c r="AE19" i="10"/>
  <c r="AH19" i="10" s="1"/>
  <c r="H19" i="10"/>
  <c r="G19" i="10"/>
  <c r="AS18" i="10"/>
  <c r="AT18" i="10" s="1"/>
  <c r="AE18" i="10"/>
  <c r="AH18" i="10" s="1"/>
  <c r="H18" i="10"/>
  <c r="G18" i="10"/>
  <c r="AQ17" i="10"/>
  <c r="AR17" i="10" s="1"/>
  <c r="AS17" i="10" s="1"/>
  <c r="AV17" i="10" s="1"/>
  <c r="AH17" i="10"/>
  <c r="AE17" i="10"/>
  <c r="H17" i="10"/>
  <c r="G17" i="10"/>
  <c r="AQ16" i="10"/>
  <c r="AP16" i="10"/>
  <c r="AR16" i="10" s="1"/>
  <c r="AE16" i="10"/>
  <c r="AH16" i="10" s="1"/>
  <c r="H16" i="10"/>
  <c r="G16" i="10"/>
  <c r="AR15" i="10"/>
  <c r="AU15" i="10" s="1"/>
  <c r="AQ15" i="10"/>
  <c r="AP15" i="10"/>
  <c r="AE15" i="10"/>
  <c r="AH15" i="10" s="1"/>
  <c r="H15" i="10"/>
  <c r="G15" i="10"/>
  <c r="AQ14" i="10"/>
  <c r="AP14" i="10"/>
  <c r="AR14" i="10" s="1"/>
  <c r="N14" i="10"/>
  <c r="L14" i="10"/>
  <c r="K14" i="10"/>
  <c r="E14" i="10" s="1"/>
  <c r="J14" i="10"/>
  <c r="H14" i="10"/>
  <c r="G14" i="10"/>
  <c r="F14" i="10"/>
  <c r="AR13" i="10"/>
  <c r="AQ13" i="10"/>
  <c r="AP13" i="10"/>
  <c r="N13" i="10"/>
  <c r="E13" i="10" s="1"/>
  <c r="L13" i="10"/>
  <c r="K13" i="10"/>
  <c r="H13" i="10"/>
  <c r="G13" i="10"/>
  <c r="F13" i="10"/>
  <c r="AQ12" i="10"/>
  <c r="AR12" i="10" s="1"/>
  <c r="AS12" i="10" s="1"/>
  <c r="AT12" i="10" s="1"/>
  <c r="AP12" i="10"/>
  <c r="N12" i="10"/>
  <c r="L12" i="10"/>
  <c r="AE12" i="10" s="1"/>
  <c r="AH12" i="10" s="1"/>
  <c r="H12" i="10"/>
  <c r="G12" i="10"/>
  <c r="F12" i="10"/>
  <c r="E12" i="10"/>
  <c r="AR11" i="10"/>
  <c r="AU11" i="10" s="1"/>
  <c r="AQ11" i="10"/>
  <c r="AP11" i="10"/>
  <c r="N11" i="10"/>
  <c r="L11" i="10"/>
  <c r="K11" i="10"/>
  <c r="J11" i="10"/>
  <c r="AE11" i="10" s="1"/>
  <c r="AH11" i="10" s="1"/>
  <c r="H11" i="10"/>
  <c r="G11" i="10"/>
  <c r="F11" i="10"/>
  <c r="E11" i="10"/>
  <c r="AQ10" i="10"/>
  <c r="AP10" i="10"/>
  <c r="N10" i="10"/>
  <c r="L10" i="10"/>
  <c r="K10" i="10"/>
  <c r="H10" i="10"/>
  <c r="G10" i="10"/>
  <c r="F10" i="10"/>
  <c r="AQ9" i="10"/>
  <c r="AP9" i="10"/>
  <c r="AR9" i="10" s="1"/>
  <c r="AU9" i="10" s="1"/>
  <c r="N9" i="10"/>
  <c r="L9" i="10"/>
  <c r="AE9" i="10" s="1"/>
  <c r="AH9" i="10" s="1"/>
  <c r="H9" i="10"/>
  <c r="G9" i="10"/>
  <c r="F9" i="10"/>
  <c r="E9" i="10"/>
  <c r="AQ8" i="10"/>
  <c r="AP8" i="10"/>
  <c r="AR8" i="10" s="1"/>
  <c r="AU8" i="10" s="1"/>
  <c r="N8" i="10"/>
  <c r="E8" i="10" s="1"/>
  <c r="L8" i="10"/>
  <c r="H8" i="10"/>
  <c r="G8" i="10"/>
  <c r="F8" i="10"/>
  <c r="AQ7" i="10"/>
  <c r="AP7" i="10"/>
  <c r="AR7" i="10" s="1"/>
  <c r="AU7" i="10" s="1"/>
  <c r="N7" i="10"/>
  <c r="L7" i="10"/>
  <c r="E7" i="10" s="1"/>
  <c r="K7" i="10"/>
  <c r="J7" i="10"/>
  <c r="AE7" i="10" s="1"/>
  <c r="AH7" i="10" s="1"/>
  <c r="H7" i="10"/>
  <c r="G7" i="10"/>
  <c r="F7" i="10"/>
  <c r="AQ6" i="10"/>
  <c r="AR6" i="10" s="1"/>
  <c r="AP6" i="10"/>
  <c r="N6" i="10"/>
  <c r="L6" i="10"/>
  <c r="K6" i="10"/>
  <c r="J6" i="10"/>
  <c r="AE6" i="10" s="1"/>
  <c r="AH6" i="10" s="1"/>
  <c r="H6" i="10"/>
  <c r="G6" i="10"/>
  <c r="F6" i="10"/>
  <c r="E6" i="10"/>
  <c r="AQ5" i="10"/>
  <c r="AP5" i="10"/>
  <c r="AR5" i="10" s="1"/>
  <c r="AU5" i="10" s="1"/>
  <c r="N5" i="10"/>
  <c r="E5" i="10" s="1"/>
  <c r="L5" i="10"/>
  <c r="H5" i="10"/>
  <c r="G5" i="10"/>
  <c r="F5" i="10"/>
  <c r="AS4" i="10"/>
  <c r="AV4" i="10" s="1"/>
  <c r="AQ4" i="10"/>
  <c r="AP4" i="10"/>
  <c r="AR4" i="10" s="1"/>
  <c r="AU4" i="10" s="1"/>
  <c r="AB4" i="10"/>
  <c r="N4" i="10"/>
  <c r="E4" i="10" s="1"/>
  <c r="L4" i="10"/>
  <c r="K4" i="10"/>
  <c r="J4" i="10"/>
  <c r="AE4" i="10" s="1"/>
  <c r="AH4" i="10" s="1"/>
  <c r="H4" i="10"/>
  <c r="G4" i="10"/>
  <c r="F4" i="10"/>
  <c r="AR3" i="10"/>
  <c r="AU3" i="10" s="1"/>
  <c r="AQ3" i="10"/>
  <c r="AP3" i="10"/>
  <c r="N3" i="10"/>
  <c r="L3" i="10"/>
  <c r="K3" i="10"/>
  <c r="E3" i="10" s="1"/>
  <c r="J3" i="10"/>
  <c r="AE3" i="10" s="1"/>
  <c r="AH3" i="10" s="1"/>
  <c r="H3" i="10"/>
  <c r="G3" i="10"/>
  <c r="F3" i="10"/>
  <c r="AQ2" i="10"/>
  <c r="AP2" i="10"/>
  <c r="AR2" i="10" s="1"/>
  <c r="N2" i="10"/>
  <c r="E2" i="10" s="1"/>
  <c r="L2" i="10"/>
  <c r="K2" i="10"/>
  <c r="J2" i="10"/>
  <c r="AE2" i="10" s="1"/>
  <c r="H2" i="10"/>
  <c r="G2" i="10"/>
  <c r="F2" i="10"/>
  <c r="AQ43" i="9"/>
  <c r="AR43" i="9" s="1"/>
  <c r="AS43" i="9" s="1"/>
  <c r="AT43" i="9" s="1"/>
  <c r="AE43" i="9"/>
  <c r="AH43" i="9" s="1"/>
  <c r="H43" i="9"/>
  <c r="G43" i="9"/>
  <c r="AS42" i="9"/>
  <c r="AT42" i="9" s="1"/>
  <c r="AE42" i="9"/>
  <c r="AH42" i="9" s="1"/>
  <c r="H42" i="9"/>
  <c r="AQ41" i="9"/>
  <c r="AR41" i="9" s="1"/>
  <c r="AU41" i="9" s="1"/>
  <c r="AG41" i="9"/>
  <c r="AE41" i="9"/>
  <c r="AH41" i="9" s="1"/>
  <c r="H41" i="9"/>
  <c r="G41" i="9"/>
  <c r="AR40" i="9"/>
  <c r="AQ40" i="9"/>
  <c r="AG40" i="9"/>
  <c r="AH40" i="9" s="1"/>
  <c r="AE40" i="9"/>
  <c r="H40" i="9"/>
  <c r="G40" i="9"/>
  <c r="AQ39" i="9"/>
  <c r="AR39" i="9" s="1"/>
  <c r="AS39" i="9" s="1"/>
  <c r="AT39" i="9" s="1"/>
  <c r="AP39" i="9"/>
  <c r="AE39" i="9"/>
  <c r="AH39" i="9" s="1"/>
  <c r="H39" i="9"/>
  <c r="G39" i="9"/>
  <c r="AQ38" i="9"/>
  <c r="AP38" i="9"/>
  <c r="AR38" i="9" s="1"/>
  <c r="AE38" i="9"/>
  <c r="AH38" i="9" s="1"/>
  <c r="H38" i="9"/>
  <c r="G38" i="9"/>
  <c r="AQ37" i="9"/>
  <c r="AP37" i="9"/>
  <c r="AR37" i="9" s="1"/>
  <c r="AU37" i="9" s="1"/>
  <c r="AE37" i="9"/>
  <c r="AH37" i="9" s="1"/>
  <c r="H37" i="9"/>
  <c r="G37" i="9"/>
  <c r="AR36" i="9"/>
  <c r="AQ36" i="9"/>
  <c r="AP36" i="9"/>
  <c r="AE36" i="9"/>
  <c r="AH36" i="9" s="1"/>
  <c r="H36" i="9"/>
  <c r="G36" i="9"/>
  <c r="AU35" i="9"/>
  <c r="AQ35" i="9"/>
  <c r="AR35" i="9" s="1"/>
  <c r="AS35" i="9" s="1"/>
  <c r="AT35" i="9" s="1"/>
  <c r="AP35" i="9"/>
  <c r="AE35" i="9"/>
  <c r="AH35" i="9" s="1"/>
  <c r="L35" i="9"/>
  <c r="K35" i="9"/>
  <c r="J35" i="9"/>
  <c r="H35" i="9"/>
  <c r="G35" i="9"/>
  <c r="F35" i="9"/>
  <c r="E35" i="9"/>
  <c r="AU34" i="9"/>
  <c r="AQ34" i="9"/>
  <c r="AR34" i="9" s="1"/>
  <c r="AS34" i="9" s="1"/>
  <c r="AT34" i="9" s="1"/>
  <c r="AP34" i="9"/>
  <c r="AE34" i="9"/>
  <c r="AH34" i="9" s="1"/>
  <c r="H34" i="9"/>
  <c r="G34" i="9"/>
  <c r="F34" i="9"/>
  <c r="E34" i="9"/>
  <c r="AR33" i="9"/>
  <c r="AQ33" i="9"/>
  <c r="AP33" i="9"/>
  <c r="N33" i="9"/>
  <c r="M33" i="9"/>
  <c r="L33" i="9"/>
  <c r="E33" i="9" s="1"/>
  <c r="K33" i="9"/>
  <c r="J33" i="9"/>
  <c r="H33" i="9"/>
  <c r="G33" i="9"/>
  <c r="F33" i="9"/>
  <c r="AS32" i="9"/>
  <c r="AT32" i="9" s="1"/>
  <c r="AH32" i="9"/>
  <c r="AE32" i="9"/>
  <c r="H32" i="9"/>
  <c r="AQ31" i="9"/>
  <c r="AR31" i="9" s="1"/>
  <c r="AS31" i="9" s="1"/>
  <c r="AT31" i="9" s="1"/>
  <c r="AP31" i="9"/>
  <c r="AE31" i="9"/>
  <c r="AH31" i="9" s="1"/>
  <c r="N31" i="9"/>
  <c r="L31" i="9"/>
  <c r="J31" i="9"/>
  <c r="H31" i="9"/>
  <c r="G31" i="9"/>
  <c r="F31" i="9"/>
  <c r="E31" i="9"/>
  <c r="AP30" i="9"/>
  <c r="AR30" i="9" s="1"/>
  <c r="AS30" i="9" s="1"/>
  <c r="N30" i="9"/>
  <c r="AE30" i="9" s="1"/>
  <c r="AH30" i="9" s="1"/>
  <c r="H30" i="9"/>
  <c r="G30" i="9"/>
  <c r="F30" i="9"/>
  <c r="E30" i="9"/>
  <c r="AQ29" i="9"/>
  <c r="AR29" i="9" s="1"/>
  <c r="AS29" i="9" s="1"/>
  <c r="AT29" i="9" s="1"/>
  <c r="AP29" i="9"/>
  <c r="AE29" i="9"/>
  <c r="AH29" i="9" s="1"/>
  <c r="AA29" i="9"/>
  <c r="N29" i="9"/>
  <c r="H29" i="9"/>
  <c r="G29" i="9"/>
  <c r="F29" i="9"/>
  <c r="E29" i="9"/>
  <c r="AQ28" i="9"/>
  <c r="AP28" i="9"/>
  <c r="AR28" i="9" s="1"/>
  <c r="N28" i="9"/>
  <c r="L28" i="9"/>
  <c r="H28" i="9"/>
  <c r="G28" i="9"/>
  <c r="F28" i="9"/>
  <c r="AQ27" i="9"/>
  <c r="AP27" i="9"/>
  <c r="AR27" i="9" s="1"/>
  <c r="AU27" i="9" s="1"/>
  <c r="N27" i="9"/>
  <c r="L27" i="9"/>
  <c r="AE27" i="9" s="1"/>
  <c r="AH27" i="9" s="1"/>
  <c r="H27" i="9"/>
  <c r="G27" i="9"/>
  <c r="F27" i="9"/>
  <c r="E27" i="9"/>
  <c r="AR26" i="9"/>
  <c r="AQ26" i="9"/>
  <c r="AP26" i="9"/>
  <c r="N26" i="9"/>
  <c r="L26" i="9"/>
  <c r="J26" i="9"/>
  <c r="AE26" i="9" s="1"/>
  <c r="AH26" i="9" s="1"/>
  <c r="H26" i="9"/>
  <c r="G26" i="9"/>
  <c r="F26" i="9"/>
  <c r="E26" i="9"/>
  <c r="AR25" i="9"/>
  <c r="AQ25" i="9"/>
  <c r="AP25" i="9"/>
  <c r="N25" i="9"/>
  <c r="L25" i="9"/>
  <c r="J25" i="9"/>
  <c r="AE25" i="9" s="1"/>
  <c r="AH25" i="9" s="1"/>
  <c r="H25" i="9"/>
  <c r="G25" i="9"/>
  <c r="F25" i="9"/>
  <c r="E25" i="9"/>
  <c r="AR24" i="9"/>
  <c r="AQ24" i="9"/>
  <c r="AP24" i="9"/>
  <c r="AH24" i="9"/>
  <c r="N24" i="9"/>
  <c r="L24" i="9"/>
  <c r="K24" i="9"/>
  <c r="AE24" i="9" s="1"/>
  <c r="H24" i="9"/>
  <c r="G24" i="9"/>
  <c r="F24" i="9"/>
  <c r="E24" i="9"/>
  <c r="AR23" i="9"/>
  <c r="AP23" i="9"/>
  <c r="AE23" i="9"/>
  <c r="AH23" i="9" s="1"/>
  <c r="H23" i="9"/>
  <c r="G23" i="9"/>
  <c r="AQ22" i="9"/>
  <c r="AP22" i="9"/>
  <c r="AR22" i="9" s="1"/>
  <c r="AE22" i="9"/>
  <c r="AH22" i="9" s="1"/>
  <c r="H22" i="9"/>
  <c r="G22" i="9"/>
  <c r="AQ21" i="9"/>
  <c r="AP21" i="9"/>
  <c r="AR21" i="9" s="1"/>
  <c r="AU21" i="9" s="1"/>
  <c r="AE21" i="9"/>
  <c r="AH21" i="9" s="1"/>
  <c r="H21" i="9"/>
  <c r="G21" i="9"/>
  <c r="AR20" i="9"/>
  <c r="AP20" i="9"/>
  <c r="AE20" i="9"/>
  <c r="AH20" i="9" s="1"/>
  <c r="H20" i="9"/>
  <c r="G20" i="9"/>
  <c r="AS19" i="9"/>
  <c r="AT19" i="9" s="1"/>
  <c r="AE19" i="9"/>
  <c r="AH19" i="9" s="1"/>
  <c r="H19" i="9"/>
  <c r="G19" i="9"/>
  <c r="AS18" i="9"/>
  <c r="AT18" i="9" s="1"/>
  <c r="AE18" i="9"/>
  <c r="AH18" i="9" s="1"/>
  <c r="H18" i="9"/>
  <c r="G18" i="9"/>
  <c r="AQ17" i="9"/>
  <c r="AR17" i="9" s="1"/>
  <c r="AU17" i="9" s="1"/>
  <c r="AE17" i="9"/>
  <c r="AH17" i="9" s="1"/>
  <c r="H17" i="9"/>
  <c r="G17" i="9"/>
  <c r="AR16" i="9"/>
  <c r="AQ16" i="9"/>
  <c r="AP16" i="9"/>
  <c r="AH16" i="9"/>
  <c r="AE16" i="9"/>
  <c r="H16" i="9"/>
  <c r="G16" i="9"/>
  <c r="AR15" i="9"/>
  <c r="AQ15" i="9"/>
  <c r="AP15" i="9"/>
  <c r="AE15" i="9"/>
  <c r="AH15" i="9" s="1"/>
  <c r="H15" i="9"/>
  <c r="G15" i="9"/>
  <c r="AR14" i="9"/>
  <c r="AQ14" i="9"/>
  <c r="AP14" i="9"/>
  <c r="N14" i="9"/>
  <c r="L14" i="9"/>
  <c r="K14" i="9"/>
  <c r="E14" i="9" s="1"/>
  <c r="J14" i="9"/>
  <c r="AE14" i="9" s="1"/>
  <c r="AH14" i="9" s="1"/>
  <c r="H14" i="9"/>
  <c r="G14" i="9"/>
  <c r="F14" i="9"/>
  <c r="AQ13" i="9"/>
  <c r="AP13" i="9"/>
  <c r="AR13" i="9" s="1"/>
  <c r="N13" i="9"/>
  <c r="E13" i="9" s="1"/>
  <c r="L13" i="9"/>
  <c r="K13" i="9"/>
  <c r="AE13" i="9" s="1"/>
  <c r="AH13" i="9" s="1"/>
  <c r="H13" i="9"/>
  <c r="G13" i="9"/>
  <c r="F13" i="9"/>
  <c r="AQ12" i="9"/>
  <c r="AR12" i="9" s="1"/>
  <c r="AS12" i="9" s="1"/>
  <c r="AP12" i="9"/>
  <c r="AE12" i="9"/>
  <c r="AH12" i="9" s="1"/>
  <c r="N12" i="9"/>
  <c r="L12" i="9"/>
  <c r="H12" i="9"/>
  <c r="G12" i="9"/>
  <c r="F12" i="9"/>
  <c r="E12" i="9"/>
  <c r="AQ11" i="9"/>
  <c r="AR11" i="9" s="1"/>
  <c r="AP11" i="9"/>
  <c r="N11" i="9"/>
  <c r="L11" i="9"/>
  <c r="K11" i="9"/>
  <c r="E11" i="9" s="1"/>
  <c r="J11" i="9"/>
  <c r="AE11" i="9" s="1"/>
  <c r="AH11" i="9" s="1"/>
  <c r="H11" i="9"/>
  <c r="G11" i="9"/>
  <c r="F11" i="9"/>
  <c r="AQ10" i="9"/>
  <c r="AP10" i="9"/>
  <c r="AR10" i="9" s="1"/>
  <c r="N10" i="9"/>
  <c r="L10" i="9"/>
  <c r="E10" i="9" s="1"/>
  <c r="K10" i="9"/>
  <c r="H10" i="9"/>
  <c r="G10" i="9"/>
  <c r="F10" i="9"/>
  <c r="AQ9" i="9"/>
  <c r="AP9" i="9"/>
  <c r="AR9" i="9" s="1"/>
  <c r="N9" i="9"/>
  <c r="E9" i="9" s="1"/>
  <c r="L9" i="9"/>
  <c r="H9" i="9"/>
  <c r="G9" i="9"/>
  <c r="F9" i="9"/>
  <c r="AQ8" i="9"/>
  <c r="AP8" i="9"/>
  <c r="AR8" i="9" s="1"/>
  <c r="N8" i="9"/>
  <c r="E8" i="9" s="1"/>
  <c r="L8" i="9"/>
  <c r="H8" i="9"/>
  <c r="G8" i="9"/>
  <c r="F8" i="9"/>
  <c r="AQ7" i="9"/>
  <c r="AP7" i="9"/>
  <c r="AR7" i="9" s="1"/>
  <c r="N7" i="9"/>
  <c r="L7" i="9"/>
  <c r="K7" i="9"/>
  <c r="J7" i="9"/>
  <c r="AE7" i="9" s="1"/>
  <c r="AH7" i="9" s="1"/>
  <c r="H7" i="9"/>
  <c r="G7" i="9"/>
  <c r="F7" i="9"/>
  <c r="AR6" i="9"/>
  <c r="AU6" i="9" s="1"/>
  <c r="AQ6" i="9"/>
  <c r="AP6" i="9"/>
  <c r="N6" i="9"/>
  <c r="L6" i="9"/>
  <c r="K6" i="9"/>
  <c r="E6" i="9" s="1"/>
  <c r="J6" i="9"/>
  <c r="AE6" i="9" s="1"/>
  <c r="AH6" i="9" s="1"/>
  <c r="H6" i="9"/>
  <c r="G6" i="9"/>
  <c r="F6" i="9"/>
  <c r="AQ5" i="9"/>
  <c r="AP5" i="9"/>
  <c r="AR5" i="9" s="1"/>
  <c r="N5" i="9"/>
  <c r="E5" i="9" s="1"/>
  <c r="L5" i="9"/>
  <c r="H5" i="9"/>
  <c r="G5" i="9"/>
  <c r="F5" i="9"/>
  <c r="AQ4" i="9"/>
  <c r="AP4" i="9"/>
  <c r="AR4" i="9" s="1"/>
  <c r="AB4" i="9"/>
  <c r="H4" i="9" s="1"/>
  <c r="N4" i="9"/>
  <c r="L4" i="9"/>
  <c r="K4" i="9"/>
  <c r="J4" i="9"/>
  <c r="AE4" i="9" s="1"/>
  <c r="AH4" i="9" s="1"/>
  <c r="G4" i="9"/>
  <c r="F4" i="9"/>
  <c r="AQ3" i="9"/>
  <c r="AP3" i="9"/>
  <c r="AR3" i="9" s="1"/>
  <c r="AU3" i="9" s="1"/>
  <c r="N3" i="9"/>
  <c r="L3" i="9"/>
  <c r="E3" i="9" s="1"/>
  <c r="K3" i="9"/>
  <c r="J3" i="9"/>
  <c r="AE3" i="9" s="1"/>
  <c r="AH3" i="9" s="1"/>
  <c r="H3" i="9"/>
  <c r="G3" i="9"/>
  <c r="F3" i="9"/>
  <c r="AQ2" i="9"/>
  <c r="AR2" i="9" s="1"/>
  <c r="AS2" i="9" s="1"/>
  <c r="AP2" i="9"/>
  <c r="N2" i="9"/>
  <c r="L2" i="9"/>
  <c r="K2" i="9"/>
  <c r="J2" i="9"/>
  <c r="AE2" i="9" s="1"/>
  <c r="H2" i="9"/>
  <c r="G2" i="9"/>
  <c r="F2" i="9"/>
  <c r="AQ43" i="8"/>
  <c r="AR43" i="8" s="1"/>
  <c r="AS43" i="8" s="1"/>
  <c r="AT43" i="8" s="1"/>
  <c r="AE43" i="8"/>
  <c r="AH43" i="8" s="1"/>
  <c r="H43" i="8"/>
  <c r="G43" i="8"/>
  <c r="AS42" i="8"/>
  <c r="AT42" i="8" s="1"/>
  <c r="AE42" i="8"/>
  <c r="AH42" i="8" s="1"/>
  <c r="H42" i="8"/>
  <c r="AQ41" i="8"/>
  <c r="AR41" i="8" s="1"/>
  <c r="AU41" i="8" s="1"/>
  <c r="AG41" i="8"/>
  <c r="AE41" i="8"/>
  <c r="AH41" i="8" s="1"/>
  <c r="H41" i="8"/>
  <c r="G41" i="8"/>
  <c r="AR40" i="8"/>
  <c r="AQ40" i="8"/>
  <c r="AG40" i="8"/>
  <c r="AE40" i="8"/>
  <c r="H40" i="8"/>
  <c r="G40" i="8"/>
  <c r="AQ39" i="8"/>
  <c r="AP39" i="8"/>
  <c r="AR39" i="8" s="1"/>
  <c r="AS39" i="8" s="1"/>
  <c r="AT39" i="8" s="1"/>
  <c r="AE39" i="8"/>
  <c r="AH39" i="8" s="1"/>
  <c r="H39" i="8"/>
  <c r="G39" i="8"/>
  <c r="AQ38" i="8"/>
  <c r="AP38" i="8"/>
  <c r="AR38" i="8" s="1"/>
  <c r="AE38" i="8"/>
  <c r="AH38" i="8" s="1"/>
  <c r="H38" i="8"/>
  <c r="G38" i="8"/>
  <c r="AQ37" i="8"/>
  <c r="AR37" i="8" s="1"/>
  <c r="AU37" i="8" s="1"/>
  <c r="AP37" i="8"/>
  <c r="AE37" i="8"/>
  <c r="AH37" i="8" s="1"/>
  <c r="H37" i="8"/>
  <c r="G37" i="8"/>
  <c r="AR36" i="8"/>
  <c r="AQ36" i="8"/>
  <c r="AP36" i="8"/>
  <c r="AE36" i="8"/>
  <c r="AH36" i="8" s="1"/>
  <c r="H36" i="8"/>
  <c r="G36" i="8"/>
  <c r="AQ35" i="8"/>
  <c r="AP35" i="8"/>
  <c r="AE35" i="8"/>
  <c r="AH35" i="8" s="1"/>
  <c r="L35" i="8"/>
  <c r="K35" i="8"/>
  <c r="E35" i="8" s="1"/>
  <c r="J35" i="8"/>
  <c r="H35" i="8"/>
  <c r="G35" i="8"/>
  <c r="F35" i="8"/>
  <c r="AQ34" i="8"/>
  <c r="AP34" i="8"/>
  <c r="AR34" i="8" s="1"/>
  <c r="AS34" i="8" s="1"/>
  <c r="AT34" i="8" s="1"/>
  <c r="AE34" i="8"/>
  <c r="AH34" i="8" s="1"/>
  <c r="H34" i="8"/>
  <c r="G34" i="8"/>
  <c r="F34" i="8"/>
  <c r="E34" i="8"/>
  <c r="AR33" i="8"/>
  <c r="AQ33" i="8"/>
  <c r="AP33" i="8"/>
  <c r="N33" i="8"/>
  <c r="M33" i="8"/>
  <c r="L33" i="8"/>
  <c r="E33" i="8" s="1"/>
  <c r="K33" i="8"/>
  <c r="J33" i="8"/>
  <c r="AE33" i="8" s="1"/>
  <c r="AH33" i="8" s="1"/>
  <c r="H33" i="8"/>
  <c r="G33" i="8"/>
  <c r="F33" i="8"/>
  <c r="AS32" i="8"/>
  <c r="AT32" i="8" s="1"/>
  <c r="AE32" i="8"/>
  <c r="AH32" i="8" s="1"/>
  <c r="H32" i="8"/>
  <c r="G32" i="8"/>
  <c r="AQ31" i="8"/>
  <c r="AP31" i="8"/>
  <c r="AE31" i="8"/>
  <c r="AH31" i="8" s="1"/>
  <c r="N31" i="8"/>
  <c r="L31" i="8"/>
  <c r="E31" i="8" s="1"/>
  <c r="J31" i="8"/>
  <c r="H31" i="8"/>
  <c r="G31" i="8"/>
  <c r="F31" i="8"/>
  <c r="AP30" i="8"/>
  <c r="AR30" i="8" s="1"/>
  <c r="AS30" i="8" s="1"/>
  <c r="AE30" i="8"/>
  <c r="AH30" i="8" s="1"/>
  <c r="N30" i="8"/>
  <c r="H30" i="8"/>
  <c r="G30" i="8"/>
  <c r="F30" i="8"/>
  <c r="E30" i="8"/>
  <c r="AQ29" i="8"/>
  <c r="AP29" i="8"/>
  <c r="AE29" i="8"/>
  <c r="AH29" i="8" s="1"/>
  <c r="AA29" i="8"/>
  <c r="H29" i="8" s="1"/>
  <c r="N29" i="8"/>
  <c r="G29" i="8"/>
  <c r="F29" i="8"/>
  <c r="E29" i="8"/>
  <c r="AQ28" i="8"/>
  <c r="AP28" i="8"/>
  <c r="AR28" i="8" s="1"/>
  <c r="AH28" i="8"/>
  <c r="N28" i="8"/>
  <c r="E28" i="8" s="1"/>
  <c r="L28" i="8"/>
  <c r="AE28" i="8" s="1"/>
  <c r="H28" i="8"/>
  <c r="G28" i="8"/>
  <c r="F28" i="8"/>
  <c r="AQ27" i="8"/>
  <c r="AR27" i="8" s="1"/>
  <c r="AU27" i="8" s="1"/>
  <c r="AP27" i="8"/>
  <c r="AE27" i="8"/>
  <c r="AH27" i="8" s="1"/>
  <c r="N27" i="8"/>
  <c r="L27" i="8"/>
  <c r="H27" i="8"/>
  <c r="G27" i="8"/>
  <c r="F27" i="8"/>
  <c r="E27" i="8"/>
  <c r="AR26" i="8"/>
  <c r="AQ26" i="8"/>
  <c r="AP26" i="8"/>
  <c r="AH26" i="8"/>
  <c r="N26" i="8"/>
  <c r="L26" i="8"/>
  <c r="J26" i="8"/>
  <c r="AE26" i="8" s="1"/>
  <c r="H26" i="8"/>
  <c r="G26" i="8"/>
  <c r="F26" i="8"/>
  <c r="E26" i="8"/>
  <c r="AQ25" i="8"/>
  <c r="AP25" i="8"/>
  <c r="AR25" i="8" s="1"/>
  <c r="N25" i="8"/>
  <c r="E25" i="8" s="1"/>
  <c r="L25" i="8"/>
  <c r="J25" i="8"/>
  <c r="H25" i="8"/>
  <c r="G25" i="8"/>
  <c r="F25" i="8"/>
  <c r="AR24" i="8"/>
  <c r="AQ24" i="8"/>
  <c r="AP24" i="8"/>
  <c r="N24" i="8"/>
  <c r="L24" i="8"/>
  <c r="K24" i="8"/>
  <c r="AE24" i="8" s="1"/>
  <c r="AH24" i="8" s="1"/>
  <c r="H24" i="8"/>
  <c r="G24" i="8"/>
  <c r="F24" i="8"/>
  <c r="E24" i="8"/>
  <c r="AR23" i="8"/>
  <c r="AP23" i="8"/>
  <c r="AE23" i="8"/>
  <c r="AH23" i="8" s="1"/>
  <c r="H23" i="8"/>
  <c r="G23" i="8"/>
  <c r="AR22" i="8"/>
  <c r="AQ22" i="8"/>
  <c r="AP22" i="8"/>
  <c r="AE22" i="8"/>
  <c r="AH22" i="8" s="1"/>
  <c r="H22" i="8"/>
  <c r="G22" i="8"/>
  <c r="AQ21" i="8"/>
  <c r="AR21" i="8" s="1"/>
  <c r="AU21" i="8" s="1"/>
  <c r="AP21" i="8"/>
  <c r="AE21" i="8"/>
  <c r="AH21" i="8" s="1"/>
  <c r="H21" i="8"/>
  <c r="G21" i="8"/>
  <c r="AR20" i="8"/>
  <c r="AP20" i="8"/>
  <c r="AE20" i="8"/>
  <c r="AH20" i="8" s="1"/>
  <c r="H20" i="8"/>
  <c r="G20" i="8"/>
  <c r="AS19" i="8"/>
  <c r="AT19" i="8" s="1"/>
  <c r="AE19" i="8"/>
  <c r="AH19" i="8" s="1"/>
  <c r="H19" i="8"/>
  <c r="G19" i="8"/>
  <c r="AS18" i="8"/>
  <c r="AT18" i="8" s="1"/>
  <c r="AE18" i="8"/>
  <c r="AH18" i="8" s="1"/>
  <c r="H18" i="8"/>
  <c r="G18" i="8"/>
  <c r="AU17" i="8"/>
  <c r="AQ17" i="8"/>
  <c r="AR17" i="8" s="1"/>
  <c r="AS17" i="8" s="1"/>
  <c r="AE17" i="8"/>
  <c r="AH17" i="8" s="1"/>
  <c r="H17" i="8"/>
  <c r="G17" i="8"/>
  <c r="AR16" i="8"/>
  <c r="AQ16" i="8"/>
  <c r="AP16" i="8"/>
  <c r="AE16" i="8"/>
  <c r="AH16" i="8" s="1"/>
  <c r="H16" i="8"/>
  <c r="G16" i="8"/>
  <c r="AQ15" i="8"/>
  <c r="AP15" i="8"/>
  <c r="AR15" i="8" s="1"/>
  <c r="AH15" i="8"/>
  <c r="AE15" i="8"/>
  <c r="H15" i="8"/>
  <c r="G15" i="8"/>
  <c r="AQ14" i="8"/>
  <c r="AP14" i="8"/>
  <c r="AR14" i="8" s="1"/>
  <c r="N14" i="8"/>
  <c r="L14" i="8"/>
  <c r="K14" i="8"/>
  <c r="E14" i="8" s="1"/>
  <c r="J14" i="8"/>
  <c r="AE14" i="8" s="1"/>
  <c r="AH14" i="8" s="1"/>
  <c r="H14" i="8"/>
  <c r="G14" i="8"/>
  <c r="F14" i="8"/>
  <c r="AS13" i="8"/>
  <c r="AV13" i="8" s="1"/>
  <c r="AR13" i="8"/>
  <c r="AU13" i="8" s="1"/>
  <c r="AQ13" i="8"/>
  <c r="AP13" i="8"/>
  <c r="N13" i="8"/>
  <c r="L13" i="8"/>
  <c r="E13" i="8" s="1"/>
  <c r="K13" i="8"/>
  <c r="H13" i="8"/>
  <c r="G13" i="8"/>
  <c r="F13" i="8"/>
  <c r="AQ12" i="8"/>
  <c r="AP12" i="8"/>
  <c r="AR12" i="8" s="1"/>
  <c r="AE12" i="8"/>
  <c r="AH12" i="8" s="1"/>
  <c r="N12" i="8"/>
  <c r="L12" i="8"/>
  <c r="H12" i="8"/>
  <c r="G12" i="8"/>
  <c r="F12" i="8"/>
  <c r="E12" i="8"/>
  <c r="AQ11" i="8"/>
  <c r="AP11" i="8"/>
  <c r="AR11" i="8" s="1"/>
  <c r="N11" i="8"/>
  <c r="L11" i="8"/>
  <c r="K11" i="8"/>
  <c r="J11" i="8"/>
  <c r="AE11" i="8" s="1"/>
  <c r="AH11" i="8" s="1"/>
  <c r="H11" i="8"/>
  <c r="G11" i="8"/>
  <c r="F11" i="8"/>
  <c r="E11" i="8"/>
  <c r="AQ10" i="8"/>
  <c r="AR10" i="8" s="1"/>
  <c r="AP10" i="8"/>
  <c r="N10" i="8"/>
  <c r="L10" i="8"/>
  <c r="E10" i="8" s="1"/>
  <c r="K10" i="8"/>
  <c r="H10" i="8"/>
  <c r="G10" i="8"/>
  <c r="F10" i="8"/>
  <c r="AQ9" i="8"/>
  <c r="AP9" i="8"/>
  <c r="AR9" i="8" s="1"/>
  <c r="N9" i="8"/>
  <c r="E9" i="8" s="1"/>
  <c r="L9" i="8"/>
  <c r="AE9" i="8" s="1"/>
  <c r="AH9" i="8" s="1"/>
  <c r="H9" i="8"/>
  <c r="G9" i="8"/>
  <c r="F9" i="8"/>
  <c r="AQ8" i="8"/>
  <c r="AP8" i="8"/>
  <c r="AR8" i="8" s="1"/>
  <c r="N8" i="8"/>
  <c r="E8" i="8" s="1"/>
  <c r="L8" i="8"/>
  <c r="AE8" i="8" s="1"/>
  <c r="AH8" i="8" s="1"/>
  <c r="H8" i="8"/>
  <c r="G8" i="8"/>
  <c r="F8" i="8"/>
  <c r="AQ7" i="8"/>
  <c r="AP7" i="8"/>
  <c r="AR7" i="8" s="1"/>
  <c r="N7" i="8"/>
  <c r="L7" i="8"/>
  <c r="K7" i="8"/>
  <c r="E7" i="8" s="1"/>
  <c r="J7" i="8"/>
  <c r="AE7" i="8" s="1"/>
  <c r="AH7" i="8" s="1"/>
  <c r="H7" i="8"/>
  <c r="G7" i="8"/>
  <c r="F7" i="8"/>
  <c r="AR6" i="8"/>
  <c r="AU6" i="8" s="1"/>
  <c r="AQ6" i="8"/>
  <c r="AP6" i="8"/>
  <c r="N6" i="8"/>
  <c r="L6" i="8"/>
  <c r="K6" i="8"/>
  <c r="E6" i="8" s="1"/>
  <c r="J6" i="8"/>
  <c r="AE6" i="8" s="1"/>
  <c r="AH6" i="8" s="1"/>
  <c r="H6" i="8"/>
  <c r="G6" i="8"/>
  <c r="F6" i="8"/>
  <c r="AQ5" i="8"/>
  <c r="AP5" i="8"/>
  <c r="AR5" i="8" s="1"/>
  <c r="N5" i="8"/>
  <c r="E5" i="8" s="1"/>
  <c r="L5" i="8"/>
  <c r="H5" i="8"/>
  <c r="G5" i="8"/>
  <c r="F5" i="8"/>
  <c r="AQ4" i="8"/>
  <c r="AP4" i="8"/>
  <c r="AR4" i="8" s="1"/>
  <c r="AB4" i="8"/>
  <c r="H4" i="8" s="1"/>
  <c r="N4" i="8"/>
  <c r="L4" i="8"/>
  <c r="K4" i="8"/>
  <c r="J4" i="8"/>
  <c r="AE4" i="8" s="1"/>
  <c r="AH4" i="8" s="1"/>
  <c r="G4" i="8"/>
  <c r="F4" i="8"/>
  <c r="E4" i="8"/>
  <c r="AQ3" i="8"/>
  <c r="AR3" i="8" s="1"/>
  <c r="AU3" i="8" s="1"/>
  <c r="AP3" i="8"/>
  <c r="N3" i="8"/>
  <c r="L3" i="8"/>
  <c r="E3" i="8" s="1"/>
  <c r="K3" i="8"/>
  <c r="J3" i="8"/>
  <c r="AE3" i="8" s="1"/>
  <c r="AH3" i="8" s="1"/>
  <c r="H3" i="8"/>
  <c r="G3" i="8"/>
  <c r="F3" i="8"/>
  <c r="AQ2" i="8"/>
  <c r="AP2" i="8"/>
  <c r="N2" i="8"/>
  <c r="L2" i="8"/>
  <c r="K2" i="8"/>
  <c r="J2" i="8"/>
  <c r="AE2" i="8" s="1"/>
  <c r="H2" i="8"/>
  <c r="G2" i="8"/>
  <c r="F2" i="8"/>
  <c r="E2" i="8"/>
  <c r="AR43" i="7"/>
  <c r="AS43" i="7" s="1"/>
  <c r="AT43" i="7" s="1"/>
  <c r="AQ43" i="7"/>
  <c r="AE43" i="7"/>
  <c r="AH43" i="7" s="1"/>
  <c r="H43" i="7"/>
  <c r="G43" i="7"/>
  <c r="AS42" i="7"/>
  <c r="AT42" i="7" s="1"/>
  <c r="AE42" i="7"/>
  <c r="AH42" i="7" s="1"/>
  <c r="H42" i="7"/>
  <c r="AR41" i="7"/>
  <c r="AQ41" i="7"/>
  <c r="AG41" i="7"/>
  <c r="AE41" i="7"/>
  <c r="AH41" i="7" s="1"/>
  <c r="H41" i="7"/>
  <c r="G41" i="7"/>
  <c r="AQ40" i="7"/>
  <c r="AR40" i="7" s="1"/>
  <c r="AS40" i="7" s="1"/>
  <c r="AT40" i="7" s="1"/>
  <c r="AG40" i="7"/>
  <c r="AE40" i="7"/>
  <c r="AH40" i="7" s="1"/>
  <c r="H40" i="7"/>
  <c r="G40" i="7"/>
  <c r="AQ39" i="7"/>
  <c r="AP39" i="7"/>
  <c r="AR39" i="7" s="1"/>
  <c r="AE39" i="7"/>
  <c r="AH39" i="7" s="1"/>
  <c r="H39" i="7"/>
  <c r="G39" i="7"/>
  <c r="AQ38" i="7"/>
  <c r="AR38" i="7" s="1"/>
  <c r="AP38" i="7"/>
  <c r="AE38" i="7"/>
  <c r="AH38" i="7" s="1"/>
  <c r="H38" i="7"/>
  <c r="G38" i="7"/>
  <c r="AQ37" i="7"/>
  <c r="AP37" i="7"/>
  <c r="AR37" i="7" s="1"/>
  <c r="AE37" i="7"/>
  <c r="AH37" i="7" s="1"/>
  <c r="H37" i="7"/>
  <c r="G37" i="7"/>
  <c r="AQ36" i="7"/>
  <c r="AP36" i="7"/>
  <c r="AE36" i="7"/>
  <c r="AH36" i="7" s="1"/>
  <c r="H36" i="7"/>
  <c r="G36" i="7"/>
  <c r="AQ35" i="7"/>
  <c r="AP35" i="7"/>
  <c r="AR35" i="7" s="1"/>
  <c r="L35" i="7"/>
  <c r="E35" i="7" s="1"/>
  <c r="K35" i="7"/>
  <c r="J35" i="7"/>
  <c r="H35" i="7"/>
  <c r="G35" i="7"/>
  <c r="F35" i="7"/>
  <c r="AR34" i="7"/>
  <c r="AQ34" i="7"/>
  <c r="AP34" i="7"/>
  <c r="AE34" i="7"/>
  <c r="AH34" i="7" s="1"/>
  <c r="H34" i="7"/>
  <c r="G34" i="7"/>
  <c r="F34" i="7"/>
  <c r="E34" i="7"/>
  <c r="AQ33" i="7"/>
  <c r="AP33" i="7"/>
  <c r="N33" i="7"/>
  <c r="M33" i="7"/>
  <c r="L33" i="7"/>
  <c r="K33" i="7"/>
  <c r="J33" i="7"/>
  <c r="H33" i="7"/>
  <c r="G33" i="7"/>
  <c r="F33" i="7"/>
  <c r="AS32" i="7"/>
  <c r="AT32" i="7" s="1"/>
  <c r="AE32" i="7"/>
  <c r="AH32" i="7" s="1"/>
  <c r="H32" i="7"/>
  <c r="G32" i="7"/>
  <c r="AQ31" i="7"/>
  <c r="AP31" i="7"/>
  <c r="AR31" i="7" s="1"/>
  <c r="N31" i="7"/>
  <c r="E31" i="7" s="1"/>
  <c r="L31" i="7"/>
  <c r="J31" i="7"/>
  <c r="H31" i="7"/>
  <c r="G31" i="7"/>
  <c r="F31" i="7"/>
  <c r="AR30" i="7"/>
  <c r="AP30" i="7"/>
  <c r="AH30" i="7"/>
  <c r="N30" i="7"/>
  <c r="AE30" i="7" s="1"/>
  <c r="H30" i="7"/>
  <c r="G30" i="7"/>
  <c r="F30" i="7"/>
  <c r="E30" i="7"/>
  <c r="AR29" i="7"/>
  <c r="AQ29" i="7"/>
  <c r="AP29" i="7"/>
  <c r="AA29" i="7"/>
  <c r="N29" i="7"/>
  <c r="H29" i="7"/>
  <c r="G29" i="7"/>
  <c r="F29" i="7"/>
  <c r="E29" i="7"/>
  <c r="AU28" i="7"/>
  <c r="AS28" i="7"/>
  <c r="AT28" i="7" s="1"/>
  <c r="AQ28" i="7"/>
  <c r="AR28" i="7" s="1"/>
  <c r="AP28" i="7"/>
  <c r="N28" i="7"/>
  <c r="L28" i="7"/>
  <c r="AE28" i="7" s="1"/>
  <c r="AH28" i="7" s="1"/>
  <c r="H28" i="7"/>
  <c r="G28" i="7"/>
  <c r="F28" i="7"/>
  <c r="E28" i="7"/>
  <c r="AQ27" i="7"/>
  <c r="AP27" i="7"/>
  <c r="AR27" i="7" s="1"/>
  <c r="N27" i="7"/>
  <c r="L27" i="7"/>
  <c r="H27" i="7"/>
  <c r="G27" i="7"/>
  <c r="F27" i="7"/>
  <c r="AQ26" i="7"/>
  <c r="AP26" i="7"/>
  <c r="AR26" i="7" s="1"/>
  <c r="AE26" i="7"/>
  <c r="AH26" i="7" s="1"/>
  <c r="N26" i="7"/>
  <c r="L26" i="7"/>
  <c r="E26" i="7" s="1"/>
  <c r="J26" i="7"/>
  <c r="H26" i="7"/>
  <c r="G26" i="7"/>
  <c r="F26" i="7"/>
  <c r="AQ25" i="7"/>
  <c r="AP25" i="7"/>
  <c r="N25" i="7"/>
  <c r="L25" i="7"/>
  <c r="J25" i="7"/>
  <c r="H25" i="7"/>
  <c r="G25" i="7"/>
  <c r="F25" i="7"/>
  <c r="AQ24" i="7"/>
  <c r="AP24" i="7"/>
  <c r="AR24" i="7" s="1"/>
  <c r="AE24" i="7"/>
  <c r="AH24" i="7" s="1"/>
  <c r="N24" i="7"/>
  <c r="L24" i="7"/>
  <c r="E24" i="7" s="1"/>
  <c r="K24" i="7"/>
  <c r="H24" i="7"/>
  <c r="G24" i="7"/>
  <c r="F24" i="7"/>
  <c r="AS23" i="7"/>
  <c r="AT23" i="7" s="1"/>
  <c r="AP23" i="7"/>
  <c r="AR23" i="7" s="1"/>
  <c r="AU23" i="7" s="1"/>
  <c r="AH23" i="7"/>
  <c r="AE23" i="7"/>
  <c r="H23" i="7"/>
  <c r="G23" i="7"/>
  <c r="AU22" i="7"/>
  <c r="AQ22" i="7"/>
  <c r="AR22" i="7" s="1"/>
  <c r="AS22" i="7" s="1"/>
  <c r="AT22" i="7" s="1"/>
  <c r="AP22" i="7"/>
  <c r="AE22" i="7"/>
  <c r="AH22" i="7" s="1"/>
  <c r="H22" i="7"/>
  <c r="G22" i="7"/>
  <c r="AR21" i="7"/>
  <c r="AQ21" i="7"/>
  <c r="AP21" i="7"/>
  <c r="AE21" i="7"/>
  <c r="AH21" i="7" s="1"/>
  <c r="H21" i="7"/>
  <c r="G21" i="7"/>
  <c r="AP20" i="7"/>
  <c r="AR20" i="7" s="1"/>
  <c r="AS20" i="7" s="1"/>
  <c r="AT20" i="7" s="1"/>
  <c r="AH20" i="7"/>
  <c r="AE20" i="7"/>
  <c r="H20" i="7"/>
  <c r="G20" i="7"/>
  <c r="AT19" i="7"/>
  <c r="AS19" i="7"/>
  <c r="AE19" i="7"/>
  <c r="AH19" i="7" s="1"/>
  <c r="H19" i="7"/>
  <c r="G19" i="7"/>
  <c r="AS18" i="7"/>
  <c r="AT18" i="7" s="1"/>
  <c r="AE18" i="7"/>
  <c r="AH18" i="7" s="1"/>
  <c r="H18" i="7"/>
  <c r="G18" i="7"/>
  <c r="AQ17" i="7"/>
  <c r="AR17" i="7" s="1"/>
  <c r="AS17" i="7" s="1"/>
  <c r="AT17" i="7" s="1"/>
  <c r="AE17" i="7"/>
  <c r="AH17" i="7" s="1"/>
  <c r="H17" i="7"/>
  <c r="G17" i="7"/>
  <c r="AQ16" i="7"/>
  <c r="AP16" i="7"/>
  <c r="AR16" i="7" s="1"/>
  <c r="AS16" i="7" s="1"/>
  <c r="AV16" i="7" s="1"/>
  <c r="AE16" i="7"/>
  <c r="AH16" i="7" s="1"/>
  <c r="H16" i="7"/>
  <c r="G16" i="7"/>
  <c r="AU15" i="7"/>
  <c r="AT15" i="7"/>
  <c r="AQ15" i="7"/>
  <c r="AP15" i="7"/>
  <c r="AR15" i="7" s="1"/>
  <c r="AS15" i="7" s="1"/>
  <c r="AV15" i="7" s="1"/>
  <c r="AE15" i="7"/>
  <c r="AH15" i="7" s="1"/>
  <c r="H15" i="7"/>
  <c r="G15" i="7"/>
  <c r="AQ14" i="7"/>
  <c r="AP14" i="7"/>
  <c r="AR14" i="7" s="1"/>
  <c r="AS14" i="7" s="1"/>
  <c r="AV14" i="7" s="1"/>
  <c r="N14" i="7"/>
  <c r="L14" i="7"/>
  <c r="K14" i="7"/>
  <c r="J14" i="7"/>
  <c r="AE14" i="7" s="1"/>
  <c r="AH14" i="7" s="1"/>
  <c r="H14" i="7"/>
  <c r="G14" i="7"/>
  <c r="F14" i="7"/>
  <c r="E14" i="7"/>
  <c r="AR13" i="7"/>
  <c r="AU13" i="7" s="1"/>
  <c r="AQ13" i="7"/>
  <c r="AP13" i="7"/>
  <c r="AE13" i="7"/>
  <c r="AH13" i="7" s="1"/>
  <c r="N13" i="7"/>
  <c r="L13" i="7"/>
  <c r="K13" i="7"/>
  <c r="H13" i="7"/>
  <c r="G13" i="7"/>
  <c r="F13" i="7"/>
  <c r="E13" i="7"/>
  <c r="AR12" i="7"/>
  <c r="AQ12" i="7"/>
  <c r="AP12" i="7"/>
  <c r="N12" i="7"/>
  <c r="E12" i="7" s="1"/>
  <c r="L12" i="7"/>
  <c r="H12" i="7"/>
  <c r="G12" i="7"/>
  <c r="F12" i="7"/>
  <c r="AQ11" i="7"/>
  <c r="AP11" i="7"/>
  <c r="AR11" i="7" s="1"/>
  <c r="AU11" i="7" s="1"/>
  <c r="N11" i="7"/>
  <c r="L11" i="7"/>
  <c r="E11" i="7" s="1"/>
  <c r="K11" i="7"/>
  <c r="J11" i="7"/>
  <c r="AE11" i="7" s="1"/>
  <c r="AH11" i="7" s="1"/>
  <c r="H11" i="7"/>
  <c r="G11" i="7"/>
  <c r="F11" i="7"/>
  <c r="AQ10" i="7"/>
  <c r="AR10" i="7" s="1"/>
  <c r="AP10" i="7"/>
  <c r="AE10" i="7"/>
  <c r="AH10" i="7" s="1"/>
  <c r="N10" i="7"/>
  <c r="L10" i="7"/>
  <c r="K10" i="7"/>
  <c r="H10" i="7"/>
  <c r="G10" i="7"/>
  <c r="F10" i="7"/>
  <c r="E10" i="7"/>
  <c r="AR9" i="7"/>
  <c r="AU9" i="7" s="1"/>
  <c r="AQ9" i="7"/>
  <c r="AP9" i="7"/>
  <c r="AH9" i="7"/>
  <c r="N9" i="7"/>
  <c r="L9" i="7"/>
  <c r="AE9" i="7" s="1"/>
  <c r="H9" i="7"/>
  <c r="G9" i="7"/>
  <c r="F9" i="7"/>
  <c r="E9" i="7"/>
  <c r="AR8" i="7"/>
  <c r="AU8" i="7" s="1"/>
  <c r="AQ8" i="7"/>
  <c r="AP8" i="7"/>
  <c r="N8" i="7"/>
  <c r="L8" i="7"/>
  <c r="AE8" i="7" s="1"/>
  <c r="AH8" i="7" s="1"/>
  <c r="H8" i="7"/>
  <c r="G8" i="7"/>
  <c r="F8" i="7"/>
  <c r="E8" i="7"/>
  <c r="AR7" i="7"/>
  <c r="AU7" i="7" s="1"/>
  <c r="AQ7" i="7"/>
  <c r="AP7" i="7"/>
  <c r="N7" i="7"/>
  <c r="L7" i="7"/>
  <c r="K7" i="7"/>
  <c r="J7" i="7"/>
  <c r="H7" i="7"/>
  <c r="G7" i="7"/>
  <c r="F7" i="7"/>
  <c r="AQ6" i="7"/>
  <c r="AP6" i="7"/>
  <c r="N6" i="7"/>
  <c r="L6" i="7"/>
  <c r="K6" i="7"/>
  <c r="J6" i="7"/>
  <c r="AE6" i="7" s="1"/>
  <c r="AH6" i="7" s="1"/>
  <c r="H6" i="7"/>
  <c r="G6" i="7"/>
  <c r="F6" i="7"/>
  <c r="E6" i="7"/>
  <c r="AR5" i="7"/>
  <c r="AU5" i="7" s="1"/>
  <c r="AQ5" i="7"/>
  <c r="AP5" i="7"/>
  <c r="N5" i="7"/>
  <c r="L5" i="7"/>
  <c r="AE5" i="7" s="1"/>
  <c r="AH5" i="7" s="1"/>
  <c r="H5" i="7"/>
  <c r="G5" i="7"/>
  <c r="F5" i="7"/>
  <c r="E5" i="7"/>
  <c r="AR4" i="7"/>
  <c r="AU4" i="7" s="1"/>
  <c r="AQ4" i="7"/>
  <c r="AP4" i="7"/>
  <c r="AB4" i="7"/>
  <c r="N4" i="7"/>
  <c r="L4" i="7"/>
  <c r="E4" i="7" s="1"/>
  <c r="K4" i="7"/>
  <c r="J4" i="7"/>
  <c r="H4" i="7"/>
  <c r="G4" i="7"/>
  <c r="F4" i="7"/>
  <c r="AQ3" i="7"/>
  <c r="AR3" i="7" s="1"/>
  <c r="AP3" i="7"/>
  <c r="N3" i="7"/>
  <c r="L3" i="7"/>
  <c r="K3" i="7"/>
  <c r="E3" i="7" s="1"/>
  <c r="J3" i="7"/>
  <c r="AE3" i="7" s="1"/>
  <c r="AH3" i="7" s="1"/>
  <c r="H3" i="7"/>
  <c r="G3" i="7"/>
  <c r="F3" i="7"/>
  <c r="AQ2" i="7"/>
  <c r="AP2" i="7"/>
  <c r="AR2" i="7" s="1"/>
  <c r="AU2" i="7" s="1"/>
  <c r="N2" i="7"/>
  <c r="L2" i="7"/>
  <c r="E2" i="7" s="1"/>
  <c r="K2" i="7"/>
  <c r="J2" i="7"/>
  <c r="AE2" i="7" s="1"/>
  <c r="H2" i="7"/>
  <c r="G2" i="7"/>
  <c r="F2" i="7"/>
  <c r="AR10" i="6"/>
  <c r="AU10" i="6" s="1"/>
  <c r="AP10" i="6"/>
  <c r="AE10" i="6"/>
  <c r="AH10" i="6" s="1"/>
  <c r="AI10" i="6" s="1"/>
  <c r="AJ10" i="6" s="1"/>
  <c r="AK10" i="6" s="1"/>
  <c r="H10" i="6"/>
  <c r="G10" i="6"/>
  <c r="AQ9" i="6"/>
  <c r="AP9" i="6"/>
  <c r="AR9" i="6" s="1"/>
  <c r="AE9" i="6"/>
  <c r="AH9" i="6" s="1"/>
  <c r="AI9" i="6" s="1"/>
  <c r="AJ9" i="6" s="1"/>
  <c r="AK9" i="6" s="1"/>
  <c r="H9" i="6"/>
  <c r="G9" i="6"/>
  <c r="AQ8" i="6"/>
  <c r="AP8" i="6"/>
  <c r="AR8" i="6" s="1"/>
  <c r="AU8" i="6" s="1"/>
  <c r="AE8" i="6"/>
  <c r="AH8" i="6" s="1"/>
  <c r="AI8" i="6" s="1"/>
  <c r="AJ8" i="6" s="1"/>
  <c r="AK8" i="6" s="1"/>
  <c r="H8" i="6"/>
  <c r="G8" i="6"/>
  <c r="AP7" i="6"/>
  <c r="AR7" i="6" s="1"/>
  <c r="AE7" i="6"/>
  <c r="AH7" i="6" s="1"/>
  <c r="AI7" i="6" s="1"/>
  <c r="AJ7" i="6" s="1"/>
  <c r="AK7" i="6" s="1"/>
  <c r="H7" i="6"/>
  <c r="G7" i="6"/>
  <c r="AS6" i="6"/>
  <c r="AT6" i="6" s="1"/>
  <c r="AH6" i="6"/>
  <c r="AI6" i="6" s="1"/>
  <c r="AJ6" i="6" s="1"/>
  <c r="AK6" i="6" s="1"/>
  <c r="AE6" i="6"/>
  <c r="H6" i="6"/>
  <c r="G6" i="6"/>
  <c r="AT5" i="6"/>
  <c r="AS5" i="6"/>
  <c r="AE5" i="6"/>
  <c r="AH5" i="6" s="1"/>
  <c r="AI5" i="6" s="1"/>
  <c r="AJ5" i="6" s="1"/>
  <c r="AK5" i="6" s="1"/>
  <c r="H5" i="6"/>
  <c r="G5" i="6"/>
  <c r="AR4" i="6"/>
  <c r="AU4" i="6" s="1"/>
  <c r="AQ4" i="6"/>
  <c r="AE4" i="6"/>
  <c r="AH4" i="6" s="1"/>
  <c r="AI4" i="6" s="1"/>
  <c r="AJ4" i="6" s="1"/>
  <c r="AK4" i="6" s="1"/>
  <c r="H4" i="6"/>
  <c r="G4" i="6"/>
  <c r="AQ3" i="6"/>
  <c r="AR3" i="6" s="1"/>
  <c r="AP3" i="6"/>
  <c r="AE3" i="6"/>
  <c r="AH3" i="6" s="1"/>
  <c r="AI3" i="6" s="1"/>
  <c r="AJ3" i="6" s="1"/>
  <c r="AK3" i="6" s="1"/>
  <c r="H3" i="6"/>
  <c r="G3" i="6"/>
  <c r="AQ2" i="6"/>
  <c r="AP2" i="6"/>
  <c r="AR2" i="6" s="1"/>
  <c r="AE2" i="6"/>
  <c r="AH2" i="6" s="1"/>
  <c r="AI2" i="6" s="1"/>
  <c r="AJ2" i="6" s="1"/>
  <c r="AK2" i="6" s="1"/>
  <c r="H2" i="6"/>
  <c r="G2" i="6"/>
  <c r="AP23" i="5"/>
  <c r="AR23" i="5" s="1"/>
  <c r="AE23" i="5"/>
  <c r="AH23" i="5" s="1"/>
  <c r="H23" i="5"/>
  <c r="G23" i="5"/>
  <c r="AQ22" i="5"/>
  <c r="AP22" i="5"/>
  <c r="AR22" i="5" s="1"/>
  <c r="AH22" i="5"/>
  <c r="AE22" i="5"/>
  <c r="H22" i="5"/>
  <c r="G22" i="5"/>
  <c r="AQ21" i="5"/>
  <c r="AP21" i="5"/>
  <c r="AE21" i="5"/>
  <c r="AH21" i="5" s="1"/>
  <c r="H21" i="5"/>
  <c r="G21" i="5"/>
  <c r="AR20" i="5"/>
  <c r="AP20" i="5"/>
  <c r="AE20" i="5"/>
  <c r="AH20" i="5" s="1"/>
  <c r="H20" i="5"/>
  <c r="G20" i="5"/>
  <c r="AS19" i="5"/>
  <c r="AT19" i="5" s="1"/>
  <c r="AH19" i="5"/>
  <c r="AE19" i="5"/>
  <c r="H19" i="5"/>
  <c r="G19" i="5"/>
  <c r="AT18" i="5"/>
  <c r="AS18" i="5"/>
  <c r="AE18" i="5"/>
  <c r="AH18" i="5" s="1"/>
  <c r="H18" i="5"/>
  <c r="G18" i="5"/>
  <c r="AQ17" i="5"/>
  <c r="AR17" i="5" s="1"/>
  <c r="AU17" i="5" s="1"/>
  <c r="AE17" i="5"/>
  <c r="AH17" i="5" s="1"/>
  <c r="H17" i="5"/>
  <c r="G17" i="5"/>
  <c r="AQ16" i="5"/>
  <c r="AP16" i="5"/>
  <c r="AR16" i="5" s="1"/>
  <c r="AE16" i="5"/>
  <c r="AH16" i="5" s="1"/>
  <c r="H16" i="5"/>
  <c r="G16" i="5"/>
  <c r="AQ15" i="5"/>
  <c r="AP15" i="5"/>
  <c r="AR15" i="5" s="1"/>
  <c r="AH15" i="5"/>
  <c r="AE15" i="5"/>
  <c r="H15" i="5"/>
  <c r="G15" i="5"/>
  <c r="AR14" i="5"/>
  <c r="AQ14" i="5"/>
  <c r="AP14" i="5"/>
  <c r="N14" i="5"/>
  <c r="L14" i="5"/>
  <c r="K14" i="5"/>
  <c r="J14" i="5"/>
  <c r="H14" i="5"/>
  <c r="G14" i="5"/>
  <c r="F14" i="5"/>
  <c r="AQ13" i="5"/>
  <c r="AP13" i="5"/>
  <c r="AR13" i="5" s="1"/>
  <c r="N13" i="5"/>
  <c r="L13" i="5"/>
  <c r="K13" i="5"/>
  <c r="H13" i="5"/>
  <c r="G13" i="5"/>
  <c r="F13" i="5"/>
  <c r="AQ12" i="5"/>
  <c r="AP12" i="5"/>
  <c r="AR12" i="5" s="1"/>
  <c r="N12" i="5"/>
  <c r="L12" i="5"/>
  <c r="AE12" i="5" s="1"/>
  <c r="AH12" i="5" s="1"/>
  <c r="H12" i="5"/>
  <c r="G12" i="5"/>
  <c r="F12" i="5"/>
  <c r="AQ11" i="5"/>
  <c r="AP11" i="5"/>
  <c r="N11" i="5"/>
  <c r="L11" i="5"/>
  <c r="K11" i="5"/>
  <c r="J11" i="5"/>
  <c r="H11" i="5"/>
  <c r="G11" i="5"/>
  <c r="F11" i="5"/>
  <c r="AQ10" i="5"/>
  <c r="AP10" i="5"/>
  <c r="AR10" i="5" s="1"/>
  <c r="N10" i="5"/>
  <c r="L10" i="5"/>
  <c r="E10" i="5" s="1"/>
  <c r="K10" i="5"/>
  <c r="H10" i="5"/>
  <c r="G10" i="5"/>
  <c r="F10" i="5"/>
  <c r="AQ9" i="5"/>
  <c r="AP9" i="5"/>
  <c r="N9" i="5"/>
  <c r="L9" i="5"/>
  <c r="AE9" i="5" s="1"/>
  <c r="AH9" i="5" s="1"/>
  <c r="H9" i="5"/>
  <c r="G9" i="5"/>
  <c r="F9" i="5"/>
  <c r="E9" i="5"/>
  <c r="AQ8" i="5"/>
  <c r="AP8" i="5"/>
  <c r="N8" i="5"/>
  <c r="L8" i="5"/>
  <c r="AE8" i="5" s="1"/>
  <c r="AH8" i="5" s="1"/>
  <c r="H8" i="5"/>
  <c r="G8" i="5"/>
  <c r="F8" i="5"/>
  <c r="E8" i="5"/>
  <c r="AQ7" i="5"/>
  <c r="AR7" i="5" s="1"/>
  <c r="AU7" i="5" s="1"/>
  <c r="AP7" i="5"/>
  <c r="N7" i="5"/>
  <c r="L7" i="5"/>
  <c r="K7" i="5"/>
  <c r="J7" i="5"/>
  <c r="H7" i="5"/>
  <c r="G7" i="5"/>
  <c r="F7" i="5"/>
  <c r="AQ6" i="5"/>
  <c r="AP6" i="5"/>
  <c r="N6" i="5"/>
  <c r="L6" i="5"/>
  <c r="K6" i="5"/>
  <c r="E6" i="5" s="1"/>
  <c r="J6" i="5"/>
  <c r="H6" i="5"/>
  <c r="G6" i="5"/>
  <c r="F6" i="5"/>
  <c r="AQ5" i="5"/>
  <c r="AR5" i="5" s="1"/>
  <c r="AU5" i="5" s="1"/>
  <c r="AP5" i="5"/>
  <c r="N5" i="5"/>
  <c r="L5" i="5"/>
  <c r="AE5" i="5" s="1"/>
  <c r="AH5" i="5" s="1"/>
  <c r="H5" i="5"/>
  <c r="G5" i="5"/>
  <c r="F5" i="5"/>
  <c r="E5" i="5"/>
  <c r="AQ4" i="5"/>
  <c r="AP4" i="5"/>
  <c r="AB4" i="5"/>
  <c r="N4" i="5"/>
  <c r="L4" i="5"/>
  <c r="K4" i="5"/>
  <c r="J4" i="5"/>
  <c r="H4" i="5"/>
  <c r="G4" i="5"/>
  <c r="F4" i="5"/>
  <c r="AQ3" i="5"/>
  <c r="AP3" i="5"/>
  <c r="AR3" i="5" s="1"/>
  <c r="N3" i="5"/>
  <c r="L3" i="5"/>
  <c r="K3" i="5"/>
  <c r="E3" i="5" s="1"/>
  <c r="J3" i="5"/>
  <c r="H3" i="5"/>
  <c r="G3" i="5"/>
  <c r="F3" i="5"/>
  <c r="AQ2" i="5"/>
  <c r="AP2" i="5"/>
  <c r="AR2" i="5" s="1"/>
  <c r="N2" i="5"/>
  <c r="L2" i="5"/>
  <c r="K2" i="5"/>
  <c r="J2" i="5"/>
  <c r="H2" i="5"/>
  <c r="G2" i="5"/>
  <c r="F2" i="5"/>
  <c r="AS11" i="12" l="1"/>
  <c r="AU11" i="12"/>
  <c r="AU16" i="12"/>
  <c r="AS16" i="12"/>
  <c r="AU24" i="12"/>
  <c r="AS24" i="12"/>
  <c r="AT24" i="12" s="1"/>
  <c r="AE3" i="12"/>
  <c r="AH3" i="12" s="1"/>
  <c r="AU3" i="12"/>
  <c r="AS3" i="12"/>
  <c r="AR6" i="12"/>
  <c r="AS9" i="12"/>
  <c r="AU9" i="12"/>
  <c r="AU13" i="12"/>
  <c r="AS13" i="12"/>
  <c r="AH2" i="12"/>
  <c r="AV5" i="12"/>
  <c r="AT5" i="12"/>
  <c r="AS7" i="12"/>
  <c r="AU7" i="12"/>
  <c r="AS8" i="12"/>
  <c r="AU8" i="12"/>
  <c r="AU26" i="12"/>
  <c r="AS26" i="12"/>
  <c r="AT26" i="12" s="1"/>
  <c r="E2" i="12"/>
  <c r="AS2" i="12"/>
  <c r="AU2" i="12"/>
  <c r="AE4" i="12"/>
  <c r="AH4" i="12" s="1"/>
  <c r="AS4" i="12"/>
  <c r="AE7" i="12"/>
  <c r="AH7" i="12" s="1"/>
  <c r="AS12" i="12"/>
  <c r="AU12" i="12"/>
  <c r="AS22" i="12"/>
  <c r="AT22" i="12" s="1"/>
  <c r="AU22" i="12"/>
  <c r="AU23" i="12"/>
  <c r="AS23" i="12"/>
  <c r="AT23" i="12" s="1"/>
  <c r="AU33" i="12"/>
  <c r="AS33" i="12"/>
  <c r="AT33" i="12" s="1"/>
  <c r="E4" i="12"/>
  <c r="AS10" i="12"/>
  <c r="AE12" i="12"/>
  <c r="AH12" i="12" s="1"/>
  <c r="AU14" i="12"/>
  <c r="AS14" i="12"/>
  <c r="AS17" i="12"/>
  <c r="AS21" i="12"/>
  <c r="AT21" i="12" s="1"/>
  <c r="AE28" i="12"/>
  <c r="AH28" i="12" s="1"/>
  <c r="AU36" i="12"/>
  <c r="AS36" i="12"/>
  <c r="AT36" i="12" s="1"/>
  <c r="AS37" i="12"/>
  <c r="AT37" i="12" s="1"/>
  <c r="AE13" i="12"/>
  <c r="AH13" i="12" s="1"/>
  <c r="AE24" i="12"/>
  <c r="AH24" i="12" s="1"/>
  <c r="AE26" i="12"/>
  <c r="AH26" i="12" s="1"/>
  <c r="AL30" i="12"/>
  <c r="AS31" i="12"/>
  <c r="AT31" i="12" s="1"/>
  <c r="AE33" i="12"/>
  <c r="AH33" i="12" s="1"/>
  <c r="AU34" i="12"/>
  <c r="AU15" i="12"/>
  <c r="AS15" i="12"/>
  <c r="AU25" i="12"/>
  <c r="AS25" i="12"/>
  <c r="AT25" i="12" s="1"/>
  <c r="AS28" i="12"/>
  <c r="AT28" i="12" s="1"/>
  <c r="AU28" i="12"/>
  <c r="AU20" i="12"/>
  <c r="AS20" i="12"/>
  <c r="AT20" i="12" s="1"/>
  <c r="AR29" i="12"/>
  <c r="AR35" i="12"/>
  <c r="AS38" i="12"/>
  <c r="AT38" i="12" s="1"/>
  <c r="AU38" i="12"/>
  <c r="AH40" i="12"/>
  <c r="AU40" i="12"/>
  <c r="AS40" i="12"/>
  <c r="AT40" i="12" s="1"/>
  <c r="AS41" i="12"/>
  <c r="AT41" i="12" s="1"/>
  <c r="AU43" i="12"/>
  <c r="AU21" i="11"/>
  <c r="AH40" i="10"/>
  <c r="AU38" i="10"/>
  <c r="AU17" i="10"/>
  <c r="AS20" i="10"/>
  <c r="AT20" i="10" s="1"/>
  <c r="AU21" i="10"/>
  <c r="AS7" i="10"/>
  <c r="AV7" i="10" s="1"/>
  <c r="AS23" i="10"/>
  <c r="AT23" i="10" s="1"/>
  <c r="AS6" i="11"/>
  <c r="AU6" i="11"/>
  <c r="AS11" i="11"/>
  <c r="AU11" i="11"/>
  <c r="AU7" i="11"/>
  <c r="AS7" i="11"/>
  <c r="AU8" i="11"/>
  <c r="AS8" i="11"/>
  <c r="AU9" i="11"/>
  <c r="AS9" i="11"/>
  <c r="AH2" i="11"/>
  <c r="AS2" i="11"/>
  <c r="AU2" i="11"/>
  <c r="AU5" i="11"/>
  <c r="AS5" i="11"/>
  <c r="AU4" i="11"/>
  <c r="AS4" i="11"/>
  <c r="AV12" i="11"/>
  <c r="AT12" i="11"/>
  <c r="AU12" i="11"/>
  <c r="AU20" i="11"/>
  <c r="AS20" i="11"/>
  <c r="AT20" i="11" s="1"/>
  <c r="AS22" i="11"/>
  <c r="AT22" i="11" s="1"/>
  <c r="AU22" i="11"/>
  <c r="AU25" i="11"/>
  <c r="AS25" i="11"/>
  <c r="AT25" i="11" s="1"/>
  <c r="AU26" i="11"/>
  <c r="AS26" i="11"/>
  <c r="AT26" i="11" s="1"/>
  <c r="AS31" i="11"/>
  <c r="AT31" i="11" s="1"/>
  <c r="AU31" i="11"/>
  <c r="AS39" i="11"/>
  <c r="AT39" i="11" s="1"/>
  <c r="AU39" i="11"/>
  <c r="AS3" i="11"/>
  <c r="E4" i="11"/>
  <c r="AS10" i="11"/>
  <c r="AE12" i="11"/>
  <c r="AH12" i="11" s="1"/>
  <c r="AE13" i="11"/>
  <c r="AH13" i="11" s="1"/>
  <c r="AR15" i="11"/>
  <c r="AU16" i="11"/>
  <c r="AU17" i="11"/>
  <c r="AE24" i="11"/>
  <c r="AH24" i="11" s="1"/>
  <c r="E24" i="11"/>
  <c r="AS29" i="11"/>
  <c r="AT29" i="11" s="1"/>
  <c r="AU29" i="11"/>
  <c r="AS30" i="11"/>
  <c r="AU30" i="11"/>
  <c r="AU37" i="11"/>
  <c r="AS37" i="11"/>
  <c r="AT37" i="11" s="1"/>
  <c r="AT14" i="11"/>
  <c r="AV17" i="11"/>
  <c r="AU23" i="11"/>
  <c r="AS23" i="11"/>
  <c r="AT23" i="11" s="1"/>
  <c r="AU27" i="11"/>
  <c r="AS27" i="11"/>
  <c r="AT27" i="11" s="1"/>
  <c r="AS34" i="11"/>
  <c r="AT34" i="11" s="1"/>
  <c r="AU34" i="11"/>
  <c r="AS35" i="11"/>
  <c r="AT35" i="11" s="1"/>
  <c r="AU35" i="11"/>
  <c r="AU40" i="11"/>
  <c r="AS40" i="11"/>
  <c r="AT40" i="11" s="1"/>
  <c r="AS13" i="11"/>
  <c r="AU14" i="11"/>
  <c r="AU24" i="11"/>
  <c r="AS24" i="11"/>
  <c r="AT24" i="11" s="1"/>
  <c r="AU33" i="11"/>
  <c r="AS33" i="11"/>
  <c r="AT33" i="11" s="1"/>
  <c r="AU36" i="11"/>
  <c r="AS36" i="11"/>
  <c r="AT36" i="11" s="1"/>
  <c r="AU41" i="11"/>
  <c r="AS41" i="11"/>
  <c r="AT41" i="11" s="1"/>
  <c r="AS43" i="11"/>
  <c r="AT43" i="11" s="1"/>
  <c r="AU43" i="11"/>
  <c r="E26" i="11"/>
  <c r="AE35" i="11"/>
  <c r="AH35" i="11" s="1"/>
  <c r="AU28" i="11"/>
  <c r="AU38" i="11"/>
  <c r="AU31" i="10"/>
  <c r="AS31" i="10"/>
  <c r="AT31" i="10" s="1"/>
  <c r="AU35" i="10"/>
  <c r="AS35" i="10"/>
  <c r="AT35" i="10" s="1"/>
  <c r="AS6" i="10"/>
  <c r="AU6" i="10"/>
  <c r="AT30" i="10"/>
  <c r="AM30" i="10" s="1"/>
  <c r="AL30" i="10"/>
  <c r="AH2" i="10"/>
  <c r="AS2" i="10"/>
  <c r="AU2" i="10"/>
  <c r="AS28" i="10"/>
  <c r="AT28" i="10" s="1"/>
  <c r="AU28" i="10"/>
  <c r="E28" i="10"/>
  <c r="AE28" i="10"/>
  <c r="AH28" i="10" s="1"/>
  <c r="AS3" i="10"/>
  <c r="E10" i="10"/>
  <c r="AE10" i="10"/>
  <c r="AH10" i="10" s="1"/>
  <c r="AT17" i="10"/>
  <c r="AT4" i="10"/>
  <c r="AS5" i="10"/>
  <c r="AT7" i="10"/>
  <c r="AS8" i="10"/>
  <c r="AU12" i="10"/>
  <c r="AE13" i="10"/>
  <c r="AH13" i="10" s="1"/>
  <c r="AU14" i="10"/>
  <c r="AS14" i="10"/>
  <c r="AU16" i="10"/>
  <c r="AS16" i="10"/>
  <c r="AU26" i="10"/>
  <c r="AS26" i="10"/>
  <c r="AT26" i="10" s="1"/>
  <c r="AU30" i="10"/>
  <c r="AS33" i="10"/>
  <c r="AT33" i="10" s="1"/>
  <c r="AU34" i="10"/>
  <c r="AU36" i="10"/>
  <c r="AS36" i="10"/>
  <c r="AT36" i="10" s="1"/>
  <c r="AU39" i="10"/>
  <c r="AS43" i="10"/>
  <c r="AT43" i="10" s="1"/>
  <c r="AU25" i="10"/>
  <c r="AS25" i="10"/>
  <c r="AT25" i="10" s="1"/>
  <c r="AS24" i="10"/>
  <c r="AT24" i="10" s="1"/>
  <c r="AE5" i="10"/>
  <c r="AH5" i="10" s="1"/>
  <c r="AE8" i="10"/>
  <c r="AH8" i="10" s="1"/>
  <c r="AS9" i="10"/>
  <c r="AS11" i="10"/>
  <c r="AV12" i="10"/>
  <c r="AS13" i="10"/>
  <c r="AU13" i="10"/>
  <c r="AS15" i="10"/>
  <c r="AU27" i="10"/>
  <c r="AS40" i="10"/>
  <c r="AT40" i="10" s="1"/>
  <c r="AS41" i="10"/>
  <c r="AT41" i="10" s="1"/>
  <c r="AE24" i="10"/>
  <c r="AH24" i="10" s="1"/>
  <c r="AR10" i="10"/>
  <c r="AE14" i="10"/>
  <c r="AH14" i="10" s="1"/>
  <c r="AE25" i="10"/>
  <c r="AH25" i="10" s="1"/>
  <c r="AS37" i="9"/>
  <c r="AT37" i="9" s="1"/>
  <c r="AU2" i="9"/>
  <c r="AS17" i="9"/>
  <c r="AS21" i="9"/>
  <c r="AT21" i="9" s="1"/>
  <c r="AS27" i="9"/>
  <c r="AT27" i="9" s="1"/>
  <c r="AS3" i="9"/>
  <c r="AU12" i="9"/>
  <c r="AH2" i="9"/>
  <c r="E4" i="9"/>
  <c r="AS7" i="9"/>
  <c r="AU7" i="9"/>
  <c r="AU11" i="9"/>
  <c r="AS11" i="9"/>
  <c r="AS4" i="9"/>
  <c r="AU4" i="9"/>
  <c r="AS5" i="9"/>
  <c r="AU5" i="9"/>
  <c r="AT12" i="9"/>
  <c r="AV12" i="9"/>
  <c r="E2" i="9"/>
  <c r="AV3" i="9"/>
  <c r="AT3" i="9"/>
  <c r="AS8" i="9"/>
  <c r="AU8" i="9"/>
  <c r="AT2" i="9"/>
  <c r="AV2" i="9"/>
  <c r="AS9" i="9"/>
  <c r="AU9" i="9"/>
  <c r="AU10" i="9"/>
  <c r="AS10" i="9"/>
  <c r="AS13" i="9"/>
  <c r="AU13" i="9"/>
  <c r="AU16" i="9"/>
  <c r="AS16" i="9"/>
  <c r="AT30" i="9"/>
  <c r="AM30" i="9" s="1"/>
  <c r="AL30" i="9"/>
  <c r="E7" i="9"/>
  <c r="AE8" i="9"/>
  <c r="AH8" i="9" s="1"/>
  <c r="AE9" i="9"/>
  <c r="AH9" i="9" s="1"/>
  <c r="AU20" i="9"/>
  <c r="AS20" i="9"/>
  <c r="AT20" i="9" s="1"/>
  <c r="AU30" i="9"/>
  <c r="AU31" i="9"/>
  <c r="AS38" i="9"/>
  <c r="AT38" i="9" s="1"/>
  <c r="AU38" i="9"/>
  <c r="AU40" i="9"/>
  <c r="AS40" i="9"/>
  <c r="AT40" i="9" s="1"/>
  <c r="AS41" i="9"/>
  <c r="AT41" i="9" s="1"/>
  <c r="AS28" i="9"/>
  <c r="AT28" i="9" s="1"/>
  <c r="AU28" i="9"/>
  <c r="AU36" i="9"/>
  <c r="AS36" i="9"/>
  <c r="AT36" i="9" s="1"/>
  <c r="AE5" i="9"/>
  <c r="AH5" i="9" s="1"/>
  <c r="AS6" i="9"/>
  <c r="AE10" i="9"/>
  <c r="AH10" i="9" s="1"/>
  <c r="AU14" i="9"/>
  <c r="AS14" i="9"/>
  <c r="AS22" i="9"/>
  <c r="AT22" i="9" s="1"/>
  <c r="AU22" i="9"/>
  <c r="AU23" i="9"/>
  <c r="AS23" i="9"/>
  <c r="AT23" i="9" s="1"/>
  <c r="AU24" i="9"/>
  <c r="AS24" i="9"/>
  <c r="AT24" i="9" s="1"/>
  <c r="AU25" i="9"/>
  <c r="AS25" i="9"/>
  <c r="AT25" i="9" s="1"/>
  <c r="AU26" i="9"/>
  <c r="AS26" i="9"/>
  <c r="AT26" i="9" s="1"/>
  <c r="E28" i="9"/>
  <c r="AE28" i="9"/>
  <c r="AH28" i="9" s="1"/>
  <c r="AE33" i="9"/>
  <c r="AH33" i="9" s="1"/>
  <c r="AU39" i="9"/>
  <c r="AV17" i="9"/>
  <c r="AT17" i="9"/>
  <c r="AU29" i="9"/>
  <c r="AU15" i="9"/>
  <c r="AS15" i="9"/>
  <c r="AU33" i="9"/>
  <c r="AS33" i="9"/>
  <c r="AT33" i="9" s="1"/>
  <c r="AU43" i="9"/>
  <c r="AU30" i="8"/>
  <c r="AU39" i="8"/>
  <c r="AS21" i="8"/>
  <c r="AT21" i="8" s="1"/>
  <c r="AH2" i="8"/>
  <c r="AS12" i="8"/>
  <c r="AU12" i="8"/>
  <c r="AU25" i="8"/>
  <c r="AS25" i="8"/>
  <c r="AT25" i="8" s="1"/>
  <c r="AR2" i="8"/>
  <c r="AS4" i="8"/>
  <c r="AU4" i="8"/>
  <c r="AS9" i="8"/>
  <c r="AU9" i="8"/>
  <c r="AU15" i="8"/>
  <c r="AS15" i="8"/>
  <c r="AS5" i="8"/>
  <c r="AU5" i="8"/>
  <c r="AS8" i="8"/>
  <c r="AU8" i="8"/>
  <c r="AS10" i="8"/>
  <c r="AU10" i="8"/>
  <c r="AS3" i="8"/>
  <c r="AE5" i="8"/>
  <c r="AH5" i="8" s="1"/>
  <c r="AS7" i="8"/>
  <c r="AU7" i="8"/>
  <c r="AU11" i="8"/>
  <c r="AS11" i="8"/>
  <c r="AU14" i="8"/>
  <c r="AS14" i="8"/>
  <c r="AU16" i="8"/>
  <c r="AS16" i="8"/>
  <c r="AS22" i="8"/>
  <c r="AT22" i="8" s="1"/>
  <c r="AU22" i="8"/>
  <c r="AS6" i="8"/>
  <c r="AE13" i="8"/>
  <c r="AH13" i="8" s="1"/>
  <c r="AT13" i="8"/>
  <c r="AU23" i="8"/>
  <c r="AS23" i="8"/>
  <c r="AT23" i="8" s="1"/>
  <c r="AE25" i="8"/>
  <c r="AH25" i="8" s="1"/>
  <c r="AS27" i="8"/>
  <c r="AT27" i="8" s="1"/>
  <c r="AR29" i="8"/>
  <c r="AR31" i="8"/>
  <c r="AU33" i="8"/>
  <c r="AS33" i="8"/>
  <c r="AT33" i="8" s="1"/>
  <c r="AU36" i="8"/>
  <c r="AS36" i="8"/>
  <c r="AT36" i="8" s="1"/>
  <c r="AS37" i="8"/>
  <c r="AT37" i="8" s="1"/>
  <c r="AE10" i="8"/>
  <c r="AH10" i="8" s="1"/>
  <c r="AV17" i="8"/>
  <c r="AT17" i="8"/>
  <c r="AU34" i="8"/>
  <c r="AU20" i="8"/>
  <c r="AS20" i="8"/>
  <c r="AT20" i="8" s="1"/>
  <c r="AU24" i="8"/>
  <c r="AS24" i="8"/>
  <c r="AT24" i="8" s="1"/>
  <c r="AU26" i="8"/>
  <c r="AS26" i="8"/>
  <c r="AT26" i="8" s="1"/>
  <c r="AS28" i="8"/>
  <c r="AT28" i="8" s="1"/>
  <c r="AU28" i="8"/>
  <c r="AT30" i="8"/>
  <c r="AM30" i="8" s="1"/>
  <c r="AL30" i="8"/>
  <c r="AR35" i="8"/>
  <c r="AS38" i="8"/>
  <c r="AT38" i="8" s="1"/>
  <c r="AU38" i="8"/>
  <c r="AH40" i="8"/>
  <c r="AU40" i="8"/>
  <c r="AS40" i="8"/>
  <c r="AT40" i="8" s="1"/>
  <c r="AS41" i="8"/>
  <c r="AT41" i="8" s="1"/>
  <c r="AU43" i="8"/>
  <c r="AS2" i="7"/>
  <c r="AV2" i="7" s="1"/>
  <c r="AS8" i="7"/>
  <c r="AT8" i="7" s="1"/>
  <c r="AU14" i="7"/>
  <c r="AT16" i="7"/>
  <c r="AS11" i="7"/>
  <c r="AV11" i="7" s="1"/>
  <c r="AU16" i="7"/>
  <c r="AS10" i="7"/>
  <c r="AU10" i="7"/>
  <c r="AS3" i="7"/>
  <c r="AU3" i="7"/>
  <c r="AU26" i="7"/>
  <c r="AS26" i="7"/>
  <c r="AT26" i="7" s="1"/>
  <c r="AS29" i="7"/>
  <c r="AT29" i="7" s="1"/>
  <c r="AU29" i="7"/>
  <c r="AS7" i="7"/>
  <c r="AU12" i="7"/>
  <c r="AS12" i="7"/>
  <c r="AS13" i="7"/>
  <c r="AT2" i="7"/>
  <c r="AS5" i="7"/>
  <c r="AE7" i="7"/>
  <c r="AH7" i="7" s="1"/>
  <c r="AT11" i="7"/>
  <c r="AV17" i="7"/>
  <c r="AU20" i="7"/>
  <c r="AU21" i="7"/>
  <c r="AS21" i="7"/>
  <c r="AT21" i="7" s="1"/>
  <c r="AU24" i="7"/>
  <c r="AS24" i="7"/>
  <c r="AT24" i="7" s="1"/>
  <c r="AE27" i="7"/>
  <c r="AH27" i="7" s="1"/>
  <c r="E27" i="7"/>
  <c r="AS31" i="7"/>
  <c r="AT31" i="7" s="1"/>
  <c r="AU31" i="7"/>
  <c r="AH2" i="7"/>
  <c r="E25" i="7"/>
  <c r="AE25" i="7"/>
  <c r="AH25" i="7" s="1"/>
  <c r="AU27" i="7"/>
  <c r="AS27" i="7"/>
  <c r="AT27" i="7" s="1"/>
  <c r="AV8" i="7"/>
  <c r="AU17" i="7"/>
  <c r="AS30" i="7"/>
  <c r="AU30" i="7"/>
  <c r="AS35" i="7"/>
  <c r="AT35" i="7" s="1"/>
  <c r="AU35" i="7"/>
  <c r="AE4" i="7"/>
  <c r="AH4" i="7" s="1"/>
  <c r="AS4" i="7"/>
  <c r="AR6" i="7"/>
  <c r="E7" i="7"/>
  <c r="AS9" i="7"/>
  <c r="AE12" i="7"/>
  <c r="AH12" i="7" s="1"/>
  <c r="AT14" i="7"/>
  <c r="AU37" i="7"/>
  <c r="AS37" i="7"/>
  <c r="AT37" i="7" s="1"/>
  <c r="AS38" i="7"/>
  <c r="AT38" i="7" s="1"/>
  <c r="AU38" i="7"/>
  <c r="AS39" i="7"/>
  <c r="AT39" i="7" s="1"/>
  <c r="AU39" i="7"/>
  <c r="AR25" i="7"/>
  <c r="AE29" i="7"/>
  <c r="AH29" i="7" s="1"/>
  <c r="AE31" i="7"/>
  <c r="AH31" i="7" s="1"/>
  <c r="AU40" i="7"/>
  <c r="AS34" i="7"/>
  <c r="AT34" i="7" s="1"/>
  <c r="AU34" i="7"/>
  <c r="AU41" i="7"/>
  <c r="AS41" i="7"/>
  <c r="AT41" i="7" s="1"/>
  <c r="E33" i="7"/>
  <c r="AE33" i="7"/>
  <c r="AH33" i="7" s="1"/>
  <c r="AR33" i="7"/>
  <c r="AE35" i="7"/>
  <c r="AH35" i="7" s="1"/>
  <c r="AR36" i="7"/>
  <c r="AU43" i="7"/>
  <c r="AS4" i="6"/>
  <c r="AL4" i="6" s="1"/>
  <c r="AL2" i="6"/>
  <c r="AU2" i="6"/>
  <c r="AS2" i="6"/>
  <c r="AU7" i="6"/>
  <c r="AS7" i="6"/>
  <c r="AT7" i="6" s="1"/>
  <c r="AM7" i="6" s="1"/>
  <c r="AU3" i="6"/>
  <c r="AS3" i="6"/>
  <c r="AS8" i="6"/>
  <c r="AT8" i="6" s="1"/>
  <c r="AM8" i="6" s="1"/>
  <c r="AT4" i="6"/>
  <c r="AM4" i="6" s="1"/>
  <c r="AS9" i="6"/>
  <c r="AT9" i="6" s="1"/>
  <c r="AM9" i="6" s="1"/>
  <c r="AU9" i="6"/>
  <c r="AS10" i="6"/>
  <c r="AT10" i="6" s="1"/>
  <c r="AM10" i="6" s="1"/>
  <c r="AE6" i="5"/>
  <c r="AH6" i="5" s="1"/>
  <c r="AR6" i="5"/>
  <c r="E7" i="5"/>
  <c r="AS7" i="5"/>
  <c r="AT7" i="5" s="1"/>
  <c r="AR8" i="5"/>
  <c r="AU8" i="5" s="1"/>
  <c r="AR9" i="5"/>
  <c r="AR11" i="5"/>
  <c r="AE2" i="5"/>
  <c r="AH2" i="5" s="1"/>
  <c r="E11" i="5"/>
  <c r="AR4" i="5"/>
  <c r="AU4" i="5" s="1"/>
  <c r="AE7" i="5"/>
  <c r="AH7" i="5" s="1"/>
  <c r="AE10" i="5"/>
  <c r="AH10" i="5" s="1"/>
  <c r="E12" i="5"/>
  <c r="E13" i="5"/>
  <c r="E14" i="5"/>
  <c r="AS17" i="5"/>
  <c r="AT17" i="5" s="1"/>
  <c r="AR21" i="5"/>
  <c r="AS2" i="5"/>
  <c r="AU2" i="5"/>
  <c r="AV7" i="5"/>
  <c r="AS11" i="5"/>
  <c r="AU11" i="5"/>
  <c r="AU14" i="5"/>
  <c r="AS14" i="5"/>
  <c r="E2" i="5"/>
  <c r="AS12" i="5"/>
  <c r="AU12" i="5"/>
  <c r="AU13" i="5"/>
  <c r="AS13" i="5"/>
  <c r="AU10" i="5"/>
  <c r="AS10" i="5"/>
  <c r="AU16" i="5"/>
  <c r="AS16" i="5"/>
  <c r="AV17" i="5"/>
  <c r="AS22" i="5"/>
  <c r="AT22" i="5" s="1"/>
  <c r="AU22" i="5"/>
  <c r="AU3" i="5"/>
  <c r="AS3" i="5"/>
  <c r="AE3" i="5"/>
  <c r="AH3" i="5" s="1"/>
  <c r="E4" i="5"/>
  <c r="AE4" i="5"/>
  <c r="AH4" i="5" s="1"/>
  <c r="AS5" i="5"/>
  <c r="AS8" i="5"/>
  <c r="AE11" i="5"/>
  <c r="AH11" i="5" s="1"/>
  <c r="AE13" i="5"/>
  <c r="AH13" i="5" s="1"/>
  <c r="AU20" i="5"/>
  <c r="AS20" i="5"/>
  <c r="AT20" i="5" s="1"/>
  <c r="AE14" i="5"/>
  <c r="AH14" i="5" s="1"/>
  <c r="AU15" i="5"/>
  <c r="AS15" i="5"/>
  <c r="AU23" i="5"/>
  <c r="AS23" i="5"/>
  <c r="AT23" i="5" s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3" i="2"/>
  <c r="G2" i="2"/>
  <c r="F3" i="2"/>
  <c r="F4" i="2"/>
  <c r="F5" i="2"/>
  <c r="F6" i="2"/>
  <c r="F7" i="2"/>
  <c r="F8" i="2"/>
  <c r="F9" i="2"/>
  <c r="F10" i="2"/>
  <c r="F11" i="2"/>
  <c r="F12" i="2"/>
  <c r="F13" i="2"/>
  <c r="F14" i="2"/>
  <c r="F24" i="2"/>
  <c r="F25" i="2"/>
  <c r="F26" i="2"/>
  <c r="F27" i="2"/>
  <c r="F28" i="2"/>
  <c r="F29" i="2"/>
  <c r="F30" i="2"/>
  <c r="F31" i="2"/>
  <c r="F33" i="2"/>
  <c r="F34" i="2"/>
  <c r="F35" i="2"/>
  <c r="F2" i="2"/>
  <c r="E34" i="2"/>
  <c r="AS18" i="2"/>
  <c r="AT18" i="2" s="1"/>
  <c r="AS19" i="2"/>
  <c r="AT19" i="2" s="1"/>
  <c r="AS32" i="2"/>
  <c r="AT32" i="2" s="1"/>
  <c r="AS42" i="2"/>
  <c r="AT42" i="2" s="1"/>
  <c r="AQ39" i="2"/>
  <c r="AQ21" i="2"/>
  <c r="AQ36" i="2"/>
  <c r="AQ37" i="2"/>
  <c r="AQ38" i="2"/>
  <c r="AQ43" i="2"/>
  <c r="AR43" i="2" s="1"/>
  <c r="AU43" i="2" s="1"/>
  <c r="AQ22" i="2"/>
  <c r="AQ41" i="2"/>
  <c r="AR41" i="2" s="1"/>
  <c r="AU41" i="2" s="1"/>
  <c r="AQ40" i="2"/>
  <c r="AR40" i="2" s="1"/>
  <c r="AU40" i="2" s="1"/>
  <c r="AQ17" i="2"/>
  <c r="AR17" i="2" s="1"/>
  <c r="AU17" i="2" s="1"/>
  <c r="AQ28" i="2"/>
  <c r="AQ27" i="2"/>
  <c r="AQ29" i="2"/>
  <c r="AQ34" i="2"/>
  <c r="AQ33" i="2"/>
  <c r="AQ31" i="2"/>
  <c r="AQ35" i="2"/>
  <c r="AQ25" i="2"/>
  <c r="AQ24" i="2"/>
  <c r="AQ26" i="2"/>
  <c r="AQ5" i="2"/>
  <c r="AQ4" i="2"/>
  <c r="AQ16" i="2"/>
  <c r="AQ15" i="2"/>
  <c r="AQ14" i="2"/>
  <c r="AQ13" i="2"/>
  <c r="AQ12" i="2"/>
  <c r="AQ11" i="2"/>
  <c r="AQ10" i="2"/>
  <c r="AQ9" i="2"/>
  <c r="AQ8" i="2"/>
  <c r="AQ7" i="2"/>
  <c r="AQ6" i="2"/>
  <c r="AQ3" i="2"/>
  <c r="AQ2" i="2"/>
  <c r="AP39" i="2"/>
  <c r="AP21" i="2"/>
  <c r="AP36" i="2"/>
  <c r="AP37" i="2"/>
  <c r="AP38" i="2"/>
  <c r="AP23" i="2"/>
  <c r="AR23" i="2" s="1"/>
  <c r="AU23" i="2" s="1"/>
  <c r="AP22" i="2"/>
  <c r="AP20" i="2"/>
  <c r="AR20" i="2" s="1"/>
  <c r="AU20" i="2" s="1"/>
  <c r="AP28" i="2"/>
  <c r="AP27" i="2"/>
  <c r="AP34" i="2"/>
  <c r="AR34" i="2" s="1"/>
  <c r="AU34" i="2" s="1"/>
  <c r="AP29" i="2"/>
  <c r="AP35" i="2"/>
  <c r="AP33" i="2"/>
  <c r="AP31" i="2"/>
  <c r="AP30" i="2"/>
  <c r="AR30" i="2" s="1"/>
  <c r="AU30" i="2" s="1"/>
  <c r="AP25" i="2"/>
  <c r="AP26" i="2"/>
  <c r="AP24" i="2"/>
  <c r="AP5" i="2"/>
  <c r="AP12" i="2"/>
  <c r="AP8" i="2"/>
  <c r="AP10" i="2"/>
  <c r="AP16" i="2"/>
  <c r="AR16" i="2" s="1"/>
  <c r="AU16" i="2" s="1"/>
  <c r="AP15" i="2"/>
  <c r="AR15" i="2" s="1"/>
  <c r="AU15" i="2" s="1"/>
  <c r="AP14" i="2"/>
  <c r="AR14" i="2" s="1"/>
  <c r="AU14" i="2" s="1"/>
  <c r="AP13" i="2"/>
  <c r="AR13" i="2" s="1"/>
  <c r="AU13" i="2" s="1"/>
  <c r="AP11" i="2"/>
  <c r="AP9" i="2"/>
  <c r="AP7" i="2"/>
  <c r="AP6" i="2"/>
  <c r="AP4" i="2"/>
  <c r="AP3" i="2"/>
  <c r="AP2" i="2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2" i="4"/>
  <c r="AU29" i="12" l="1"/>
  <c r="AS29" i="12"/>
  <c r="AT29" i="12" s="1"/>
  <c r="AV15" i="12"/>
  <c r="AT15" i="12"/>
  <c r="AV12" i="12"/>
  <c r="AT12" i="12"/>
  <c r="AV2" i="12"/>
  <c r="AT2" i="12"/>
  <c r="AV8" i="12"/>
  <c r="AT8" i="12"/>
  <c r="AV13" i="12"/>
  <c r="AT13" i="12"/>
  <c r="AS6" i="12"/>
  <c r="AU6" i="12"/>
  <c r="AV11" i="12"/>
  <c r="AT11" i="12"/>
  <c r="AV4" i="12"/>
  <c r="AT4" i="12"/>
  <c r="AH44" i="12"/>
  <c r="AT3" i="12"/>
  <c r="AV3" i="12"/>
  <c r="AT16" i="12"/>
  <c r="AV16" i="12"/>
  <c r="AV14" i="12"/>
  <c r="AT14" i="12"/>
  <c r="AS35" i="12"/>
  <c r="AT35" i="12" s="1"/>
  <c r="AU35" i="12"/>
  <c r="AV17" i="12"/>
  <c r="AT17" i="12"/>
  <c r="AI12" i="12"/>
  <c r="AJ12" i="12" s="1"/>
  <c r="AK12" i="12" s="1"/>
  <c r="AV7" i="12"/>
  <c r="AT7" i="12"/>
  <c r="AE44" i="12"/>
  <c r="AI26" i="12"/>
  <c r="AJ26" i="12" s="1"/>
  <c r="AK26" i="12" s="1"/>
  <c r="AV10" i="12"/>
  <c r="AT10" i="12"/>
  <c r="AV9" i="12"/>
  <c r="AT9" i="12"/>
  <c r="AE44" i="11"/>
  <c r="AS15" i="11"/>
  <c r="AU15" i="11"/>
  <c r="AT30" i="11"/>
  <c r="AM30" i="11" s="1"/>
  <c r="AL30" i="11"/>
  <c r="AT3" i="11"/>
  <c r="AV3" i="11"/>
  <c r="AT6" i="11"/>
  <c r="AV6" i="11"/>
  <c r="AV5" i="11"/>
  <c r="AT5" i="11"/>
  <c r="AV2" i="11"/>
  <c r="AT2" i="11"/>
  <c r="AV9" i="11"/>
  <c r="AT9" i="11"/>
  <c r="AV7" i="11"/>
  <c r="AT7" i="11"/>
  <c r="AV11" i="11"/>
  <c r="AT11" i="11"/>
  <c r="AV8" i="11"/>
  <c r="AT8" i="11"/>
  <c r="AT13" i="11"/>
  <c r="AV13" i="11"/>
  <c r="AT10" i="11"/>
  <c r="AV10" i="11"/>
  <c r="AV4" i="11"/>
  <c r="AT4" i="11"/>
  <c r="AH44" i="11"/>
  <c r="AI13" i="11" s="1"/>
  <c r="AJ13" i="11" s="1"/>
  <c r="AK13" i="11" s="1"/>
  <c r="AU10" i="10"/>
  <c r="AS10" i="10"/>
  <c r="AV15" i="10"/>
  <c r="AT15" i="10"/>
  <c r="AT11" i="10"/>
  <c r="AV11" i="10"/>
  <c r="AT14" i="10"/>
  <c r="AV14" i="10"/>
  <c r="AV8" i="10"/>
  <c r="AT8" i="10"/>
  <c r="AT2" i="10"/>
  <c r="AV2" i="10"/>
  <c r="AV9" i="10"/>
  <c r="AT9" i="10"/>
  <c r="AH44" i="10"/>
  <c r="AI14" i="10" s="1"/>
  <c r="AJ14" i="10" s="1"/>
  <c r="AK14" i="10" s="1"/>
  <c r="AT6" i="10"/>
  <c r="AV6" i="10"/>
  <c r="AV13" i="10"/>
  <c r="AT13" i="10"/>
  <c r="AV16" i="10"/>
  <c r="AT16" i="10"/>
  <c r="AV5" i="10"/>
  <c r="AT5" i="10"/>
  <c r="AV3" i="10"/>
  <c r="AT3" i="10"/>
  <c r="AE44" i="10"/>
  <c r="AT8" i="9"/>
  <c r="AV8" i="9"/>
  <c r="AV5" i="9"/>
  <c r="AT5" i="9"/>
  <c r="AT15" i="9"/>
  <c r="AV15" i="9"/>
  <c r="AT9" i="9"/>
  <c r="AV9" i="9"/>
  <c r="AH44" i="9"/>
  <c r="AI8" i="9" s="1"/>
  <c r="AJ8" i="9" s="1"/>
  <c r="AK8" i="9" s="1"/>
  <c r="AV13" i="9"/>
  <c r="AT13" i="9"/>
  <c r="AV10" i="9"/>
  <c r="AT10" i="9"/>
  <c r="AV4" i="9"/>
  <c r="AT4" i="9"/>
  <c r="AT7" i="9"/>
  <c r="AV7" i="9"/>
  <c r="AE44" i="9"/>
  <c r="AT14" i="9"/>
  <c r="AV14" i="9"/>
  <c r="AT6" i="9"/>
  <c r="AV6" i="9"/>
  <c r="AT16" i="9"/>
  <c r="AV16" i="9"/>
  <c r="AT11" i="9"/>
  <c r="AV11" i="9"/>
  <c r="AS2" i="8"/>
  <c r="AU2" i="8"/>
  <c r="AI13" i="8"/>
  <c r="AJ13" i="8" s="1"/>
  <c r="AK13" i="8" s="1"/>
  <c r="AT14" i="8"/>
  <c r="AV14" i="8"/>
  <c r="AT11" i="8"/>
  <c r="AV11" i="8"/>
  <c r="AV10" i="8"/>
  <c r="AT10" i="8"/>
  <c r="AV5" i="8"/>
  <c r="AT5" i="8"/>
  <c r="AV9" i="8"/>
  <c r="AT9" i="8"/>
  <c r="AH44" i="8"/>
  <c r="AI5" i="8" s="1"/>
  <c r="AJ5" i="8" s="1"/>
  <c r="AK5" i="8" s="1"/>
  <c r="AI2" i="8"/>
  <c r="AJ2" i="8" s="1"/>
  <c r="AK2" i="8" s="1"/>
  <c r="AS31" i="8"/>
  <c r="AT31" i="8" s="1"/>
  <c r="AU31" i="8"/>
  <c r="AT6" i="8"/>
  <c r="AV6" i="8"/>
  <c r="AV7" i="8"/>
  <c r="AT7" i="8"/>
  <c r="AV3" i="8"/>
  <c r="AT3" i="8"/>
  <c r="AV15" i="8"/>
  <c r="AT15" i="8"/>
  <c r="AV12" i="8"/>
  <c r="AT12" i="8"/>
  <c r="AE44" i="8"/>
  <c r="AV16" i="8"/>
  <c r="AT16" i="8"/>
  <c r="AS35" i="8"/>
  <c r="AT35" i="8" s="1"/>
  <c r="AU35" i="8"/>
  <c r="AS29" i="8"/>
  <c r="AT29" i="8" s="1"/>
  <c r="AU29" i="8"/>
  <c r="AV8" i="8"/>
  <c r="AT8" i="8"/>
  <c r="AV4" i="8"/>
  <c r="AT4" i="8"/>
  <c r="AT5" i="7"/>
  <c r="AV5" i="7"/>
  <c r="AT13" i="7"/>
  <c r="AV13" i="7"/>
  <c r="AU25" i="7"/>
  <c r="AS25" i="7"/>
  <c r="AT25" i="7" s="1"/>
  <c r="AS6" i="7"/>
  <c r="AU6" i="7"/>
  <c r="AE44" i="7"/>
  <c r="AS36" i="7"/>
  <c r="AT36" i="7" s="1"/>
  <c r="AU36" i="7"/>
  <c r="AT4" i="7"/>
  <c r="AV4" i="7"/>
  <c r="AT9" i="7"/>
  <c r="AV9" i="7"/>
  <c r="AT12" i="7"/>
  <c r="AV12" i="7"/>
  <c r="AT7" i="7"/>
  <c r="AV7" i="7"/>
  <c r="AU33" i="7"/>
  <c r="AS33" i="7"/>
  <c r="AT33" i="7" s="1"/>
  <c r="AL30" i="7"/>
  <c r="AT30" i="7"/>
  <c r="AM30" i="7" s="1"/>
  <c r="AH44" i="7"/>
  <c r="AI35" i="7" s="1"/>
  <c r="AJ35" i="7" s="1"/>
  <c r="AK35" i="7" s="1"/>
  <c r="AT3" i="7"/>
  <c r="AV3" i="7"/>
  <c r="AT10" i="7"/>
  <c r="AV10" i="7"/>
  <c r="AL8" i="6"/>
  <c r="AL9" i="6"/>
  <c r="AV4" i="6"/>
  <c r="AL10" i="6"/>
  <c r="AT3" i="6"/>
  <c r="AM3" i="6" s="1"/>
  <c r="AV3" i="6"/>
  <c r="AL7" i="6"/>
  <c r="AL3" i="6"/>
  <c r="AT2" i="6"/>
  <c r="AM2" i="6" s="1"/>
  <c r="AV2" i="6"/>
  <c r="AS4" i="5"/>
  <c r="AU9" i="5"/>
  <c r="AS9" i="5"/>
  <c r="AS6" i="5"/>
  <c r="AU6" i="5"/>
  <c r="AU21" i="5"/>
  <c r="AS21" i="5"/>
  <c r="AT21" i="5" s="1"/>
  <c r="AV3" i="5"/>
  <c r="AT3" i="5"/>
  <c r="AV12" i="5"/>
  <c r="AT12" i="5"/>
  <c r="AV15" i="5"/>
  <c r="AT15" i="5"/>
  <c r="AV8" i="5"/>
  <c r="AT8" i="5"/>
  <c r="AT10" i="5"/>
  <c r="AV10" i="5"/>
  <c r="AV13" i="5"/>
  <c r="AT13" i="5"/>
  <c r="AV4" i="5"/>
  <c r="AT4" i="5"/>
  <c r="AV11" i="5"/>
  <c r="AT11" i="5"/>
  <c r="AV5" i="5"/>
  <c r="AT5" i="5"/>
  <c r="AV14" i="5"/>
  <c r="AT14" i="5"/>
  <c r="AT16" i="5"/>
  <c r="AV16" i="5"/>
  <c r="AV2" i="5"/>
  <c r="AT2" i="5"/>
  <c r="AR6" i="2"/>
  <c r="AU6" i="2" s="1"/>
  <c r="AR10" i="2"/>
  <c r="AU10" i="2" s="1"/>
  <c r="AS40" i="2"/>
  <c r="AT40" i="2" s="1"/>
  <c r="AS41" i="2"/>
  <c r="AS20" i="2"/>
  <c r="AS14" i="2"/>
  <c r="AS43" i="2"/>
  <c r="AS23" i="2"/>
  <c r="AS34" i="2"/>
  <c r="AT34" i="2" s="1"/>
  <c r="AS30" i="2"/>
  <c r="AS6" i="2"/>
  <c r="AS17" i="2"/>
  <c r="AS13" i="2"/>
  <c r="AS16" i="2"/>
  <c r="AR5" i="2"/>
  <c r="AR29" i="2"/>
  <c r="AS15" i="2"/>
  <c r="AR24" i="2"/>
  <c r="AR22" i="2"/>
  <c r="AR36" i="2"/>
  <c r="AR2" i="2"/>
  <c r="AR8" i="2"/>
  <c r="AR21" i="2"/>
  <c r="AR12" i="2"/>
  <c r="AR25" i="2"/>
  <c r="AR35" i="2"/>
  <c r="AR38" i="2"/>
  <c r="AS38" i="2" s="1"/>
  <c r="AR39" i="2"/>
  <c r="AR37" i="2"/>
  <c r="AS37" i="2" s="1"/>
  <c r="AR11" i="2"/>
  <c r="AS11" i="2" s="1"/>
  <c r="AR31" i="2"/>
  <c r="AR9" i="2"/>
  <c r="AR7" i="2"/>
  <c r="AS7" i="2" s="1"/>
  <c r="AR26" i="2"/>
  <c r="AR27" i="2"/>
  <c r="AR3" i="2"/>
  <c r="AS3" i="2" s="1"/>
  <c r="AR4" i="2"/>
  <c r="AR33" i="2"/>
  <c r="AS33" i="2" s="1"/>
  <c r="AR28" i="2"/>
  <c r="AM26" i="12" l="1"/>
  <c r="AL26" i="12"/>
  <c r="AM12" i="12"/>
  <c r="AL12" i="12"/>
  <c r="AI23" i="12"/>
  <c r="AJ23" i="12" s="1"/>
  <c r="AK23" i="12" s="1"/>
  <c r="AI18" i="12"/>
  <c r="AJ18" i="12" s="1"/>
  <c r="AK18" i="12" s="1"/>
  <c r="AI21" i="12"/>
  <c r="AJ21" i="12" s="1"/>
  <c r="AK21" i="12" s="1"/>
  <c r="AI6" i="12"/>
  <c r="AJ6" i="12" s="1"/>
  <c r="AK6" i="12" s="1"/>
  <c r="AI29" i="12"/>
  <c r="AJ29" i="12" s="1"/>
  <c r="AK29" i="12" s="1"/>
  <c r="AI8" i="12"/>
  <c r="AJ8" i="12" s="1"/>
  <c r="AK8" i="12" s="1"/>
  <c r="AI39" i="12"/>
  <c r="AJ39" i="12" s="1"/>
  <c r="AK39" i="12" s="1"/>
  <c r="AI17" i="12"/>
  <c r="AJ17" i="12" s="1"/>
  <c r="AK17" i="12" s="1"/>
  <c r="AI34" i="12"/>
  <c r="AJ34" i="12" s="1"/>
  <c r="AK34" i="12" s="1"/>
  <c r="AI15" i="12"/>
  <c r="AJ15" i="12" s="1"/>
  <c r="AK15" i="12" s="1"/>
  <c r="AI32" i="12"/>
  <c r="AJ32" i="12" s="1"/>
  <c r="AK32" i="12" s="1"/>
  <c r="AI42" i="12"/>
  <c r="AJ42" i="12" s="1"/>
  <c r="AK42" i="12" s="1"/>
  <c r="AI5" i="12"/>
  <c r="AJ5" i="12" s="1"/>
  <c r="AK5" i="12" s="1"/>
  <c r="AI27" i="12"/>
  <c r="AJ27" i="12" s="1"/>
  <c r="AK27" i="12" s="1"/>
  <c r="AI14" i="12"/>
  <c r="AJ14" i="12" s="1"/>
  <c r="AK14" i="12" s="1"/>
  <c r="AI30" i="12"/>
  <c r="AJ30" i="12" s="1"/>
  <c r="AI9" i="12"/>
  <c r="AJ9" i="12" s="1"/>
  <c r="AK9" i="12" s="1"/>
  <c r="AI20" i="12"/>
  <c r="AJ20" i="12" s="1"/>
  <c r="AK20" i="12" s="1"/>
  <c r="AI41" i="12"/>
  <c r="AJ41" i="12" s="1"/>
  <c r="AK41" i="12" s="1"/>
  <c r="AI35" i="12"/>
  <c r="AJ35" i="12" s="1"/>
  <c r="AK35" i="12" s="1"/>
  <c r="AI16" i="12"/>
  <c r="AJ16" i="12" s="1"/>
  <c r="AK16" i="12" s="1"/>
  <c r="AI11" i="12"/>
  <c r="AJ11" i="12" s="1"/>
  <c r="AK11" i="12" s="1"/>
  <c r="AI31" i="12"/>
  <c r="AJ31" i="12" s="1"/>
  <c r="AK31" i="12" s="1"/>
  <c r="AI25" i="12"/>
  <c r="AJ25" i="12" s="1"/>
  <c r="AK25" i="12" s="1"/>
  <c r="AI10" i="12"/>
  <c r="AJ10" i="12" s="1"/>
  <c r="AK10" i="12" s="1"/>
  <c r="AI43" i="12"/>
  <c r="AJ43" i="12" s="1"/>
  <c r="AK43" i="12" s="1"/>
  <c r="AI19" i="12"/>
  <c r="AJ19" i="12" s="1"/>
  <c r="AK19" i="12" s="1"/>
  <c r="AI36" i="12"/>
  <c r="AJ36" i="12" s="1"/>
  <c r="AK36" i="12" s="1"/>
  <c r="AI38" i="12"/>
  <c r="AJ38" i="12" s="1"/>
  <c r="AK38" i="12" s="1"/>
  <c r="AI22" i="12"/>
  <c r="AJ22" i="12" s="1"/>
  <c r="AK22" i="12" s="1"/>
  <c r="AI37" i="12"/>
  <c r="AJ37" i="12" s="1"/>
  <c r="AK37" i="12" s="1"/>
  <c r="AI3" i="12"/>
  <c r="AJ3" i="12" s="1"/>
  <c r="AK3" i="12" s="1"/>
  <c r="AI40" i="12"/>
  <c r="AJ40" i="12" s="1"/>
  <c r="AK40" i="12" s="1"/>
  <c r="AI28" i="12"/>
  <c r="AJ28" i="12" s="1"/>
  <c r="AK28" i="12" s="1"/>
  <c r="AI7" i="12"/>
  <c r="AJ7" i="12" s="1"/>
  <c r="AK7" i="12" s="1"/>
  <c r="AT6" i="12"/>
  <c r="AV6" i="12"/>
  <c r="AI13" i="12"/>
  <c r="AJ13" i="12" s="1"/>
  <c r="AK13" i="12" s="1"/>
  <c r="AI33" i="12"/>
  <c r="AJ33" i="12" s="1"/>
  <c r="AK33" i="12" s="1"/>
  <c r="AI4" i="12"/>
  <c r="AJ4" i="12" s="1"/>
  <c r="AK4" i="12" s="1"/>
  <c r="AI2" i="12"/>
  <c r="AJ2" i="12" s="1"/>
  <c r="AK2" i="12" s="1"/>
  <c r="AI24" i="12"/>
  <c r="AJ24" i="12" s="1"/>
  <c r="AK24" i="12" s="1"/>
  <c r="AI2" i="11"/>
  <c r="AJ2" i="11" s="1"/>
  <c r="AK2" i="11" s="1"/>
  <c r="AI12" i="11"/>
  <c r="AJ12" i="11" s="1"/>
  <c r="AK12" i="11" s="1"/>
  <c r="AL12" i="11" s="1"/>
  <c r="AM13" i="11"/>
  <c r="AL13" i="11"/>
  <c r="AM2" i="11"/>
  <c r="AL2" i="11"/>
  <c r="AI35" i="11"/>
  <c r="AJ35" i="11" s="1"/>
  <c r="AK35" i="11" s="1"/>
  <c r="AM12" i="11"/>
  <c r="AI20" i="11"/>
  <c r="AJ20" i="11" s="1"/>
  <c r="AK20" i="11" s="1"/>
  <c r="AI23" i="11"/>
  <c r="AJ23" i="11" s="1"/>
  <c r="AK23" i="11" s="1"/>
  <c r="AI5" i="11"/>
  <c r="AJ5" i="11" s="1"/>
  <c r="AK5" i="11" s="1"/>
  <c r="AI11" i="11"/>
  <c r="AJ11" i="11" s="1"/>
  <c r="AK11" i="11" s="1"/>
  <c r="AI31" i="11"/>
  <c r="AJ31" i="11" s="1"/>
  <c r="AK31" i="11" s="1"/>
  <c r="AI38" i="11"/>
  <c r="AJ38" i="11" s="1"/>
  <c r="AK38" i="11" s="1"/>
  <c r="AI28" i="11"/>
  <c r="AJ28" i="11" s="1"/>
  <c r="AK28" i="11" s="1"/>
  <c r="AI36" i="11"/>
  <c r="AJ36" i="11" s="1"/>
  <c r="AK36" i="11" s="1"/>
  <c r="AI43" i="11"/>
  <c r="AJ43" i="11" s="1"/>
  <c r="AK43" i="11" s="1"/>
  <c r="AI6" i="11"/>
  <c r="AJ6" i="11" s="1"/>
  <c r="AK6" i="11" s="1"/>
  <c r="AI8" i="11"/>
  <c r="AJ8" i="11" s="1"/>
  <c r="AK8" i="11" s="1"/>
  <c r="AI40" i="11"/>
  <c r="AJ40" i="11" s="1"/>
  <c r="AK40" i="11" s="1"/>
  <c r="AI34" i="11"/>
  <c r="AJ34" i="11" s="1"/>
  <c r="AK34" i="11" s="1"/>
  <c r="AI41" i="11"/>
  <c r="AJ41" i="11" s="1"/>
  <c r="AK41" i="11" s="1"/>
  <c r="AI18" i="11"/>
  <c r="AJ18" i="11" s="1"/>
  <c r="AK18" i="11" s="1"/>
  <c r="AI29" i="11"/>
  <c r="AJ29" i="11" s="1"/>
  <c r="AK29" i="11" s="1"/>
  <c r="AI7" i="11"/>
  <c r="AJ7" i="11" s="1"/>
  <c r="AK7" i="11" s="1"/>
  <c r="AI15" i="11"/>
  <c r="AJ15" i="11" s="1"/>
  <c r="AK15" i="11" s="1"/>
  <c r="AI26" i="11"/>
  <c r="AJ26" i="11" s="1"/>
  <c r="AK26" i="11" s="1"/>
  <c r="AI14" i="11"/>
  <c r="AJ14" i="11" s="1"/>
  <c r="AK14" i="11" s="1"/>
  <c r="AI3" i="11"/>
  <c r="AJ3" i="11" s="1"/>
  <c r="AK3" i="11" s="1"/>
  <c r="AI9" i="11"/>
  <c r="AJ9" i="11" s="1"/>
  <c r="AK9" i="11" s="1"/>
  <c r="AI21" i="11"/>
  <c r="AJ21" i="11" s="1"/>
  <c r="AK21" i="11" s="1"/>
  <c r="AI27" i="11"/>
  <c r="AJ27" i="11" s="1"/>
  <c r="AK27" i="11" s="1"/>
  <c r="AI32" i="11"/>
  <c r="AJ32" i="11" s="1"/>
  <c r="AK32" i="11" s="1"/>
  <c r="AI33" i="11"/>
  <c r="AJ33" i="11" s="1"/>
  <c r="AK33" i="11" s="1"/>
  <c r="AI42" i="11"/>
  <c r="AJ42" i="11" s="1"/>
  <c r="AK42" i="11" s="1"/>
  <c r="AI16" i="11"/>
  <c r="AJ16" i="11" s="1"/>
  <c r="AK16" i="11" s="1"/>
  <c r="AI25" i="11"/>
  <c r="AJ25" i="11" s="1"/>
  <c r="AK25" i="11" s="1"/>
  <c r="AI37" i="11"/>
  <c r="AJ37" i="11" s="1"/>
  <c r="AK37" i="11" s="1"/>
  <c r="AI4" i="11"/>
  <c r="AJ4" i="11" s="1"/>
  <c r="AK4" i="11" s="1"/>
  <c r="AI10" i="11"/>
  <c r="AJ10" i="11" s="1"/>
  <c r="AK10" i="11" s="1"/>
  <c r="AI17" i="11"/>
  <c r="AJ17" i="11" s="1"/>
  <c r="AK17" i="11" s="1"/>
  <c r="AI22" i="11"/>
  <c r="AJ22" i="11" s="1"/>
  <c r="AK22" i="11" s="1"/>
  <c r="AI30" i="11"/>
  <c r="AJ30" i="11" s="1"/>
  <c r="AI19" i="11"/>
  <c r="AJ19" i="11" s="1"/>
  <c r="AK19" i="11" s="1"/>
  <c r="AI39" i="11"/>
  <c r="AJ39" i="11" s="1"/>
  <c r="AK39" i="11" s="1"/>
  <c r="AI24" i="11"/>
  <c r="AJ24" i="11" s="1"/>
  <c r="AK24" i="11" s="1"/>
  <c r="AV15" i="11"/>
  <c r="AT15" i="11"/>
  <c r="AM14" i="10"/>
  <c r="AL14" i="10"/>
  <c r="AI41" i="10"/>
  <c r="AJ41" i="10" s="1"/>
  <c r="AK41" i="10" s="1"/>
  <c r="AI37" i="10"/>
  <c r="AJ37" i="10" s="1"/>
  <c r="AK37" i="10" s="1"/>
  <c r="AI36" i="10"/>
  <c r="AJ36" i="10" s="1"/>
  <c r="AK36" i="10" s="1"/>
  <c r="AI32" i="10"/>
  <c r="AJ32" i="10" s="1"/>
  <c r="AK32" i="10" s="1"/>
  <c r="AI29" i="10"/>
  <c r="AJ29" i="10" s="1"/>
  <c r="AK29" i="10" s="1"/>
  <c r="AI21" i="10"/>
  <c r="AJ21" i="10" s="1"/>
  <c r="AK21" i="10" s="1"/>
  <c r="AI16" i="10"/>
  <c r="AJ16" i="10" s="1"/>
  <c r="AK16" i="10" s="1"/>
  <c r="AI26" i="10"/>
  <c r="AJ26" i="10" s="1"/>
  <c r="AK26" i="10" s="1"/>
  <c r="AI3" i="10"/>
  <c r="AJ3" i="10" s="1"/>
  <c r="AK3" i="10" s="1"/>
  <c r="AI4" i="10"/>
  <c r="AJ4" i="10" s="1"/>
  <c r="AK4" i="10" s="1"/>
  <c r="AI18" i="10"/>
  <c r="AJ18" i="10" s="1"/>
  <c r="AK18" i="10" s="1"/>
  <c r="AI12" i="10"/>
  <c r="AJ12" i="10" s="1"/>
  <c r="AK12" i="10" s="1"/>
  <c r="AI31" i="10"/>
  <c r="AJ31" i="10" s="1"/>
  <c r="AK31" i="10" s="1"/>
  <c r="AI43" i="10"/>
  <c r="AJ43" i="10" s="1"/>
  <c r="AK43" i="10" s="1"/>
  <c r="AI9" i="10"/>
  <c r="AJ9" i="10" s="1"/>
  <c r="AK9" i="10" s="1"/>
  <c r="AI6" i="10"/>
  <c r="AJ6" i="10" s="1"/>
  <c r="AK6" i="10" s="1"/>
  <c r="AI22" i="10"/>
  <c r="AJ22" i="10" s="1"/>
  <c r="AK22" i="10" s="1"/>
  <c r="AI30" i="10"/>
  <c r="AJ30" i="10" s="1"/>
  <c r="AI15" i="10"/>
  <c r="AJ15" i="10" s="1"/>
  <c r="AK15" i="10" s="1"/>
  <c r="AI11" i="10"/>
  <c r="AJ11" i="10" s="1"/>
  <c r="AK11" i="10" s="1"/>
  <c r="AI34" i="10"/>
  <c r="AJ34" i="10" s="1"/>
  <c r="AK34" i="10" s="1"/>
  <c r="AI23" i="10"/>
  <c r="AJ23" i="10" s="1"/>
  <c r="AK23" i="10" s="1"/>
  <c r="AI33" i="10"/>
  <c r="AJ33" i="10" s="1"/>
  <c r="AK33" i="10" s="1"/>
  <c r="AI42" i="10"/>
  <c r="AJ42" i="10" s="1"/>
  <c r="AK42" i="10" s="1"/>
  <c r="AI19" i="10"/>
  <c r="AJ19" i="10" s="1"/>
  <c r="AK19" i="10" s="1"/>
  <c r="AI20" i="10"/>
  <c r="AJ20" i="10" s="1"/>
  <c r="AK20" i="10" s="1"/>
  <c r="AI27" i="10"/>
  <c r="AJ27" i="10" s="1"/>
  <c r="AK27" i="10" s="1"/>
  <c r="AI7" i="10"/>
  <c r="AJ7" i="10" s="1"/>
  <c r="AK7" i="10" s="1"/>
  <c r="AI39" i="10"/>
  <c r="AJ39" i="10" s="1"/>
  <c r="AK39" i="10" s="1"/>
  <c r="AI38" i="10"/>
  <c r="AJ38" i="10" s="1"/>
  <c r="AK38" i="10" s="1"/>
  <c r="AI17" i="10"/>
  <c r="AJ17" i="10" s="1"/>
  <c r="AK17" i="10" s="1"/>
  <c r="AI35" i="10"/>
  <c r="AJ35" i="10" s="1"/>
  <c r="AK35" i="10" s="1"/>
  <c r="AI40" i="10"/>
  <c r="AJ40" i="10" s="1"/>
  <c r="AK40" i="10" s="1"/>
  <c r="AI25" i="10"/>
  <c r="AJ25" i="10" s="1"/>
  <c r="AK25" i="10" s="1"/>
  <c r="AI24" i="10"/>
  <c r="AJ24" i="10" s="1"/>
  <c r="AK24" i="10" s="1"/>
  <c r="AI8" i="10"/>
  <c r="AJ8" i="10" s="1"/>
  <c r="AK8" i="10" s="1"/>
  <c r="AI28" i="10"/>
  <c r="AJ28" i="10" s="1"/>
  <c r="AK28" i="10" s="1"/>
  <c r="AI5" i="10"/>
  <c r="AJ5" i="10" s="1"/>
  <c r="AK5" i="10" s="1"/>
  <c r="AI13" i="10"/>
  <c r="AJ13" i="10" s="1"/>
  <c r="AK13" i="10" s="1"/>
  <c r="AV10" i="10"/>
  <c r="AT10" i="10"/>
  <c r="AI2" i="10"/>
  <c r="AJ2" i="10" s="1"/>
  <c r="AK2" i="10" s="1"/>
  <c r="AI10" i="10"/>
  <c r="AJ10" i="10" s="1"/>
  <c r="AK10" i="10" s="1"/>
  <c r="AI28" i="9"/>
  <c r="AJ28" i="9" s="1"/>
  <c r="AK28" i="9" s="1"/>
  <c r="AI2" i="9"/>
  <c r="AJ2" i="9" s="1"/>
  <c r="AK2" i="9" s="1"/>
  <c r="AM8" i="9"/>
  <c r="AL8" i="9"/>
  <c r="AM28" i="9"/>
  <c r="AL28" i="9"/>
  <c r="AI37" i="9"/>
  <c r="AJ37" i="9" s="1"/>
  <c r="AK37" i="9" s="1"/>
  <c r="AI18" i="9"/>
  <c r="AJ18" i="9" s="1"/>
  <c r="AK18" i="9" s="1"/>
  <c r="AI27" i="9"/>
  <c r="AJ27" i="9" s="1"/>
  <c r="AK27" i="9" s="1"/>
  <c r="AI3" i="9"/>
  <c r="AJ3" i="9" s="1"/>
  <c r="AK3" i="9" s="1"/>
  <c r="AI7" i="9"/>
  <c r="AJ7" i="9" s="1"/>
  <c r="AK7" i="9" s="1"/>
  <c r="AI30" i="9"/>
  <c r="AJ30" i="9" s="1"/>
  <c r="AI36" i="9"/>
  <c r="AJ36" i="9" s="1"/>
  <c r="AK36" i="9" s="1"/>
  <c r="AI17" i="9"/>
  <c r="AJ17" i="9" s="1"/>
  <c r="AK17" i="9" s="1"/>
  <c r="AI34" i="9"/>
  <c r="AJ34" i="9" s="1"/>
  <c r="AK34" i="9" s="1"/>
  <c r="AI19" i="9"/>
  <c r="AJ19" i="9" s="1"/>
  <c r="AK19" i="9" s="1"/>
  <c r="AI26" i="9"/>
  <c r="AJ26" i="9" s="1"/>
  <c r="AK26" i="9" s="1"/>
  <c r="AI40" i="9"/>
  <c r="AJ40" i="9" s="1"/>
  <c r="AK40" i="9" s="1"/>
  <c r="AI15" i="9"/>
  <c r="AJ15" i="9" s="1"/>
  <c r="AK15" i="9" s="1"/>
  <c r="AI16" i="9"/>
  <c r="AJ16" i="9" s="1"/>
  <c r="AK16" i="9" s="1"/>
  <c r="AI42" i="9"/>
  <c r="AJ42" i="9" s="1"/>
  <c r="AK42" i="9" s="1"/>
  <c r="AI11" i="9"/>
  <c r="AJ11" i="9" s="1"/>
  <c r="AK11" i="9" s="1"/>
  <c r="AI6" i="9"/>
  <c r="AJ6" i="9" s="1"/>
  <c r="AK6" i="9" s="1"/>
  <c r="AI31" i="9"/>
  <c r="AJ31" i="9" s="1"/>
  <c r="AK31" i="9" s="1"/>
  <c r="AI22" i="9"/>
  <c r="AJ22" i="9" s="1"/>
  <c r="AK22" i="9" s="1"/>
  <c r="AI20" i="9"/>
  <c r="AJ20" i="9" s="1"/>
  <c r="AK20" i="9" s="1"/>
  <c r="AI25" i="9"/>
  <c r="AJ25" i="9" s="1"/>
  <c r="AK25" i="9" s="1"/>
  <c r="AI41" i="9"/>
  <c r="AJ41" i="9" s="1"/>
  <c r="AK41" i="9" s="1"/>
  <c r="AI4" i="9"/>
  <c r="AJ4" i="9" s="1"/>
  <c r="AK4" i="9" s="1"/>
  <c r="AI12" i="9"/>
  <c r="AJ12" i="9" s="1"/>
  <c r="AK12" i="9" s="1"/>
  <c r="AI14" i="9"/>
  <c r="AJ14" i="9" s="1"/>
  <c r="AK14" i="9" s="1"/>
  <c r="AI24" i="9"/>
  <c r="AJ24" i="9" s="1"/>
  <c r="AK24" i="9" s="1"/>
  <c r="AI39" i="9"/>
  <c r="AJ39" i="9" s="1"/>
  <c r="AK39" i="9" s="1"/>
  <c r="AI13" i="9"/>
  <c r="AJ13" i="9" s="1"/>
  <c r="AK13" i="9" s="1"/>
  <c r="AI43" i="9"/>
  <c r="AJ43" i="9" s="1"/>
  <c r="AK43" i="9" s="1"/>
  <c r="AI38" i="9"/>
  <c r="AJ38" i="9" s="1"/>
  <c r="AK38" i="9" s="1"/>
  <c r="AI21" i="9"/>
  <c r="AJ21" i="9" s="1"/>
  <c r="AK21" i="9" s="1"/>
  <c r="AI35" i="9"/>
  <c r="AJ35" i="9" s="1"/>
  <c r="AK35" i="9" s="1"/>
  <c r="AI29" i="9"/>
  <c r="AJ29" i="9" s="1"/>
  <c r="AK29" i="9" s="1"/>
  <c r="AI32" i="9"/>
  <c r="AJ32" i="9" s="1"/>
  <c r="AK32" i="9" s="1"/>
  <c r="AI23" i="9"/>
  <c r="AJ23" i="9" s="1"/>
  <c r="AK23" i="9" s="1"/>
  <c r="AI9" i="9"/>
  <c r="AJ9" i="9" s="1"/>
  <c r="AK9" i="9" s="1"/>
  <c r="AI10" i="9"/>
  <c r="AJ10" i="9" s="1"/>
  <c r="AK10" i="9" s="1"/>
  <c r="AM2" i="9"/>
  <c r="AL2" i="9"/>
  <c r="AI33" i="9"/>
  <c r="AJ33" i="9" s="1"/>
  <c r="AK33" i="9" s="1"/>
  <c r="AI5" i="9"/>
  <c r="AJ5" i="9" s="1"/>
  <c r="AK5" i="9" s="1"/>
  <c r="AI10" i="8"/>
  <c r="AJ10" i="8" s="1"/>
  <c r="AK10" i="8" s="1"/>
  <c r="AL10" i="8"/>
  <c r="AM10" i="8"/>
  <c r="AT2" i="8"/>
  <c r="AM2" i="8" s="1"/>
  <c r="AV2" i="8"/>
  <c r="AL2" i="8"/>
  <c r="AL13" i="8"/>
  <c r="AM13" i="8"/>
  <c r="AM5" i="8"/>
  <c r="AL5" i="8"/>
  <c r="AI27" i="8"/>
  <c r="AJ27" i="8" s="1"/>
  <c r="AK27" i="8" s="1"/>
  <c r="AI20" i="8"/>
  <c r="AJ20" i="8" s="1"/>
  <c r="AK20" i="8" s="1"/>
  <c r="AI30" i="8"/>
  <c r="AJ30" i="8" s="1"/>
  <c r="AI6" i="8"/>
  <c r="AJ6" i="8" s="1"/>
  <c r="AK6" i="8" s="1"/>
  <c r="AI8" i="8"/>
  <c r="AJ8" i="8" s="1"/>
  <c r="AK8" i="8" s="1"/>
  <c r="AI21" i="8"/>
  <c r="AJ21" i="8" s="1"/>
  <c r="AK21" i="8" s="1"/>
  <c r="AI7" i="8"/>
  <c r="AJ7" i="8" s="1"/>
  <c r="AK7" i="8" s="1"/>
  <c r="AI11" i="8"/>
  <c r="AJ11" i="8" s="1"/>
  <c r="AK11" i="8" s="1"/>
  <c r="AI14" i="8"/>
  <c r="AJ14" i="8" s="1"/>
  <c r="AK14" i="8" s="1"/>
  <c r="AI33" i="8"/>
  <c r="AJ33" i="8" s="1"/>
  <c r="AK33" i="8" s="1"/>
  <c r="AI43" i="8"/>
  <c r="AJ43" i="8" s="1"/>
  <c r="AK43" i="8" s="1"/>
  <c r="AI35" i="8"/>
  <c r="AJ35" i="8" s="1"/>
  <c r="AK35" i="8" s="1"/>
  <c r="AI17" i="8"/>
  <c r="AJ17" i="8" s="1"/>
  <c r="AK17" i="8" s="1"/>
  <c r="AI24" i="8"/>
  <c r="AJ24" i="8" s="1"/>
  <c r="AK24" i="8" s="1"/>
  <c r="AI22" i="8"/>
  <c r="AJ22" i="8" s="1"/>
  <c r="AK22" i="8" s="1"/>
  <c r="AI23" i="8"/>
  <c r="AJ23" i="8" s="1"/>
  <c r="AK23" i="8" s="1"/>
  <c r="AI9" i="8"/>
  <c r="AJ9" i="8" s="1"/>
  <c r="AK9" i="8" s="1"/>
  <c r="AI12" i="8"/>
  <c r="AJ12" i="8" s="1"/>
  <c r="AK12" i="8" s="1"/>
  <c r="AI18" i="8"/>
  <c r="AJ18" i="8" s="1"/>
  <c r="AK18" i="8" s="1"/>
  <c r="AI32" i="8"/>
  <c r="AJ32" i="8" s="1"/>
  <c r="AK32" i="8" s="1"/>
  <c r="AI15" i="8"/>
  <c r="AJ15" i="8" s="1"/>
  <c r="AK15" i="8" s="1"/>
  <c r="AI36" i="8"/>
  <c r="AJ36" i="8" s="1"/>
  <c r="AK36" i="8" s="1"/>
  <c r="AI38" i="8"/>
  <c r="AJ38" i="8" s="1"/>
  <c r="AK38" i="8" s="1"/>
  <c r="AI26" i="8"/>
  <c r="AJ26" i="8" s="1"/>
  <c r="AK26" i="8" s="1"/>
  <c r="AI37" i="8"/>
  <c r="AJ37" i="8" s="1"/>
  <c r="AK37" i="8" s="1"/>
  <c r="AI4" i="8"/>
  <c r="AJ4" i="8" s="1"/>
  <c r="AK4" i="8" s="1"/>
  <c r="AI39" i="8"/>
  <c r="AJ39" i="8" s="1"/>
  <c r="AK39" i="8" s="1"/>
  <c r="AI42" i="8"/>
  <c r="AJ42" i="8" s="1"/>
  <c r="AK42" i="8" s="1"/>
  <c r="AI34" i="8"/>
  <c r="AJ34" i="8" s="1"/>
  <c r="AK34" i="8" s="1"/>
  <c r="AI28" i="8"/>
  <c r="AJ28" i="8" s="1"/>
  <c r="AK28" i="8" s="1"/>
  <c r="AI31" i="8"/>
  <c r="AJ31" i="8" s="1"/>
  <c r="AK31" i="8" s="1"/>
  <c r="AI3" i="8"/>
  <c r="AJ3" i="8" s="1"/>
  <c r="AK3" i="8" s="1"/>
  <c r="AI41" i="8"/>
  <c r="AJ41" i="8" s="1"/>
  <c r="AK41" i="8" s="1"/>
  <c r="AI19" i="8"/>
  <c r="AJ19" i="8" s="1"/>
  <c r="AK19" i="8" s="1"/>
  <c r="AI16" i="8"/>
  <c r="AJ16" i="8" s="1"/>
  <c r="AK16" i="8" s="1"/>
  <c r="AI29" i="8"/>
  <c r="AJ29" i="8" s="1"/>
  <c r="AK29" i="8" s="1"/>
  <c r="AI25" i="8"/>
  <c r="AJ25" i="8" s="1"/>
  <c r="AK25" i="8" s="1"/>
  <c r="AI40" i="8"/>
  <c r="AJ40" i="8" s="1"/>
  <c r="AK40" i="8" s="1"/>
  <c r="AI2" i="7"/>
  <c r="AJ2" i="7" s="1"/>
  <c r="AK2" i="7" s="1"/>
  <c r="AI29" i="7"/>
  <c r="AJ29" i="7" s="1"/>
  <c r="AK29" i="7" s="1"/>
  <c r="AI25" i="7"/>
  <c r="AJ25" i="7" s="1"/>
  <c r="AK25" i="7" s="1"/>
  <c r="AM25" i="7" s="1"/>
  <c r="AM35" i="7"/>
  <c r="AL35" i="7"/>
  <c r="AL2" i="7"/>
  <c r="AM2" i="7"/>
  <c r="AL25" i="7"/>
  <c r="AI7" i="7"/>
  <c r="AJ7" i="7" s="1"/>
  <c r="AK7" i="7" s="1"/>
  <c r="AM29" i="7"/>
  <c r="AL29" i="7"/>
  <c r="AI32" i="7"/>
  <c r="AJ32" i="7" s="1"/>
  <c r="AK32" i="7" s="1"/>
  <c r="AI36" i="7"/>
  <c r="AJ36" i="7" s="1"/>
  <c r="AK36" i="7" s="1"/>
  <c r="AI19" i="7"/>
  <c r="AJ19" i="7" s="1"/>
  <c r="AK19" i="7" s="1"/>
  <c r="AI38" i="7"/>
  <c r="AJ38" i="7" s="1"/>
  <c r="AK38" i="7" s="1"/>
  <c r="AI15" i="7"/>
  <c r="AJ15" i="7" s="1"/>
  <c r="AK15" i="7" s="1"/>
  <c r="AI20" i="7"/>
  <c r="AJ20" i="7" s="1"/>
  <c r="AK20" i="7" s="1"/>
  <c r="AI18" i="7"/>
  <c r="AJ18" i="7" s="1"/>
  <c r="AK18" i="7" s="1"/>
  <c r="AI13" i="7"/>
  <c r="AJ13" i="7" s="1"/>
  <c r="AK13" i="7" s="1"/>
  <c r="AI42" i="7"/>
  <c r="AJ42" i="7" s="1"/>
  <c r="AK42" i="7" s="1"/>
  <c r="AI43" i="7"/>
  <c r="AJ43" i="7" s="1"/>
  <c r="AK43" i="7" s="1"/>
  <c r="AI40" i="7"/>
  <c r="AJ40" i="7" s="1"/>
  <c r="AK40" i="7" s="1"/>
  <c r="AI8" i="7"/>
  <c r="AJ8" i="7" s="1"/>
  <c r="AK8" i="7" s="1"/>
  <c r="AI10" i="7"/>
  <c r="AJ10" i="7" s="1"/>
  <c r="AK10" i="7" s="1"/>
  <c r="AI30" i="7"/>
  <c r="AJ30" i="7" s="1"/>
  <c r="AI22" i="7"/>
  <c r="AJ22" i="7" s="1"/>
  <c r="AK22" i="7" s="1"/>
  <c r="AI39" i="7"/>
  <c r="AJ39" i="7" s="1"/>
  <c r="AK39" i="7" s="1"/>
  <c r="AI24" i="7"/>
  <c r="AJ24" i="7" s="1"/>
  <c r="AK24" i="7" s="1"/>
  <c r="AI9" i="7"/>
  <c r="AJ9" i="7" s="1"/>
  <c r="AK9" i="7" s="1"/>
  <c r="AI14" i="7"/>
  <c r="AJ14" i="7" s="1"/>
  <c r="AK14" i="7" s="1"/>
  <c r="AI37" i="7"/>
  <c r="AJ37" i="7" s="1"/>
  <c r="AK37" i="7" s="1"/>
  <c r="AI26" i="7"/>
  <c r="AJ26" i="7" s="1"/>
  <c r="AK26" i="7" s="1"/>
  <c r="AI17" i="7"/>
  <c r="AJ17" i="7" s="1"/>
  <c r="AK17" i="7" s="1"/>
  <c r="AI23" i="7"/>
  <c r="AJ23" i="7" s="1"/>
  <c r="AK23" i="7" s="1"/>
  <c r="AI21" i="7"/>
  <c r="AJ21" i="7" s="1"/>
  <c r="AK21" i="7" s="1"/>
  <c r="AI3" i="7"/>
  <c r="AJ3" i="7" s="1"/>
  <c r="AK3" i="7" s="1"/>
  <c r="AI11" i="7"/>
  <c r="AJ11" i="7" s="1"/>
  <c r="AK11" i="7" s="1"/>
  <c r="AI5" i="7"/>
  <c r="AJ5" i="7" s="1"/>
  <c r="AK5" i="7" s="1"/>
  <c r="AI6" i="7"/>
  <c r="AJ6" i="7" s="1"/>
  <c r="AK6" i="7" s="1"/>
  <c r="AI16" i="7"/>
  <c r="AJ16" i="7" s="1"/>
  <c r="AK16" i="7" s="1"/>
  <c r="AI28" i="7"/>
  <c r="AJ28" i="7" s="1"/>
  <c r="AK28" i="7" s="1"/>
  <c r="AI34" i="7"/>
  <c r="AJ34" i="7" s="1"/>
  <c r="AK34" i="7" s="1"/>
  <c r="AI41" i="7"/>
  <c r="AJ41" i="7" s="1"/>
  <c r="AK41" i="7" s="1"/>
  <c r="AI31" i="7"/>
  <c r="AJ31" i="7" s="1"/>
  <c r="AK31" i="7" s="1"/>
  <c r="AV6" i="7"/>
  <c r="AT6" i="7"/>
  <c r="AI4" i="7"/>
  <c r="AJ4" i="7" s="1"/>
  <c r="AK4" i="7" s="1"/>
  <c r="AI27" i="7"/>
  <c r="AJ27" i="7" s="1"/>
  <c r="AK27" i="7" s="1"/>
  <c r="AI12" i="7"/>
  <c r="AJ12" i="7" s="1"/>
  <c r="AK12" i="7" s="1"/>
  <c r="AI33" i="7"/>
  <c r="AJ33" i="7" s="1"/>
  <c r="AK33" i="7" s="1"/>
  <c r="AT6" i="5"/>
  <c r="AV6" i="5"/>
  <c r="AT9" i="5"/>
  <c r="AV9" i="5"/>
  <c r="AI20" i="5"/>
  <c r="AJ20" i="5" s="1"/>
  <c r="AK20" i="5" s="1"/>
  <c r="AI5" i="5"/>
  <c r="AJ5" i="5" s="1"/>
  <c r="AK5" i="5" s="1"/>
  <c r="AI21" i="5"/>
  <c r="AJ21" i="5" s="1"/>
  <c r="AK21" i="5" s="1"/>
  <c r="AI10" i="5"/>
  <c r="AJ10" i="5" s="1"/>
  <c r="AK10" i="5" s="1"/>
  <c r="AI19" i="5"/>
  <c r="AJ19" i="5" s="1"/>
  <c r="AK19" i="5" s="1"/>
  <c r="AI22" i="5"/>
  <c r="AJ22" i="5" s="1"/>
  <c r="AK22" i="5" s="1"/>
  <c r="AI6" i="5"/>
  <c r="AJ6" i="5" s="1"/>
  <c r="AK6" i="5" s="1"/>
  <c r="AI18" i="5"/>
  <c r="AJ18" i="5" s="1"/>
  <c r="AK18" i="5" s="1"/>
  <c r="AI15" i="5"/>
  <c r="AJ15" i="5" s="1"/>
  <c r="AK15" i="5" s="1"/>
  <c r="AI2" i="5"/>
  <c r="AJ2" i="5" s="1"/>
  <c r="AK2" i="5" s="1"/>
  <c r="AI23" i="5"/>
  <c r="AJ23" i="5" s="1"/>
  <c r="AK23" i="5" s="1"/>
  <c r="AI12" i="5"/>
  <c r="AJ12" i="5" s="1"/>
  <c r="AK12" i="5" s="1"/>
  <c r="AI9" i="5"/>
  <c r="AJ9" i="5" s="1"/>
  <c r="AK9" i="5" s="1"/>
  <c r="AI8" i="5"/>
  <c r="AJ8" i="5" s="1"/>
  <c r="AK8" i="5" s="1"/>
  <c r="AI17" i="5"/>
  <c r="AJ17" i="5" s="1"/>
  <c r="AK17" i="5" s="1"/>
  <c r="AI7" i="5"/>
  <c r="AJ7" i="5" s="1"/>
  <c r="AK7" i="5" s="1"/>
  <c r="AI16" i="5"/>
  <c r="AJ16" i="5" s="1"/>
  <c r="AK16" i="5" s="1"/>
  <c r="AI13" i="5"/>
  <c r="AJ13" i="5" s="1"/>
  <c r="AK13" i="5" s="1"/>
  <c r="AI3" i="5"/>
  <c r="AJ3" i="5" s="1"/>
  <c r="AK3" i="5" s="1"/>
  <c r="AI11" i="5"/>
  <c r="AJ11" i="5" s="1"/>
  <c r="AK11" i="5" s="1"/>
  <c r="AI4" i="5"/>
  <c r="AJ4" i="5" s="1"/>
  <c r="AK4" i="5" s="1"/>
  <c r="AI14" i="5"/>
  <c r="AJ14" i="5" s="1"/>
  <c r="AK14" i="5" s="1"/>
  <c r="AS10" i="2"/>
  <c r="AT38" i="2"/>
  <c r="AV13" i="2"/>
  <c r="AT13" i="2"/>
  <c r="AL30" i="2"/>
  <c r="AT30" i="2"/>
  <c r="AM30" i="2" s="1"/>
  <c r="AT41" i="2"/>
  <c r="AT33" i="2"/>
  <c r="AV11" i="2"/>
  <c r="AT11" i="2"/>
  <c r="AV16" i="2"/>
  <c r="AT16" i="2"/>
  <c r="AV17" i="2"/>
  <c r="AT17" i="2"/>
  <c r="AT23" i="2"/>
  <c r="AV7" i="2"/>
  <c r="AT7" i="2"/>
  <c r="AT37" i="2"/>
  <c r="AV15" i="2"/>
  <c r="AT15" i="2"/>
  <c r="AV6" i="2"/>
  <c r="AT6" i="2"/>
  <c r="AT43" i="2"/>
  <c r="AV3" i="2"/>
  <c r="AT3" i="2"/>
  <c r="AV10" i="2"/>
  <c r="AT10" i="2"/>
  <c r="AV14" i="2"/>
  <c r="AT14" i="2"/>
  <c r="AT20" i="2"/>
  <c r="AU26" i="2"/>
  <c r="AS26" i="2"/>
  <c r="AU35" i="2"/>
  <c r="AS35" i="2"/>
  <c r="AU24" i="2"/>
  <c r="AS24" i="2"/>
  <c r="AU28" i="2"/>
  <c r="AS28" i="2"/>
  <c r="AU31" i="2"/>
  <c r="AS31" i="2"/>
  <c r="AU21" i="2"/>
  <c r="AS21" i="2"/>
  <c r="AU29" i="2"/>
  <c r="AS29" i="2"/>
  <c r="AU25" i="2"/>
  <c r="AS25" i="2"/>
  <c r="AS2" i="2"/>
  <c r="AT2" i="2" s="1"/>
  <c r="AU27" i="2"/>
  <c r="AS27" i="2"/>
  <c r="AU22" i="2"/>
  <c r="AS22" i="2"/>
  <c r="AU39" i="2"/>
  <c r="AS39" i="2"/>
  <c r="AU36" i="2"/>
  <c r="AS36" i="2"/>
  <c r="AU8" i="2"/>
  <c r="AS8" i="2"/>
  <c r="AT8" i="2" s="1"/>
  <c r="AU4" i="2"/>
  <c r="AS4" i="2"/>
  <c r="AT4" i="2" s="1"/>
  <c r="AU9" i="2"/>
  <c r="AS9" i="2"/>
  <c r="AT9" i="2" s="1"/>
  <c r="AU12" i="2"/>
  <c r="AS12" i="2"/>
  <c r="AT12" i="2" s="1"/>
  <c r="AU5" i="2"/>
  <c r="AS5" i="2"/>
  <c r="AT5" i="2" s="1"/>
  <c r="AU33" i="2"/>
  <c r="AU7" i="2"/>
  <c r="AU3" i="2"/>
  <c r="AU11" i="2"/>
  <c r="AU37" i="2"/>
  <c r="AU2" i="2"/>
  <c r="AU38" i="2"/>
  <c r="AL4" i="12" l="1"/>
  <c r="AM4" i="12"/>
  <c r="AM3" i="12"/>
  <c r="AL3" i="12"/>
  <c r="AM36" i="12"/>
  <c r="AL36" i="12"/>
  <c r="AM25" i="12"/>
  <c r="AL25" i="12"/>
  <c r="AM35" i="12"/>
  <c r="AL35" i="12"/>
  <c r="AM17" i="12"/>
  <c r="AL17" i="12"/>
  <c r="AM6" i="12"/>
  <c r="AL6" i="12"/>
  <c r="AM33" i="12"/>
  <c r="AL33" i="12"/>
  <c r="AL7" i="12"/>
  <c r="AM7" i="12"/>
  <c r="AL37" i="12"/>
  <c r="AM37" i="12"/>
  <c r="AL31" i="12"/>
  <c r="AM31" i="12"/>
  <c r="AM41" i="12"/>
  <c r="AL41" i="12"/>
  <c r="AM14" i="12"/>
  <c r="AL14" i="12"/>
  <c r="AM39" i="12"/>
  <c r="AL39" i="12"/>
  <c r="AL21" i="12"/>
  <c r="AM21" i="12"/>
  <c r="AM24" i="12"/>
  <c r="AL24" i="12"/>
  <c r="AL13" i="12"/>
  <c r="AM13" i="12"/>
  <c r="AM28" i="12"/>
  <c r="AL28" i="12"/>
  <c r="AM22" i="12"/>
  <c r="AL22" i="12"/>
  <c r="AM43" i="12"/>
  <c r="AL43" i="12"/>
  <c r="AM11" i="12"/>
  <c r="AL11" i="12"/>
  <c r="AL20" i="12"/>
  <c r="AM20" i="12"/>
  <c r="AL27" i="12"/>
  <c r="AM27" i="12"/>
  <c r="AM15" i="12"/>
  <c r="AL15" i="12"/>
  <c r="AL8" i="12"/>
  <c r="AM8" i="12"/>
  <c r="AM2" i="12"/>
  <c r="AL2" i="12"/>
  <c r="AM40" i="12"/>
  <c r="AL40" i="12"/>
  <c r="AM38" i="12"/>
  <c r="AL38" i="12"/>
  <c r="AL10" i="12"/>
  <c r="AM10" i="12"/>
  <c r="AM16" i="12"/>
  <c r="AL16" i="12"/>
  <c r="AL9" i="12"/>
  <c r="AM9" i="12"/>
  <c r="AL5" i="12"/>
  <c r="AM5" i="12"/>
  <c r="AM34" i="12"/>
  <c r="AL34" i="12"/>
  <c r="AL29" i="12"/>
  <c r="AM29" i="12"/>
  <c r="AL23" i="12"/>
  <c r="AM23" i="12"/>
  <c r="AM10" i="11"/>
  <c r="AL10" i="11"/>
  <c r="AM16" i="11"/>
  <c r="AL16" i="11"/>
  <c r="AL27" i="11"/>
  <c r="AM27" i="11"/>
  <c r="AM14" i="11"/>
  <c r="AL14" i="11"/>
  <c r="AM29" i="11"/>
  <c r="AL29" i="11"/>
  <c r="AM40" i="11"/>
  <c r="AL40" i="11"/>
  <c r="AM36" i="11"/>
  <c r="AL36" i="11"/>
  <c r="AM11" i="11"/>
  <c r="AL11" i="11"/>
  <c r="AM39" i="11"/>
  <c r="AL39" i="11"/>
  <c r="AM25" i="11"/>
  <c r="AL25" i="11"/>
  <c r="AM3" i="11"/>
  <c r="AL3" i="11"/>
  <c r="AM34" i="11"/>
  <c r="AL34" i="11"/>
  <c r="AM31" i="11"/>
  <c r="AL31" i="11"/>
  <c r="AL4" i="11"/>
  <c r="AM4" i="11"/>
  <c r="AL21" i="11"/>
  <c r="AM21" i="11"/>
  <c r="AM26" i="11"/>
  <c r="AL26" i="11"/>
  <c r="AL8" i="11"/>
  <c r="AM8" i="11"/>
  <c r="AM28" i="11"/>
  <c r="AL28" i="11"/>
  <c r="AL5" i="11"/>
  <c r="AM5" i="11"/>
  <c r="AM17" i="11"/>
  <c r="AL17" i="11"/>
  <c r="AL7" i="11"/>
  <c r="AM7" i="11"/>
  <c r="AM43" i="11"/>
  <c r="AL43" i="11"/>
  <c r="AL20" i="11"/>
  <c r="AM20" i="11"/>
  <c r="AM24" i="11"/>
  <c r="AL24" i="11"/>
  <c r="AM22" i="11"/>
  <c r="AL22" i="11"/>
  <c r="AL37" i="11"/>
  <c r="AM37" i="11"/>
  <c r="AM33" i="11"/>
  <c r="AL33" i="11"/>
  <c r="AL9" i="11"/>
  <c r="AM9" i="11"/>
  <c r="AM15" i="11"/>
  <c r="AL15" i="11"/>
  <c r="AM41" i="11"/>
  <c r="AL41" i="11"/>
  <c r="AM6" i="11"/>
  <c r="AL6" i="11"/>
  <c r="AM38" i="11"/>
  <c r="AL38" i="11"/>
  <c r="AL23" i="11"/>
  <c r="AM23" i="11"/>
  <c r="AM35" i="11"/>
  <c r="AL35" i="11"/>
  <c r="AL5" i="10"/>
  <c r="AM5" i="10"/>
  <c r="AM38" i="10"/>
  <c r="AL38" i="10"/>
  <c r="AL23" i="10"/>
  <c r="AM23" i="10"/>
  <c r="AL4" i="10"/>
  <c r="AM4" i="10"/>
  <c r="AL37" i="10"/>
  <c r="AM37" i="10"/>
  <c r="AM28" i="10"/>
  <c r="AL28" i="10"/>
  <c r="AL39" i="10"/>
  <c r="AM39" i="10"/>
  <c r="AL34" i="10"/>
  <c r="AM34" i="10"/>
  <c r="AM31" i="10"/>
  <c r="AL31" i="10"/>
  <c r="AM41" i="10"/>
  <c r="AL41" i="10"/>
  <c r="AL8" i="10"/>
  <c r="AM8" i="10"/>
  <c r="AM35" i="10"/>
  <c r="AL35" i="10"/>
  <c r="AL7" i="10"/>
  <c r="AM7" i="10"/>
  <c r="AM11" i="10"/>
  <c r="AL11" i="10"/>
  <c r="AM6" i="10"/>
  <c r="AL6" i="10"/>
  <c r="AM12" i="10"/>
  <c r="AL12" i="10"/>
  <c r="AM26" i="10"/>
  <c r="AL26" i="10"/>
  <c r="AM2" i="10"/>
  <c r="AL2" i="10"/>
  <c r="AM25" i="10"/>
  <c r="AL25" i="10"/>
  <c r="AL20" i="10"/>
  <c r="AM20" i="10"/>
  <c r="AM43" i="10"/>
  <c r="AL43" i="10"/>
  <c r="AL21" i="10"/>
  <c r="AM21" i="10"/>
  <c r="AM40" i="10"/>
  <c r="AL40" i="10"/>
  <c r="AM22" i="10"/>
  <c r="AL22" i="10"/>
  <c r="AL3" i="10"/>
  <c r="AM3" i="10"/>
  <c r="AM29" i="10"/>
  <c r="AL29" i="10"/>
  <c r="AL10" i="10"/>
  <c r="AM10" i="10"/>
  <c r="AM13" i="10"/>
  <c r="AL13" i="10"/>
  <c r="AL24" i="10"/>
  <c r="AM24" i="10"/>
  <c r="AM17" i="10"/>
  <c r="AL17" i="10"/>
  <c r="AL27" i="10"/>
  <c r="AM27" i="10"/>
  <c r="AL33" i="10"/>
  <c r="AM33" i="10"/>
  <c r="AM15" i="10"/>
  <c r="AL15" i="10"/>
  <c r="AL9" i="10"/>
  <c r="AM9" i="10"/>
  <c r="AM16" i="10"/>
  <c r="AL16" i="10"/>
  <c r="AM36" i="10"/>
  <c r="AL36" i="10"/>
  <c r="AM35" i="9"/>
  <c r="AL35" i="9"/>
  <c r="AM13" i="9"/>
  <c r="AL13" i="9"/>
  <c r="AL11" i="9"/>
  <c r="AM11" i="9"/>
  <c r="AM17" i="9"/>
  <c r="AL17" i="9"/>
  <c r="AM33" i="9"/>
  <c r="AL33" i="9"/>
  <c r="AL12" i="9"/>
  <c r="AM12" i="9"/>
  <c r="AM40" i="9"/>
  <c r="AL40" i="9"/>
  <c r="AM23" i="9"/>
  <c r="AL23" i="9"/>
  <c r="AM39" i="9"/>
  <c r="AL39" i="9"/>
  <c r="AM22" i="9"/>
  <c r="AL22" i="9"/>
  <c r="AM26" i="9"/>
  <c r="AL26" i="9"/>
  <c r="AL27" i="9"/>
  <c r="AM27" i="9"/>
  <c r="AM38" i="9"/>
  <c r="AL38" i="9"/>
  <c r="AM24" i="9"/>
  <c r="AL24" i="9"/>
  <c r="AM41" i="9"/>
  <c r="AL41" i="9"/>
  <c r="AM31" i="9"/>
  <c r="AL31" i="9"/>
  <c r="AM16" i="9"/>
  <c r="AL16" i="9"/>
  <c r="AM9" i="9"/>
  <c r="AL9" i="9"/>
  <c r="AM20" i="9"/>
  <c r="AL20" i="9"/>
  <c r="AL3" i="9"/>
  <c r="AM3" i="9"/>
  <c r="AL21" i="9"/>
  <c r="AM21" i="9"/>
  <c r="AM4" i="9"/>
  <c r="AL4" i="9"/>
  <c r="AM36" i="9"/>
  <c r="AL36" i="9"/>
  <c r="AM5" i="9"/>
  <c r="AL5" i="9"/>
  <c r="AL10" i="9"/>
  <c r="AM10" i="9"/>
  <c r="AM29" i="9"/>
  <c r="AL29" i="9"/>
  <c r="AM43" i="9"/>
  <c r="AL43" i="9"/>
  <c r="AM14" i="9"/>
  <c r="AL14" i="9"/>
  <c r="AM25" i="9"/>
  <c r="AL25" i="9"/>
  <c r="AM6" i="9"/>
  <c r="AL6" i="9"/>
  <c r="AM15" i="9"/>
  <c r="AL15" i="9"/>
  <c r="AM34" i="9"/>
  <c r="AL34" i="9"/>
  <c r="AM7" i="9"/>
  <c r="AL7" i="9"/>
  <c r="AL37" i="9"/>
  <c r="AM37" i="9"/>
  <c r="AM28" i="8"/>
  <c r="AL28" i="8"/>
  <c r="AM36" i="8"/>
  <c r="AL36" i="8"/>
  <c r="AM12" i="8"/>
  <c r="AL12" i="8"/>
  <c r="AM24" i="8"/>
  <c r="AL24" i="8"/>
  <c r="AM33" i="8"/>
  <c r="AL33" i="8"/>
  <c r="AL21" i="8"/>
  <c r="AM21" i="8"/>
  <c r="AL20" i="8"/>
  <c r="AM20" i="8"/>
  <c r="AM25" i="8"/>
  <c r="AL25" i="8"/>
  <c r="AM41" i="8"/>
  <c r="AL41" i="8"/>
  <c r="AM34" i="8"/>
  <c r="AL34" i="8"/>
  <c r="AL37" i="8"/>
  <c r="AM37" i="8"/>
  <c r="AM15" i="8"/>
  <c r="AL15" i="8"/>
  <c r="AM9" i="8"/>
  <c r="AL9" i="8"/>
  <c r="AM17" i="8"/>
  <c r="AL17" i="8"/>
  <c r="AM14" i="8"/>
  <c r="AL14" i="8"/>
  <c r="AM8" i="8"/>
  <c r="AL8" i="8"/>
  <c r="AL27" i="8"/>
  <c r="AM27" i="8"/>
  <c r="AL3" i="8"/>
  <c r="AM3" i="8"/>
  <c r="AM44" i="8" s="1"/>
  <c r="AM26" i="8"/>
  <c r="AL26" i="8"/>
  <c r="AL23" i="8"/>
  <c r="AM23" i="8"/>
  <c r="AM35" i="8"/>
  <c r="AL35" i="8"/>
  <c r="AM11" i="8"/>
  <c r="AL11" i="8"/>
  <c r="AL6" i="8"/>
  <c r="AM6" i="8"/>
  <c r="AM40" i="8"/>
  <c r="AL40" i="8"/>
  <c r="AM4" i="8"/>
  <c r="AL4" i="8"/>
  <c r="AM29" i="8"/>
  <c r="AL29" i="8"/>
  <c r="AM16" i="8"/>
  <c r="AL16" i="8"/>
  <c r="AM31" i="8"/>
  <c r="AL31" i="8"/>
  <c r="AM39" i="8"/>
  <c r="AL39" i="8"/>
  <c r="AM38" i="8"/>
  <c r="AL38" i="8"/>
  <c r="AM22" i="8"/>
  <c r="AL22" i="8"/>
  <c r="AM43" i="8"/>
  <c r="AL43" i="8"/>
  <c r="AM7" i="8"/>
  <c r="AL7" i="8"/>
  <c r="AM34" i="7"/>
  <c r="AL34" i="7"/>
  <c r="AL5" i="7"/>
  <c r="AM5" i="7"/>
  <c r="AL14" i="7"/>
  <c r="AM14" i="7"/>
  <c r="AL11" i="7"/>
  <c r="AM11" i="7"/>
  <c r="AM9" i="7"/>
  <c r="AL9" i="7"/>
  <c r="AL43" i="7"/>
  <c r="AM43" i="7"/>
  <c r="AL36" i="7"/>
  <c r="AM36" i="7"/>
  <c r="AM27" i="7"/>
  <c r="AL27" i="7"/>
  <c r="AM31" i="7"/>
  <c r="AL31" i="7"/>
  <c r="AL16" i="7"/>
  <c r="AM16" i="7"/>
  <c r="AM3" i="7"/>
  <c r="AL3" i="7"/>
  <c r="AL26" i="7"/>
  <c r="AM26" i="7"/>
  <c r="AL24" i="7"/>
  <c r="AM24" i="7"/>
  <c r="AM10" i="7"/>
  <c r="AL10" i="7"/>
  <c r="AL15" i="7"/>
  <c r="AM15" i="7"/>
  <c r="AL33" i="7"/>
  <c r="AM33" i="7"/>
  <c r="AM23" i="7"/>
  <c r="AL23" i="7"/>
  <c r="AL22" i="7"/>
  <c r="AM22" i="7"/>
  <c r="AM40" i="7"/>
  <c r="AL40" i="7"/>
  <c r="AM12" i="7"/>
  <c r="AL12" i="7"/>
  <c r="AL28" i="7"/>
  <c r="AM28" i="7"/>
  <c r="AL17" i="7"/>
  <c r="AM17" i="7"/>
  <c r="AL20" i="7"/>
  <c r="AM20" i="7"/>
  <c r="AM7" i="7"/>
  <c r="AL7" i="7"/>
  <c r="AM4" i="7"/>
  <c r="AL4" i="7"/>
  <c r="AM41" i="7"/>
  <c r="AL41" i="7"/>
  <c r="AM6" i="7"/>
  <c r="AL6" i="7"/>
  <c r="AM21" i="7"/>
  <c r="AL21" i="7"/>
  <c r="AM37" i="7"/>
  <c r="AL37" i="7"/>
  <c r="AM39" i="7"/>
  <c r="AL39" i="7"/>
  <c r="AL8" i="7"/>
  <c r="AM8" i="7"/>
  <c r="AM13" i="7"/>
  <c r="AL13" i="7"/>
  <c r="AL38" i="7"/>
  <c r="AM38" i="7"/>
  <c r="AL8" i="5"/>
  <c r="AM8" i="5"/>
  <c r="AM6" i="5"/>
  <c r="AL6" i="5"/>
  <c r="AL9" i="5"/>
  <c r="AM9" i="5"/>
  <c r="AM12" i="5"/>
  <c r="AL12" i="5"/>
  <c r="AM15" i="5"/>
  <c r="AL15" i="5"/>
  <c r="AM10" i="5"/>
  <c r="AL10" i="5"/>
  <c r="AL5" i="5"/>
  <c r="AM5" i="5"/>
  <c r="AM3" i="5"/>
  <c r="AL3" i="5"/>
  <c r="AL7" i="5"/>
  <c r="AM7" i="5"/>
  <c r="AL23" i="5"/>
  <c r="AM23" i="5"/>
  <c r="AM11" i="5"/>
  <c r="AL11" i="5"/>
  <c r="AM14" i="5"/>
  <c r="AL14" i="5"/>
  <c r="AL4" i="5"/>
  <c r="AM4" i="5"/>
  <c r="AM13" i="5"/>
  <c r="AL13" i="5"/>
  <c r="AM16" i="5"/>
  <c r="AL16" i="5"/>
  <c r="AM17" i="5"/>
  <c r="AL17" i="5"/>
  <c r="AM2" i="5"/>
  <c r="AL2" i="5"/>
  <c r="AM22" i="5"/>
  <c r="AL22" i="5"/>
  <c r="AL21" i="5"/>
  <c r="AM21" i="5"/>
  <c r="AL20" i="5"/>
  <c r="AM20" i="5"/>
  <c r="AT25" i="2"/>
  <c r="AT26" i="2"/>
  <c r="AT39" i="2"/>
  <c r="AT27" i="2"/>
  <c r="AT21" i="2"/>
  <c r="AT28" i="2"/>
  <c r="AT35" i="2"/>
  <c r="AT36" i="2"/>
  <c r="AT22" i="2"/>
  <c r="AT31" i="2"/>
  <c r="AT24" i="2"/>
  <c r="AT29" i="2"/>
  <c r="AV8" i="2"/>
  <c r="AV5" i="2"/>
  <c r="AV9" i="2"/>
  <c r="AV2" i="2"/>
  <c r="AV12" i="2"/>
  <c r="AV4" i="2"/>
  <c r="AM44" i="12" l="1"/>
  <c r="AM44" i="11"/>
  <c r="AM44" i="10"/>
  <c r="AM44" i="9"/>
  <c r="AM44" i="7"/>
  <c r="AG41" i="2"/>
  <c r="AG40" i="2"/>
  <c r="AE15" i="2" l="1"/>
  <c r="AH15" i="2" s="1"/>
  <c r="AE16" i="2"/>
  <c r="AH16" i="2" s="1"/>
  <c r="AE17" i="2"/>
  <c r="AH17" i="2" s="1"/>
  <c r="AE18" i="2"/>
  <c r="AH18" i="2" s="1"/>
  <c r="AE19" i="2"/>
  <c r="AH19" i="2" s="1"/>
  <c r="AE20" i="2"/>
  <c r="AH20" i="2" s="1"/>
  <c r="AE21" i="2"/>
  <c r="AH21" i="2" s="1"/>
  <c r="AE22" i="2"/>
  <c r="AH22" i="2" s="1"/>
  <c r="AE23" i="2"/>
  <c r="AH23" i="2" s="1"/>
  <c r="AE32" i="2"/>
  <c r="AH32" i="2" s="1"/>
  <c r="AE34" i="2"/>
  <c r="AH34" i="2" s="1"/>
  <c r="AE36" i="2"/>
  <c r="AH36" i="2" s="1"/>
  <c r="AE37" i="2"/>
  <c r="AH37" i="2" s="1"/>
  <c r="AE38" i="2"/>
  <c r="AH38" i="2" s="1"/>
  <c r="AE39" i="2"/>
  <c r="AH39" i="2" s="1"/>
  <c r="AE40" i="2"/>
  <c r="AH40" i="2" s="1"/>
  <c r="AE41" i="2"/>
  <c r="AH41" i="2" s="1"/>
  <c r="AE42" i="2"/>
  <c r="AH42" i="2" s="1"/>
  <c r="AE43" i="2"/>
  <c r="AH43" i="2" s="1"/>
  <c r="AB4" i="2"/>
  <c r="L35" i="2" l="1"/>
  <c r="K35" i="2"/>
  <c r="J35" i="2"/>
  <c r="N33" i="2"/>
  <c r="M33" i="2"/>
  <c r="L33" i="2"/>
  <c r="K33" i="2"/>
  <c r="J33" i="2"/>
  <c r="N31" i="2"/>
  <c r="L31" i="2"/>
  <c r="J31" i="2"/>
  <c r="N30" i="2"/>
  <c r="AA29" i="2"/>
  <c r="N29" i="2"/>
  <c r="N28" i="2"/>
  <c r="L28" i="2"/>
  <c r="N27" i="2"/>
  <c r="L27" i="2"/>
  <c r="N26" i="2"/>
  <c r="L26" i="2"/>
  <c r="J26" i="2"/>
  <c r="N25" i="2"/>
  <c r="L25" i="2"/>
  <c r="J25" i="2"/>
  <c r="N24" i="2"/>
  <c r="L24" i="2"/>
  <c r="K24" i="2"/>
  <c r="N14" i="2"/>
  <c r="L14" i="2"/>
  <c r="K14" i="2"/>
  <c r="J14" i="2"/>
  <c r="N13" i="2"/>
  <c r="L13" i="2"/>
  <c r="K13" i="2"/>
  <c r="N12" i="2"/>
  <c r="L12" i="2"/>
  <c r="N11" i="2"/>
  <c r="L11" i="2"/>
  <c r="K11" i="2"/>
  <c r="J11" i="2"/>
  <c r="N10" i="2"/>
  <c r="L10" i="2"/>
  <c r="K10" i="2"/>
  <c r="N9" i="2"/>
  <c r="L9" i="2"/>
  <c r="N8" i="2"/>
  <c r="L8" i="2"/>
  <c r="N7" i="2"/>
  <c r="L7" i="2"/>
  <c r="K7" i="2"/>
  <c r="J7" i="2"/>
  <c r="N6" i="2"/>
  <c r="L6" i="2"/>
  <c r="K6" i="2"/>
  <c r="J6" i="2"/>
  <c r="N5" i="2"/>
  <c r="L5" i="2"/>
  <c r="N4" i="2"/>
  <c r="L4" i="2"/>
  <c r="K4" i="2"/>
  <c r="J4" i="2"/>
  <c r="N3" i="2"/>
  <c r="L3" i="2"/>
  <c r="K3" i="2"/>
  <c r="J3" i="2"/>
  <c r="N2" i="2"/>
  <c r="L2" i="2"/>
  <c r="K2" i="2"/>
  <c r="J2" i="2"/>
  <c r="AE12" i="2" l="1"/>
  <c r="AH12" i="2" s="1"/>
  <c r="E12" i="2"/>
  <c r="AE30" i="2"/>
  <c r="AH30" i="2" s="1"/>
  <c r="E30" i="2"/>
  <c r="E6" i="2"/>
  <c r="AE8" i="2"/>
  <c r="AH8" i="2" s="1"/>
  <c r="E8" i="2"/>
  <c r="AE24" i="2"/>
  <c r="AH24" i="2" s="1"/>
  <c r="E24" i="2"/>
  <c r="AE31" i="2"/>
  <c r="AH31" i="2" s="1"/>
  <c r="E31" i="2"/>
  <c r="E13" i="2"/>
  <c r="AE27" i="2"/>
  <c r="AH27" i="2" s="1"/>
  <c r="E27" i="2"/>
  <c r="AE29" i="2"/>
  <c r="AH29" i="2" s="1"/>
  <c r="E29" i="2"/>
  <c r="AE11" i="2"/>
  <c r="AH11" i="2" s="1"/>
  <c r="E11" i="2"/>
  <c r="AE25" i="2"/>
  <c r="AH25" i="2" s="1"/>
  <c r="E25" i="2"/>
  <c r="AE28" i="2"/>
  <c r="AH28" i="2" s="1"/>
  <c r="E28" i="2"/>
  <c r="AE33" i="2"/>
  <c r="AH33" i="2" s="1"/>
  <c r="E33" i="2"/>
  <c r="E7" i="2"/>
  <c r="AE10" i="2"/>
  <c r="AH10" i="2" s="1"/>
  <c r="E10" i="2"/>
  <c r="E14" i="2"/>
  <c r="AE35" i="2"/>
  <c r="AH35" i="2" s="1"/>
  <c r="E35" i="2"/>
  <c r="E2" i="2"/>
  <c r="E3" i="2"/>
  <c r="E4" i="2"/>
  <c r="E5" i="2"/>
  <c r="E9" i="2"/>
  <c r="E26" i="2"/>
  <c r="AE6" i="2"/>
  <c r="AH6" i="2" s="1"/>
  <c r="AE7" i="2"/>
  <c r="AH7" i="2" s="1"/>
  <c r="AE14" i="2"/>
  <c r="AH14" i="2" s="1"/>
  <c r="AE13" i="2"/>
  <c r="AH13" i="2" s="1"/>
  <c r="AE2" i="2"/>
  <c r="AE3" i="2"/>
  <c r="AH3" i="2" s="1"/>
  <c r="AE4" i="2"/>
  <c r="AH4" i="2" s="1"/>
  <c r="AE5" i="2"/>
  <c r="AH5" i="2" s="1"/>
  <c r="AE9" i="2"/>
  <c r="AH9" i="2" s="1"/>
  <c r="AE26" i="2"/>
  <c r="AH26" i="2" s="1"/>
  <c r="AH2" i="2" l="1"/>
  <c r="AE44" i="2"/>
  <c r="AH44" i="2" l="1"/>
  <c r="AI42" i="2" l="1"/>
  <c r="AJ42" i="2" s="1"/>
  <c r="AK42" i="2" s="1"/>
  <c r="AI18" i="2"/>
  <c r="AJ18" i="2" s="1"/>
  <c r="AK18" i="2" s="1"/>
  <c r="AI17" i="2"/>
  <c r="AJ17" i="2" s="1"/>
  <c r="AK17" i="2" s="1"/>
  <c r="AI20" i="2"/>
  <c r="AJ20" i="2" s="1"/>
  <c r="AK20" i="2" s="1"/>
  <c r="AI23" i="2"/>
  <c r="AJ23" i="2" s="1"/>
  <c r="AK23" i="2" s="1"/>
  <c r="AI38" i="2"/>
  <c r="AJ38" i="2" s="1"/>
  <c r="AK38" i="2" s="1"/>
  <c r="AI41" i="2"/>
  <c r="AJ41" i="2" s="1"/>
  <c r="AK41" i="2" s="1"/>
  <c r="AI40" i="2"/>
  <c r="AJ40" i="2" s="1"/>
  <c r="AK40" i="2" s="1"/>
  <c r="AI16" i="2"/>
  <c r="AJ16" i="2" s="1"/>
  <c r="AK16" i="2" s="1"/>
  <c r="AI19" i="2"/>
  <c r="AJ19" i="2" s="1"/>
  <c r="AK19" i="2" s="1"/>
  <c r="AI34" i="2"/>
  <c r="AJ34" i="2" s="1"/>
  <c r="AK34" i="2" s="1"/>
  <c r="AI37" i="2"/>
  <c r="AJ37" i="2" s="1"/>
  <c r="AK37" i="2" s="1"/>
  <c r="AI36" i="2"/>
  <c r="AJ36" i="2" s="1"/>
  <c r="AK36" i="2" s="1"/>
  <c r="AI43" i="2"/>
  <c r="AJ43" i="2" s="1"/>
  <c r="AK43" i="2" s="1"/>
  <c r="AI15" i="2"/>
  <c r="AJ15" i="2" s="1"/>
  <c r="AK15" i="2" s="1"/>
  <c r="AI22" i="2"/>
  <c r="AJ22" i="2" s="1"/>
  <c r="AK22" i="2" s="1"/>
  <c r="AI21" i="2"/>
  <c r="AJ21" i="2" s="1"/>
  <c r="AK21" i="2" s="1"/>
  <c r="AI32" i="2"/>
  <c r="AJ32" i="2" s="1"/>
  <c r="AK32" i="2" s="1"/>
  <c r="AI39" i="2"/>
  <c r="AJ39" i="2" s="1"/>
  <c r="AK39" i="2" s="1"/>
  <c r="AI11" i="2"/>
  <c r="AJ11" i="2" s="1"/>
  <c r="AK11" i="2" s="1"/>
  <c r="AI30" i="2"/>
  <c r="AJ30" i="2" s="1"/>
  <c r="AI8" i="2"/>
  <c r="AJ8" i="2" s="1"/>
  <c r="AK8" i="2" s="1"/>
  <c r="AI31" i="2"/>
  <c r="AJ31" i="2" s="1"/>
  <c r="AK31" i="2" s="1"/>
  <c r="AI29" i="2"/>
  <c r="AJ29" i="2" s="1"/>
  <c r="AK29" i="2" s="1"/>
  <c r="AI12" i="2"/>
  <c r="AJ12" i="2" s="1"/>
  <c r="AK12" i="2" s="1"/>
  <c r="AI33" i="2"/>
  <c r="AJ33" i="2" s="1"/>
  <c r="AK33" i="2" s="1"/>
  <c r="AI10" i="2"/>
  <c r="AJ10" i="2" s="1"/>
  <c r="AK10" i="2" s="1"/>
  <c r="AI35" i="2"/>
  <c r="AJ35" i="2" s="1"/>
  <c r="AK35" i="2" s="1"/>
  <c r="AI25" i="2"/>
  <c r="AJ25" i="2" s="1"/>
  <c r="AK25" i="2" s="1"/>
  <c r="AI28" i="2"/>
  <c r="AJ28" i="2" s="1"/>
  <c r="AK28" i="2" s="1"/>
  <c r="AI24" i="2"/>
  <c r="AJ24" i="2" s="1"/>
  <c r="AK24" i="2" s="1"/>
  <c r="AI27" i="2"/>
  <c r="AJ27" i="2" s="1"/>
  <c r="AK27" i="2" s="1"/>
  <c r="AI4" i="2"/>
  <c r="AJ4" i="2" s="1"/>
  <c r="AK4" i="2" s="1"/>
  <c r="AI13" i="2"/>
  <c r="AJ13" i="2" s="1"/>
  <c r="AK13" i="2" s="1"/>
  <c r="AI7" i="2"/>
  <c r="AJ7" i="2" s="1"/>
  <c r="AK7" i="2" s="1"/>
  <c r="AI14" i="2"/>
  <c r="AJ14" i="2" s="1"/>
  <c r="AK14" i="2" s="1"/>
  <c r="AI26" i="2"/>
  <c r="AJ26" i="2" s="1"/>
  <c r="AK26" i="2" s="1"/>
  <c r="AI6" i="2"/>
  <c r="AJ6" i="2" s="1"/>
  <c r="AK6" i="2" s="1"/>
  <c r="AI5" i="2"/>
  <c r="AJ5" i="2" s="1"/>
  <c r="AK5" i="2" s="1"/>
  <c r="AI3" i="2"/>
  <c r="AJ3" i="2" s="1"/>
  <c r="AK3" i="2" s="1"/>
  <c r="AI9" i="2"/>
  <c r="AJ9" i="2" s="1"/>
  <c r="AK9" i="2" s="1"/>
  <c r="AI2" i="2"/>
  <c r="AJ2" i="2" s="1"/>
  <c r="AK2" i="2" s="1"/>
  <c r="AL2" i="2" l="1"/>
  <c r="AM2" i="2"/>
  <c r="AL33" i="2"/>
  <c r="AM33" i="2"/>
  <c r="AL43" i="2"/>
  <c r="AM43" i="2"/>
  <c r="AL3" i="2"/>
  <c r="AM3" i="2"/>
  <c r="AL14" i="2"/>
  <c r="AM14" i="2"/>
  <c r="AL35" i="2"/>
  <c r="AM35" i="2"/>
  <c r="AL11" i="2"/>
  <c r="AM11" i="2"/>
  <c r="AL37" i="2"/>
  <c r="AM37" i="2"/>
  <c r="AL40" i="2"/>
  <c r="AM40" i="2"/>
  <c r="AL5" i="2"/>
  <c r="AM5" i="2"/>
  <c r="AL24" i="2"/>
  <c r="AM24" i="2"/>
  <c r="AL31" i="2"/>
  <c r="AM31" i="2"/>
  <c r="AL15" i="2"/>
  <c r="AM15" i="2"/>
  <c r="AL41" i="2"/>
  <c r="AM41" i="2"/>
  <c r="AL13" i="2"/>
  <c r="AM13" i="2"/>
  <c r="AL8" i="2"/>
  <c r="AM8" i="2"/>
  <c r="AL38" i="2"/>
  <c r="AM38" i="2"/>
  <c r="AL27" i="2"/>
  <c r="AM27" i="2"/>
  <c r="AL29" i="2"/>
  <c r="AM29" i="2"/>
  <c r="AL22" i="2"/>
  <c r="AM22" i="2"/>
  <c r="AL20" i="2"/>
  <c r="AM20" i="2"/>
  <c r="AL7" i="2"/>
  <c r="AM7" i="2"/>
  <c r="AL10" i="2"/>
  <c r="AM10" i="2"/>
  <c r="AL39" i="2"/>
  <c r="AM39" i="2"/>
  <c r="AL34" i="2"/>
  <c r="AM34" i="2"/>
  <c r="AL17" i="2"/>
  <c r="AM17" i="2"/>
  <c r="AL6" i="2"/>
  <c r="AM6" i="2"/>
  <c r="AL28" i="2"/>
  <c r="AM28" i="2"/>
  <c r="AL9" i="2"/>
  <c r="AM9" i="2"/>
  <c r="AL26" i="2"/>
  <c r="AM26" i="2"/>
  <c r="AL4" i="2"/>
  <c r="AM4" i="2"/>
  <c r="AL25" i="2"/>
  <c r="AM25" i="2"/>
  <c r="AL12" i="2"/>
  <c r="AM12" i="2"/>
  <c r="AL21" i="2"/>
  <c r="AM21" i="2"/>
  <c r="AL36" i="2"/>
  <c r="AM36" i="2"/>
  <c r="AL16" i="2"/>
  <c r="AM16" i="2"/>
  <c r="AL23" i="2"/>
  <c r="AM23" i="2"/>
  <c r="AM44" i="2" l="1"/>
</calcChain>
</file>

<file path=xl/comments1.xml><?xml version="1.0" encoding="utf-8"?>
<comments xmlns="http://schemas.openxmlformats.org/spreadsheetml/2006/main">
  <authors>
    <author>Author</author>
  </authors>
  <commentList>
    <comment ref="AN2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დავაკელი ვადაგასული</t>
        </r>
      </text>
    </comment>
    <comment ref="AA2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1640 გადავეცით სოფლის ექიმებს</t>
        </r>
      </text>
    </comment>
    <comment ref="AA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სოფლის ექიმები</t>
        </r>
      </text>
    </comment>
    <comment ref="AN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31 მაიის ეწურება მოქმედების ვადა</t>
        </r>
      </text>
    </comment>
    <comment ref="AG4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0.0653 ევრო (გათვლა 5.05.19 1ევრო=3.0274)</t>
        </r>
      </text>
    </comment>
    <comment ref="AG4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0.0911 ევრო (გათვლა 5.05.19 1ევრო=3.0274)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AN2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დავაკელი ვადაგასული</t>
        </r>
      </text>
    </comment>
    <comment ref="AA2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1640 გადავეცით სოფლის ექიმებს</t>
        </r>
      </text>
    </comment>
    <comment ref="AA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სოფლის ექიმები</t>
        </r>
      </text>
    </comment>
    <comment ref="AN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31 მაიის ეწურება მოქმედების ვადა</t>
        </r>
      </text>
    </comment>
    <comment ref="AG4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0.0653 ევრო (გათვლა 5.05.19 1ევრო=3.0274)</t>
        </r>
      </text>
    </comment>
    <comment ref="AG4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0.0911 ევრო (გათვლა 5.05.19 1ევრო=3.0274)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AN2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დავაკელი ვადაგასული</t>
        </r>
      </text>
    </comment>
    <comment ref="AA2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1640 გადავეცით სოფლის ექიმებს</t>
        </r>
      </text>
    </comment>
    <comment ref="AA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სოფლის ექიმები</t>
        </r>
      </text>
    </comment>
    <comment ref="AN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31 მაიის ეწურება მოქმედების ვადა</t>
        </r>
      </text>
    </comment>
    <comment ref="AG4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0.0653 ევრო (გათვლა 5.05.19 1ევრო=3.0274)</t>
        </r>
      </text>
    </comment>
    <comment ref="AG4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0.0911 ევრო (გათვლა 5.05.19 1ევრო=3.0274)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N2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დავაკელი ვადაგასული</t>
        </r>
      </text>
    </comment>
    <comment ref="AA2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1640 გადავეცით სოფლის ექიმებს</t>
        </r>
      </text>
    </comment>
    <comment ref="AA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სოფლის ექიმები</t>
        </r>
      </text>
    </comment>
    <comment ref="AN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31 მაიის ეწურება მოქმედების ვადა</t>
        </r>
      </text>
    </comment>
    <comment ref="AG4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0.0653 ევრო (გათვლა 5.05.19 1ევრო=3.0274)</t>
        </r>
      </text>
    </comment>
    <comment ref="AG4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0.0911 ევრო (გათვლა 5.05.19 1ევრო=3.0274)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N2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დავაკელი ვადაგასული</t>
        </r>
      </text>
    </comment>
    <comment ref="AA2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1640 გადავეცით სოფლის ექიმებს</t>
        </r>
      </text>
    </comment>
    <comment ref="AA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სოფლის ექიმები</t>
        </r>
      </text>
    </comment>
    <comment ref="AN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31 მაიის ეწურება მოქმედების ვადა</t>
        </r>
      </text>
    </comment>
    <comment ref="AG4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0.0653 ევრო (გათვლა 5.05.19 1ევრო=3.0274)</t>
        </r>
      </text>
    </comment>
    <comment ref="AG4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0.0911 ევრო (გათვლა 5.05.19 1ევრო=3.0274)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AN2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დავაკელი ვადაგასული</t>
        </r>
      </text>
    </comment>
    <comment ref="AA2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1640 გადავეცით სოფლის ექიმებს</t>
        </r>
      </text>
    </comment>
    <comment ref="AA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სოფლის ექიმები</t>
        </r>
      </text>
    </comment>
    <comment ref="AN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31 მაიის ეწურება მოქმედების ვადა</t>
        </r>
      </text>
    </comment>
    <comment ref="AG4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0.0653 ევრო (გათვლა 5.05.19 1ევრო=3.0274)</t>
        </r>
      </text>
    </comment>
    <comment ref="AG4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0.0911 ევრო (გათვლა 5.05.19 1ევრო=3.0274)</t>
        </r>
      </text>
    </comment>
  </commentList>
</comments>
</file>

<file path=xl/comments7.xml><?xml version="1.0" encoding="utf-8"?>
<comments xmlns="http://schemas.openxmlformats.org/spreadsheetml/2006/main">
  <authors>
    <author>Author</author>
  </authors>
  <commentList>
    <comment ref="AN2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დავაკელი ვადაგასული</t>
        </r>
      </text>
    </comment>
    <comment ref="AA2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1640 გადავეცით სოფლის ექიმებს</t>
        </r>
      </text>
    </comment>
    <comment ref="AA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სოფლის ექიმები</t>
        </r>
      </text>
    </comment>
    <comment ref="AN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31 მაიის ეწურება მოქმედების ვადა</t>
        </r>
      </text>
    </comment>
    <comment ref="AG4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0.0653 ევრო (გათვლა 5.05.19 1ევრო=3.0274)</t>
        </r>
      </text>
    </comment>
    <comment ref="AG4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0.0911 ევრო (გათვლა 5.05.19 1ევრო=3.0274)</t>
        </r>
      </text>
    </comment>
  </commentList>
</comments>
</file>

<file path=xl/sharedStrings.xml><?xml version="1.0" encoding="utf-8"?>
<sst xmlns="http://schemas.openxmlformats.org/spreadsheetml/2006/main" count="1402" uniqueCount="228">
  <si>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</si>
  <si>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</si>
  <si>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</si>
  <si>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</si>
  <si>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</si>
  <si>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</si>
  <si>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</si>
  <si>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</si>
  <si>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</si>
  <si>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</si>
  <si>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</si>
  <si>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</si>
  <si>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ახალი დარეგისტრირებული</t>
  </si>
  <si>
    <t>აფთიაქში მისული</t>
  </si>
  <si>
    <t>სოცდაუცველი</t>
  </si>
  <si>
    <t>საპენსიო</t>
  </si>
  <si>
    <t>შშმპ</t>
  </si>
  <si>
    <t>N</t>
  </si>
  <si>
    <t>მედიკამენტის დასახელება</t>
  </si>
  <si>
    <t>სავაჭრო დასახელება</t>
  </si>
  <si>
    <t>მოქმედების ვადა</t>
  </si>
  <si>
    <t>ივლისი 2017</t>
  </si>
  <si>
    <t>აგვისტო 2017</t>
  </si>
  <si>
    <t>სექტემბერი 2017</t>
  </si>
  <si>
    <t>ოქტომბერი 2017</t>
  </si>
  <si>
    <t>ნოემბერი 2017</t>
  </si>
  <si>
    <t>დეკემბერი 2017</t>
  </si>
  <si>
    <t>იანვარი 2018</t>
  </si>
  <si>
    <t>თებერვალი 2018</t>
  </si>
  <si>
    <t>მარტი 2018</t>
  </si>
  <si>
    <t>აპრილი 2018</t>
  </si>
  <si>
    <t>მაისი 2018</t>
  </si>
  <si>
    <t>ივნისი 2018</t>
  </si>
  <si>
    <t>ივლისი 2018</t>
  </si>
  <si>
    <t>აგვისტო 2018</t>
  </si>
  <si>
    <t>სექტემბერი 2018</t>
  </si>
  <si>
    <t>ოქტომბერი 2018</t>
  </si>
  <si>
    <t>ნოემბერი 2018</t>
  </si>
  <si>
    <t>დეკემბერი 2018</t>
  </si>
  <si>
    <t>იანვარი 2019</t>
  </si>
  <si>
    <t>ენალაპრილი 10მგ</t>
  </si>
  <si>
    <t>01.06.2020</t>
  </si>
  <si>
    <t>ენალაპრილი 20მგ</t>
  </si>
  <si>
    <t>ენაპი 20მგ</t>
  </si>
  <si>
    <t>01.04.2020</t>
  </si>
  <si>
    <t>ლოსარტანი 100მგ</t>
  </si>
  <si>
    <t>ლოზაპი/ლორისტა</t>
  </si>
  <si>
    <t>31.05.2019</t>
  </si>
  <si>
    <t>ამლოდიპინი 5მგ</t>
  </si>
  <si>
    <t>01.05.2020</t>
  </si>
  <si>
    <t>მეტოპროლოლი 100მგ</t>
  </si>
  <si>
    <t>ეგილოკი 100მგ</t>
  </si>
  <si>
    <t>01.03.2022</t>
  </si>
  <si>
    <t>ამიოდარონი 200მგ</t>
  </si>
  <si>
    <t>კორდარონი</t>
  </si>
  <si>
    <t>01.03.2020</t>
  </si>
  <si>
    <t>იზოსორბიდის მონონიტრატი 40მგ</t>
  </si>
  <si>
    <t>მონოსანი 40მგ</t>
  </si>
  <si>
    <t>ვარფარინი 2.5მგ</t>
  </si>
  <si>
    <t>ვარფარინ–ნიკომედი 2.5მგ</t>
  </si>
  <si>
    <t>01.02.2022</t>
  </si>
  <si>
    <t>კლოპიდოგრელი 75მგ</t>
  </si>
  <si>
    <t>ზილტი 75მგ/პეგორელი 75მგ</t>
  </si>
  <si>
    <t>01.07.2020</t>
  </si>
  <si>
    <t>დიგოქსინი 0.25მგ</t>
  </si>
  <si>
    <t>დიგოქსინი–გრინდექსი</t>
  </si>
  <si>
    <t>01.11.2021</t>
  </si>
  <si>
    <t>ფუროსემიდი 40მგ</t>
  </si>
  <si>
    <t>01.11.2020</t>
  </si>
  <si>
    <t>სპირონოლაქტონი 25მგ</t>
  </si>
  <si>
    <t>ვეროშპირონი 25მგ</t>
  </si>
  <si>
    <t>01.01.2022</t>
  </si>
  <si>
    <t>ატორვასტატინი 20მგ</t>
  </si>
  <si>
    <t>ტორვიტინი 20მგ N30</t>
  </si>
  <si>
    <t>11.01.2021</t>
  </si>
  <si>
    <t>ატორვასტატინი 10მგ</t>
  </si>
  <si>
    <t>01.05.2021</t>
  </si>
  <si>
    <t>ატორვასტატინი 40მგ</t>
  </si>
  <si>
    <t>ატორისი 40მგ</t>
  </si>
  <si>
    <t>30.09.2020</t>
  </si>
  <si>
    <t>პერინდოპრილ /ამლოდიპინი 4მგ/5მგ ან 5მგ/5მგ</t>
  </si>
  <si>
    <t>ამრადიპინი 4/5მგ</t>
  </si>
  <si>
    <t>პერინდოპრილ /ამლოდიპინი 8მგ/10მგ ან 10მგ/10მგ</t>
  </si>
  <si>
    <t>ამრადიპინი 8/10მგ</t>
  </si>
  <si>
    <t>ლოსარტან/ჰიდროქლორთიაზიდი 50მგ/12.5მგ</t>
  </si>
  <si>
    <t>ლორისტა H 50მგ/12.5მგ</t>
  </si>
  <si>
    <t>01.07.2023</t>
  </si>
  <si>
    <t>ბისოპროლოლი 5მგ</t>
  </si>
  <si>
    <t>ემკორი 5მგ</t>
  </si>
  <si>
    <t>01.08.2021</t>
  </si>
  <si>
    <t>ნებივოლოლი 5მგ</t>
  </si>
  <si>
    <t>ნებივოლოლი შტადა 5მგ/დანები 5მგ</t>
  </si>
  <si>
    <t>აცეტილსალიცილის მჟავა+მაგნიუმის ჰიდროქსიდი 75მგ</t>
  </si>
  <si>
    <t>კარდიომაგნილი 75მგ</t>
  </si>
  <si>
    <t>31.03.2021</t>
  </si>
  <si>
    <t>აცეტილსალიცილის მჟავა+მაგნიუმის ჰიდროქსიდი 150მგ</t>
  </si>
  <si>
    <t>კარდიომაგნილი 150მგ</t>
  </si>
  <si>
    <t>01.03.2021</t>
  </si>
  <si>
    <t>მეტფორმინი 1000მგ</t>
  </si>
  <si>
    <t>სიოფორი 1000მგ</t>
  </si>
  <si>
    <t>04.01.2021</t>
  </si>
  <si>
    <t>გლიკლაზიდი 60მგ</t>
  </si>
  <si>
    <t>დიაბეტონი MR 60მგ/ აპო გლიკლაზიდი 60მგ</t>
  </si>
  <si>
    <t>31.05.2020</t>
  </si>
  <si>
    <t>გლიმეპირიდი 2მგ</t>
  </si>
  <si>
    <t>ამარილი 2mg</t>
  </si>
  <si>
    <t>01.06.2021</t>
  </si>
  <si>
    <t>თიამაზოლი 5მგ</t>
  </si>
  <si>
    <t>თიროზოლი 5მგ</t>
  </si>
  <si>
    <t>13.05.2022</t>
  </si>
  <si>
    <t>ლევოთიროქსინი  50მკგ</t>
  </si>
  <si>
    <t>ლ–თიროქსინი/ეუთიროქსი 50მკგ</t>
  </si>
  <si>
    <t>30.04.2021</t>
  </si>
  <si>
    <t>ბუდესონიდი 0.5მგ/2მლ</t>
  </si>
  <si>
    <t>პულმიკორტი 0.5მგ/მლ 2მლ</t>
  </si>
  <si>
    <t>ალბუტეროლი  2.5მგ/0.5მლ 0.5მლ</t>
  </si>
  <si>
    <t>ალბუტეროლის სულფატი 0.5% 2.5მგ/0.5მლ</t>
  </si>
  <si>
    <t>31.01.2019</t>
  </si>
  <si>
    <t xml:space="preserve">სალმეტეროლი/ფლუტიკაზონი   50მკგ/500მკგ საინჰალაციო ფხვნილი                   </t>
  </si>
  <si>
    <t>სერეტიდი დისკუსი 50/250მკგ ინჰ 60 დოზა/ ეარფლუსალი</t>
  </si>
  <si>
    <t>30.04.2020</t>
  </si>
  <si>
    <t xml:space="preserve">სალმეტეროლი/ფლუტიკაზონი   50მკგ/250მკგ საინჰალაციო ფხვნილი                   </t>
  </si>
  <si>
    <t>საფლუტინი 50/500მკგ</t>
  </si>
  <si>
    <t>სალბუტამოლი 100მკგ დოზა საინჰალაციო აეროზოლი</t>
  </si>
  <si>
    <t>სალბუტამოლი ინტელი აეროზ. 200 დოზა</t>
  </si>
  <si>
    <t xml:space="preserve">აკლიდინიუმის ბრომიდი საინჰალაციო ფხვნილი (კაფსულა) ინჰალატორთან ერთად/322მკგ/დოზა </t>
  </si>
  <si>
    <t>ბრეტარისი ჯენუეირი 322მკგ 60 დოზა</t>
  </si>
  <si>
    <t>მეთილპრედნიზოლონი 16მგ</t>
  </si>
  <si>
    <t>მედროლი 16მგ</t>
  </si>
  <si>
    <t>01.06.2022</t>
  </si>
  <si>
    <t>კარბიდოპა,ლევოდოპა 250მგ/25მგ</t>
  </si>
  <si>
    <t>ნაკომი</t>
  </si>
  <si>
    <t>ბენსერაზიდის ჰიდროქლორიდი,ლევოდოპა 125მგ/25მგ</t>
  </si>
  <si>
    <t>მადოპარი</t>
  </si>
  <si>
    <t>ლევეტირაცეტამი 500მგ</t>
  </si>
  <si>
    <t>ლევეტირაცეტამი აკორდი</t>
  </si>
  <si>
    <t>05.11.2020</t>
  </si>
  <si>
    <t>კარბამაზეპინი 200მგ</t>
  </si>
  <si>
    <t>ნეიროლეფსინი 200მგ</t>
  </si>
  <si>
    <t>01.12.2021</t>
  </si>
  <si>
    <t>ნატრიუმის ვალპროატი 300მგ</t>
  </si>
  <si>
    <t>დეპაკინი ქრონო 300მგ</t>
  </si>
  <si>
    <t>07.01.2021</t>
  </si>
  <si>
    <t>ნატრიუმის ვალპროატი 500მგ</t>
  </si>
  <si>
    <t>დეპაკინი ქრონო 500მგ</t>
  </si>
  <si>
    <t>ლემოტრიჯინი 100მგ</t>
  </si>
  <si>
    <t>ლამოტრიქსი 100მგ</t>
  </si>
  <si>
    <t>01.10.2021</t>
  </si>
  <si>
    <t>ლემოტრიჯინი 25მგ</t>
  </si>
  <si>
    <t>ლამიქტალი 25მგ</t>
  </si>
  <si>
    <t>03.07.2021</t>
  </si>
  <si>
    <t>ხარჯვა ბებეფიციარი – თებერვალი 2019</t>
  </si>
  <si>
    <t>ხარჯვა ბებეფიციარი – მარტი2019</t>
  </si>
  <si>
    <t>ხარჯვა ბებეფიციარი – აპრილი 2019</t>
  </si>
  <si>
    <t>ერთეულის სავარაუდო ღირებულება (2017 -2018 წლის ერთეულის ფასის მიხედვით (ბოლო სატენდერო ღირებულება)) – ლარი</t>
  </si>
  <si>
    <t>ფასი</t>
  </si>
  <si>
    <t>ნაშთი  საქართველო სრულად 21.05.2019მდგომარეობით</t>
  </si>
  <si>
    <t xml:space="preserve"> </t>
  </si>
  <si>
    <t>ბენეფიციარი</t>
  </si>
  <si>
    <t>მედიკამენტის რაოდენობა</t>
  </si>
  <si>
    <t>Column1</t>
  </si>
  <si>
    <t xml:space="preserve">ლოზაპი 100მგ/ლორისტა </t>
  </si>
  <si>
    <t>კორდარონი 200მგ</t>
  </si>
  <si>
    <t>დიგოქსინი–გრინდექსი 0.25მგ</t>
  </si>
  <si>
    <t>ატორვასტატინი</t>
  </si>
  <si>
    <t>ატორისი 20მგ</t>
  </si>
  <si>
    <t>ზილტი 75მგ</t>
  </si>
  <si>
    <t>ამარილი 2მგ</t>
  </si>
  <si>
    <t>აპო-გლიკლაზიდი</t>
  </si>
  <si>
    <t>სერეტიდი დისკუსი 50/250მკგ ინჰ 60 დოზა</t>
  </si>
  <si>
    <t>სალბუტამოლი. 200 დოზა</t>
  </si>
  <si>
    <t>პულმიკორტი 2მლ</t>
  </si>
  <si>
    <t>ბრეტარისი ჯენუეირი 322მგკ 60 დოზა</t>
  </si>
  <si>
    <t>L – თიროქსინი 50მკგ</t>
  </si>
  <si>
    <t>ემკორი</t>
  </si>
  <si>
    <t>კარდიომაგნილი 150</t>
  </si>
  <si>
    <t>კარდიომაგნილი 75</t>
  </si>
  <si>
    <t>ლევერიცატემი აკორდი</t>
  </si>
  <si>
    <t>მადოპარი 100/25</t>
  </si>
  <si>
    <t>ნაკომი 250მგ/25მგ</t>
  </si>
  <si>
    <t>ნებივოლოლი შტადა</t>
  </si>
  <si>
    <t>ნეიროლეფსინი</t>
  </si>
  <si>
    <t>ლოზაპი 100მგ/ლორისტა 100მგ</t>
  </si>
  <si>
    <t>ვარფარინ-ნიკომედი 2.5მგ</t>
  </si>
  <si>
    <t>მონოსანი  40 მგ</t>
  </si>
  <si>
    <t>დიგოქსინი-გრინდექსი 0.25მგ</t>
  </si>
  <si>
    <t>დიაბეტონი MR</t>
  </si>
  <si>
    <t>L - თიროქსინი 50 მკგ</t>
  </si>
  <si>
    <t>ამრადიპინი 4მგ/5მგ</t>
  </si>
  <si>
    <t>ლამიქტალი</t>
  </si>
  <si>
    <t>საშუალო ხარჯვა 2017</t>
  </si>
  <si>
    <t>საშუალო ხარჯვა 2018 იანვარი-აგვისტო</t>
  </si>
  <si>
    <t>საშუალო ხარჯვა სექტემბერი-დეკემბერი</t>
  </si>
  <si>
    <t>საშუალო ხარჯვა 2019</t>
  </si>
  <si>
    <t>2018-იანვარი-აგვისტო</t>
  </si>
  <si>
    <t>2018-სექტემბერი-დეკემბერი</t>
  </si>
  <si>
    <t>ლამოტრიჯინი 100მგ</t>
  </si>
  <si>
    <t>ლამოტრიჯინი 25მგ</t>
  </si>
  <si>
    <t xml:space="preserve">დასახელება </t>
  </si>
  <si>
    <t>სერია</t>
  </si>
  <si>
    <t>მოქ.ვადა</t>
  </si>
  <si>
    <t>ერთ.ფასი</t>
  </si>
  <si>
    <t>რაოდენობა</t>
  </si>
  <si>
    <t>თანხა</t>
  </si>
  <si>
    <t>პულმიკორტი 0.5 მგ 2.0000მლ(ფლაკონი)</t>
  </si>
  <si>
    <t>PBHP</t>
  </si>
  <si>
    <t>PBKH</t>
  </si>
  <si>
    <t>ლოზაპი 100.0000მგ(ტაბლეტი)</t>
  </si>
  <si>
    <t>2720617</t>
  </si>
  <si>
    <t>L - თიროქსინი 50.0000მკგ(ტაბლეტი)</t>
  </si>
  <si>
    <t>71011</t>
  </si>
  <si>
    <t>71011*</t>
  </si>
  <si>
    <t>ალბუტეროლის სულფატი 0.5 მლ 2.5000მგ(ფლაკონი)</t>
  </si>
  <si>
    <t>726141</t>
  </si>
  <si>
    <t>PBKX-</t>
  </si>
  <si>
    <t>სალბუტამოლ ინტელი 200.0000შესხურება(1/200 ფლ.)(ფლაკონი)</t>
  </si>
  <si>
    <t>0008K060</t>
  </si>
  <si>
    <t>008K060*</t>
  </si>
  <si>
    <t>სალბუტამოლი 200.0000შესხურება(1/200 ფლ.)(ფლაკონი)</t>
  </si>
  <si>
    <t>5D4B</t>
  </si>
  <si>
    <t>5D4B*</t>
  </si>
  <si>
    <t>9H9N</t>
  </si>
  <si>
    <t>პულმიკორტი</t>
  </si>
  <si>
    <t xml:space="preserve">L - თიროქსინი </t>
  </si>
  <si>
    <t>ალბუტეროლი</t>
  </si>
  <si>
    <t xml:space="preserve">სალბუტამოლი </t>
  </si>
  <si>
    <t>რაოდენობა (აბი/ფლაკონი)</t>
  </si>
  <si>
    <t>ღირებულება (ლარი)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</si>
</sst>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_(* #,##0.00000000_);_(* \(#,##0.00000000\);_(* &quot;-&quot;??_);_(@_)"/>
    <numFmt numFmtId="167" formatCode="_(* #,##0.0000000_);_(* \(#,##0.0000000\);_(* &quot;-&quot;??_);_(@_)"/>
    <numFmt numFmtId="168" formatCode="_(* #,##0.000_);_(* \(#,##0.000\);_(* &quot;-&quot;??_);_(@_)"/>
    <numFmt numFmtId="169" formatCode="_(* #,##0.00000_);_(* \(#,##0.00000\);_(* &quot;-&quot;??_);_(@_)"/>
    <numFmt numFmtId="170" formatCode="mm/dd/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sz val="9"/>
      <name val="Menlo Bold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7"/>
      <name val="Arial"/>
      <family val="2"/>
    </font>
    <font>
      <sz val="7"/>
      <color theme="1"/>
      <name val="Calibri"/>
      <family val="2"/>
      <scheme val="minor"/>
    </font>
    <font>
      <b/>
      <sz val="7"/>
      <name val="Arial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/>
  </cellStyleXfs>
  <cellXfs count="91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1" applyNumberFormat="1" applyFont="1" applyFill="1" applyBorder="1" applyAlignment="1"/>
    <xf numFmtId="0" fontId="6" fillId="0" borderId="1" xfId="0" applyNumberFormat="1" applyFont="1" applyFill="1" applyBorder="1" applyAlignment="1">
      <alignment horizontal="center" vertical="center" textRotation="90" wrapText="1"/>
    </xf>
    <xf numFmtId="0" fontId="6" fillId="0" borderId="1" xfId="1" applyNumberFormat="1" applyFont="1" applyFill="1" applyBorder="1" applyAlignment="1">
      <alignment horizontal="center" vertical="center" textRotation="90" wrapText="1"/>
    </xf>
    <xf numFmtId="0" fontId="6" fillId="0" borderId="1" xfId="1" applyNumberFormat="1" applyFont="1" applyFill="1" applyBorder="1" applyAlignment="1"/>
    <xf numFmtId="0" fontId="9" fillId="0" borderId="1" xfId="0" applyNumberFormat="1" applyFont="1" applyFill="1" applyBorder="1" applyAlignment="1">
      <alignment wrapText="1"/>
    </xf>
    <xf numFmtId="0" fontId="6" fillId="0" borderId="1" xfId="0" applyNumberFormat="1" applyFont="1" applyFill="1" applyBorder="1" applyAlignment="1"/>
    <xf numFmtId="1" fontId="0" fillId="0" borderId="0" xfId="0" applyNumberFormat="1" applyFont="1" applyFill="1" applyBorder="1" applyAlignment="1"/>
    <xf numFmtId="1" fontId="6" fillId="0" borderId="1" xfId="2" applyNumberFormat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textRotation="90" wrapText="1"/>
    </xf>
    <xf numFmtId="0" fontId="6" fillId="0" borderId="1" xfId="0" applyNumberFormat="1" applyFont="1" applyFill="1" applyBorder="1" applyAlignment="1">
      <alignment vertical="center" textRotation="90"/>
    </xf>
    <xf numFmtId="0" fontId="8" fillId="0" borderId="1" xfId="0" applyFont="1" applyFill="1" applyBorder="1" applyAlignment="1">
      <alignment horizontal="left" vertical="top" wrapText="1"/>
    </xf>
    <xf numFmtId="164" fontId="3" fillId="0" borderId="1" xfId="1" applyNumberFormat="1" applyFont="1" applyFill="1" applyBorder="1" applyAlignment="1"/>
    <xf numFmtId="0" fontId="7" fillId="0" borderId="1" xfId="0" applyFont="1" applyFill="1" applyBorder="1" applyAlignment="1">
      <alignment horizontal="left" vertical="top" wrapText="1"/>
    </xf>
    <xf numFmtId="166" fontId="3" fillId="0" borderId="1" xfId="1" applyNumberFormat="1" applyFont="1" applyFill="1" applyBorder="1" applyAlignment="1"/>
    <xf numFmtId="167" fontId="3" fillId="0" borderId="1" xfId="1" applyNumberFormat="1" applyFont="1" applyFill="1" applyBorder="1" applyAlignment="1"/>
    <xf numFmtId="168" fontId="3" fillId="0" borderId="1" xfId="1" applyNumberFormat="1" applyFont="1" applyFill="1" applyBorder="1" applyAlignment="1"/>
    <xf numFmtId="43" fontId="3" fillId="0" borderId="1" xfId="1" applyFont="1" applyFill="1" applyBorder="1" applyAlignment="1"/>
    <xf numFmtId="0" fontId="7" fillId="0" borderId="2" xfId="0" applyFont="1" applyFill="1" applyBorder="1" applyAlignment="1">
      <alignment horizontal="left" vertical="top" wrapText="1"/>
    </xf>
    <xf numFmtId="43" fontId="3" fillId="0" borderId="1" xfId="1" applyFont="1" applyFill="1" applyBorder="1" applyAlignment="1">
      <alignment horizontal="center" wrapText="1"/>
    </xf>
    <xf numFmtId="169" fontId="3" fillId="0" borderId="1" xfId="1" applyNumberFormat="1" applyFont="1" applyFill="1" applyBorder="1" applyAlignment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43" fontId="12" fillId="0" borderId="1" xfId="1" applyFont="1" applyFill="1" applyBorder="1" applyAlignment="1">
      <alignment horizontal="center" vertical="center" textRotation="90" wrapText="1"/>
    </xf>
    <xf numFmtId="43" fontId="12" fillId="0" borderId="1" xfId="1" applyFont="1" applyFill="1" applyBorder="1" applyAlignment="1">
      <alignment horizontal="center" vertical="center"/>
    </xf>
    <xf numFmtId="43" fontId="12" fillId="3" borderId="1" xfId="1" applyFont="1" applyFill="1" applyBorder="1" applyAlignment="1">
      <alignment horizontal="center" vertical="center"/>
    </xf>
    <xf numFmtId="43" fontId="13" fillId="3" borderId="1" xfId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vertical="center"/>
    </xf>
    <xf numFmtId="43" fontId="13" fillId="0" borderId="0" xfId="1" applyFont="1" applyAlignment="1">
      <alignment horizontal="center" vertical="center" wrapText="1"/>
    </xf>
    <xf numFmtId="0" fontId="0" fillId="0" borderId="1" xfId="0" applyNumberFormat="1" applyFont="1" applyFill="1" applyBorder="1" applyAlignment="1"/>
    <xf numFmtId="43" fontId="0" fillId="0" borderId="0" xfId="1" applyFont="1" applyFill="1" applyBorder="1" applyAlignment="1"/>
    <xf numFmtId="168" fontId="13" fillId="0" borderId="1" xfId="0" applyNumberFormat="1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horizontal="center" vertical="center"/>
    </xf>
    <xf numFmtId="168" fontId="13" fillId="0" borderId="1" xfId="1" applyNumberFormat="1" applyFont="1" applyBorder="1" applyAlignment="1">
      <alignment horizontal="center" vertical="center" wrapText="1"/>
    </xf>
    <xf numFmtId="167" fontId="13" fillId="0" borderId="1" xfId="1" applyNumberFormat="1" applyFont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/>
    </xf>
    <xf numFmtId="168" fontId="13" fillId="0" borderId="1" xfId="1" applyNumberFormat="1" applyFont="1" applyBorder="1" applyAlignment="1">
      <alignment horizontal="center" vertical="center"/>
    </xf>
    <xf numFmtId="164" fontId="13" fillId="3" borderId="1" xfId="1" applyNumberFormat="1" applyFont="1" applyFill="1" applyBorder="1" applyAlignment="1">
      <alignment horizontal="center" vertical="center"/>
    </xf>
    <xf numFmtId="169" fontId="13" fillId="3" borderId="1" xfId="1" applyNumberFormat="1" applyFont="1" applyFill="1" applyBorder="1" applyAlignment="1">
      <alignment horizontal="center" vertical="center"/>
    </xf>
    <xf numFmtId="43" fontId="13" fillId="3" borderId="1" xfId="1" applyFont="1" applyFill="1" applyBorder="1" applyAlignment="1">
      <alignment horizontal="center" vertical="center"/>
    </xf>
    <xf numFmtId="168" fontId="13" fillId="3" borderId="1" xfId="1" applyNumberFormat="1" applyFont="1" applyFill="1" applyBorder="1" applyAlignment="1">
      <alignment horizontal="center" vertical="center"/>
    </xf>
    <xf numFmtId="168" fontId="13" fillId="0" borderId="0" xfId="0" applyNumberFormat="1" applyFont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 textRotation="90" wrapText="1"/>
    </xf>
    <xf numFmtId="43" fontId="12" fillId="4" borderId="1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64" fontId="13" fillId="0" borderId="3" xfId="1" applyNumberFormat="1" applyFont="1" applyBorder="1" applyAlignment="1">
      <alignment horizontal="center" vertical="center"/>
    </xf>
    <xf numFmtId="43" fontId="12" fillId="4" borderId="3" xfId="1" applyFont="1" applyFill="1" applyBorder="1" applyAlignment="1">
      <alignment horizontal="center" vertical="center"/>
    </xf>
    <xf numFmtId="168" fontId="13" fillId="0" borderId="2" xfId="1" applyNumberFormat="1" applyFont="1" applyBorder="1" applyAlignment="1">
      <alignment horizontal="center" vertical="center"/>
    </xf>
    <xf numFmtId="43" fontId="12" fillId="4" borderId="2" xfId="1" applyFont="1" applyFill="1" applyBorder="1" applyAlignment="1">
      <alignment horizontal="center" vertical="center"/>
    </xf>
    <xf numFmtId="43" fontId="0" fillId="0" borderId="1" xfId="1" applyFont="1" applyFill="1" applyBorder="1" applyAlignment="1"/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0" fillId="0" borderId="0" xfId="0"/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0" borderId="1" xfId="0" applyFont="1" applyBorder="1"/>
    <xf numFmtId="0" fontId="0" fillId="0" borderId="1" xfId="0" applyBorder="1"/>
    <xf numFmtId="0" fontId="4" fillId="0" borderId="1" xfId="0" applyFont="1" applyBorder="1" applyAlignment="1"/>
    <xf numFmtId="0" fontId="4" fillId="0" borderId="1" xfId="0" applyFont="1" applyBorder="1" applyAlignment="1">
      <alignment wrapText="1"/>
    </xf>
    <xf numFmtId="0" fontId="7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2" fillId="0" borderId="0" xfId="0" applyFont="1"/>
    <xf numFmtId="43" fontId="0" fillId="0" borderId="0" xfId="0" applyNumberFormat="1" applyFont="1" applyFill="1" applyBorder="1" applyAlignment="1"/>
    <xf numFmtId="165" fontId="6" fillId="0" borderId="1" xfId="0" applyNumberFormat="1" applyFont="1" applyFill="1" applyBorder="1" applyAlignment="1">
      <alignment horizontal="center" vertical="center" textRotation="90" wrapText="1"/>
    </xf>
    <xf numFmtId="165" fontId="3" fillId="0" borderId="1" xfId="1" applyNumberFormat="1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textRotation="90" wrapText="1"/>
    </xf>
    <xf numFmtId="0" fontId="15" fillId="0" borderId="1" xfId="0" applyNumberFormat="1" applyFont="1" applyBorder="1" applyAlignment="1" applyProtection="1">
      <alignment horizontal="center"/>
    </xf>
    <xf numFmtId="0" fontId="0" fillId="0" borderId="0" xfId="0" applyNumberFormat="1" applyFont="1" applyProtection="1"/>
    <xf numFmtId="0" fontId="0" fillId="0" borderId="1" xfId="0" applyNumberFormat="1" applyFont="1" applyBorder="1" applyProtection="1"/>
    <xf numFmtId="0" fontId="0" fillId="0" borderId="1" xfId="0" applyNumberFormat="1" applyFont="1" applyBorder="1" applyAlignment="1" applyProtection="1">
      <alignment horizontal="center" wrapText="1"/>
    </xf>
    <xf numFmtId="0" fontId="0" fillId="0" borderId="1" xfId="0" applyNumberFormat="1" applyFont="1" applyBorder="1" applyAlignment="1" applyProtection="1">
      <alignment horizontal="center"/>
    </xf>
    <xf numFmtId="170" fontId="0" fillId="0" borderId="1" xfId="0" applyNumberFormat="1" applyFont="1" applyBorder="1" applyAlignment="1" applyProtection="1">
      <alignment horizontal="center"/>
    </xf>
    <xf numFmtId="43" fontId="0" fillId="0" borderId="0" xfId="1" applyFont="1" applyProtection="1"/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ბენეფიციარი!$D$3</c:f>
              <c:strCache>
                <c:ptCount val="1"/>
                <c:pt idx="0">
                  <c:v>ახალი დარეგისტრირებული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multiLvlStrRef>
              <c:f>ბენეფიციარი!$B$4:$C$23</c:f>
              <c:multiLvlStrCache>
                <c:ptCount val="20"/>
                <c:lvl>
                  <c:pt idx="0">
                    <c:v>ოქტომბერი</c:v>
                  </c:pt>
                  <c:pt idx="1">
                    <c:v>ნოემბერი</c:v>
                  </c:pt>
                  <c:pt idx="2">
                    <c:v>დეკემბერი</c:v>
                  </c:pt>
                  <c:pt idx="3">
                    <c:v>იანვარი</c:v>
                  </c:pt>
                  <c:pt idx="4">
                    <c:v>თებერვალი</c:v>
                  </c:pt>
                  <c:pt idx="5">
                    <c:v>მარტი</c:v>
                  </c:pt>
                  <c:pt idx="6">
                    <c:v>აპრილი</c:v>
                  </c:pt>
                  <c:pt idx="7">
                    <c:v>მაისი</c:v>
                  </c:pt>
                  <c:pt idx="8">
                    <c:v>ივნისი</c:v>
                  </c:pt>
                  <c:pt idx="9">
                    <c:v>ივლისი</c:v>
                  </c:pt>
                  <c:pt idx="10">
                    <c:v>აგვისტო</c:v>
                  </c:pt>
                  <c:pt idx="11">
                    <c:v>სექტემბერი</c:v>
                  </c:pt>
                  <c:pt idx="12">
                    <c:v>ოქტომბერი</c:v>
                  </c:pt>
                  <c:pt idx="13">
                    <c:v>ნოემბერი</c:v>
                  </c:pt>
                  <c:pt idx="14">
                    <c:v>დეკემბერი</c:v>
                  </c:pt>
                  <c:pt idx="15">
                    <c:v>იანვარი</c:v>
                  </c:pt>
                  <c:pt idx="16">
                    <c:v>თებერვალი</c:v>
                  </c:pt>
                  <c:pt idx="17">
                    <c:v>მარტი</c:v>
                  </c:pt>
                  <c:pt idx="18">
                    <c:v>აპრილი</c:v>
                  </c:pt>
                  <c:pt idx="19">
                    <c:v>მაისი</c:v>
                  </c:pt>
                </c:lvl>
                <c:lvl>
                  <c:pt idx="0">
                    <c:v>2017</c:v>
                  </c:pt>
                  <c:pt idx="3">
                    <c:v>2018</c:v>
                  </c:pt>
                  <c:pt idx="15">
                    <c:v>2019</c:v>
                  </c:pt>
                </c:lvl>
              </c:multiLvlStrCache>
            </c:multiLvlStrRef>
          </c:cat>
          <c:val>
            <c:numRef>
              <c:f>ბენეფიციარი!$D$4:$D$23</c:f>
              <c:numCache>
                <c:formatCode>General</c:formatCode>
                <c:ptCount val="20"/>
                <c:pt idx="0">
                  <c:v>1179</c:v>
                </c:pt>
                <c:pt idx="1">
                  <c:v>1065</c:v>
                </c:pt>
                <c:pt idx="2">
                  <c:v>860</c:v>
                </c:pt>
                <c:pt idx="3">
                  <c:v>677</c:v>
                </c:pt>
                <c:pt idx="4">
                  <c:v>963</c:v>
                </c:pt>
                <c:pt idx="5">
                  <c:v>978</c:v>
                </c:pt>
                <c:pt idx="6">
                  <c:v>695</c:v>
                </c:pt>
                <c:pt idx="7">
                  <c:v>764</c:v>
                </c:pt>
                <c:pt idx="8">
                  <c:v>580</c:v>
                </c:pt>
                <c:pt idx="9">
                  <c:v>506</c:v>
                </c:pt>
                <c:pt idx="10">
                  <c:v>441</c:v>
                </c:pt>
                <c:pt idx="11">
                  <c:v>4563</c:v>
                </c:pt>
                <c:pt idx="12">
                  <c:v>5552</c:v>
                </c:pt>
                <c:pt idx="13">
                  <c:v>3736</c:v>
                </c:pt>
                <c:pt idx="14">
                  <c:v>2852</c:v>
                </c:pt>
                <c:pt idx="15">
                  <c:v>4027</c:v>
                </c:pt>
                <c:pt idx="16">
                  <c:v>4511</c:v>
                </c:pt>
                <c:pt idx="17">
                  <c:v>4250</c:v>
                </c:pt>
                <c:pt idx="18">
                  <c:v>3159</c:v>
                </c:pt>
                <c:pt idx="19">
                  <c:v>3985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F-4776-806F-D6BABD31315A}"/>
            </c:ext>
          </c:extLst>
        </c:ser>
        <c:ser>
          <c:idx val="1"/>
          <c:order val="1"/>
          <c:tx>
            <c:strRef>
              <c:f>ბენეფიციარი!$E$3</c:f>
              <c:strCache>
                <c:ptCount val="1"/>
                <c:pt idx="0">
                  <c:v>აფთიაქში მისული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multiLvlStrRef>
              <c:f>ბენეფიციარი!$B$4:$C$23</c:f>
              <c:multiLvlStrCache>
                <c:ptCount val="20"/>
                <c:lvl>
                  <c:pt idx="0">
                    <c:v>ოქტომბერი</c:v>
                  </c:pt>
                  <c:pt idx="1">
                    <c:v>ნოემბერი</c:v>
                  </c:pt>
                  <c:pt idx="2">
                    <c:v>დეკემბერი</c:v>
                  </c:pt>
                  <c:pt idx="3">
                    <c:v>იანვარი</c:v>
                  </c:pt>
                  <c:pt idx="4">
                    <c:v>თებერვალი</c:v>
                  </c:pt>
                  <c:pt idx="5">
                    <c:v>მარტი</c:v>
                  </c:pt>
                  <c:pt idx="6">
                    <c:v>აპრილი</c:v>
                  </c:pt>
                  <c:pt idx="7">
                    <c:v>მაისი</c:v>
                  </c:pt>
                  <c:pt idx="8">
                    <c:v>ივნისი</c:v>
                  </c:pt>
                  <c:pt idx="9">
                    <c:v>ივლისი</c:v>
                  </c:pt>
                  <c:pt idx="10">
                    <c:v>აგვისტო</c:v>
                  </c:pt>
                  <c:pt idx="11">
                    <c:v>სექტემბერი</c:v>
                  </c:pt>
                  <c:pt idx="12">
                    <c:v>ოქტომბერი</c:v>
                  </c:pt>
                  <c:pt idx="13">
                    <c:v>ნოემბერი</c:v>
                  </c:pt>
                  <c:pt idx="14">
                    <c:v>დეკემბერი</c:v>
                  </c:pt>
                  <c:pt idx="15">
                    <c:v>იანვარი</c:v>
                  </c:pt>
                  <c:pt idx="16">
                    <c:v>თებერვალი</c:v>
                  </c:pt>
                  <c:pt idx="17">
                    <c:v>მარტი</c:v>
                  </c:pt>
                  <c:pt idx="18">
                    <c:v>აპრილი</c:v>
                  </c:pt>
                  <c:pt idx="19">
                    <c:v>მაისი</c:v>
                  </c:pt>
                </c:lvl>
                <c:lvl>
                  <c:pt idx="0">
                    <c:v>2017</c:v>
                  </c:pt>
                  <c:pt idx="3">
                    <c:v>2018</c:v>
                  </c:pt>
                  <c:pt idx="15">
                    <c:v>2019</c:v>
                  </c:pt>
                </c:lvl>
              </c:multiLvlStrCache>
            </c:multiLvlStrRef>
          </c:cat>
          <c:val>
            <c:numRef>
              <c:f>ბენეფიციარი!$E$4:$E$23</c:f>
              <c:numCache>
                <c:formatCode>General</c:formatCode>
                <c:ptCount val="20"/>
                <c:pt idx="0">
                  <c:v>3773</c:v>
                </c:pt>
                <c:pt idx="1">
                  <c:v>3347</c:v>
                </c:pt>
                <c:pt idx="2">
                  <c:v>2566</c:v>
                </c:pt>
                <c:pt idx="3">
                  <c:v>3356</c:v>
                </c:pt>
                <c:pt idx="4">
                  <c:v>3514</c:v>
                </c:pt>
                <c:pt idx="5">
                  <c:v>3670</c:v>
                </c:pt>
                <c:pt idx="6">
                  <c:v>3387</c:v>
                </c:pt>
                <c:pt idx="7">
                  <c:v>4581</c:v>
                </c:pt>
                <c:pt idx="8">
                  <c:v>3381</c:v>
                </c:pt>
                <c:pt idx="9">
                  <c:v>3731</c:v>
                </c:pt>
                <c:pt idx="10">
                  <c:v>3893</c:v>
                </c:pt>
                <c:pt idx="11">
                  <c:v>6773</c:v>
                </c:pt>
                <c:pt idx="12">
                  <c:v>9168</c:v>
                </c:pt>
                <c:pt idx="13">
                  <c:v>8988</c:v>
                </c:pt>
                <c:pt idx="14">
                  <c:v>9281</c:v>
                </c:pt>
                <c:pt idx="15">
                  <c:v>12222</c:v>
                </c:pt>
                <c:pt idx="16">
                  <c:v>12564</c:v>
                </c:pt>
                <c:pt idx="17">
                  <c:v>12873</c:v>
                </c:pt>
                <c:pt idx="18">
                  <c:v>12050</c:v>
                </c:pt>
                <c:pt idx="19">
                  <c:v>15061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AF-4776-806F-D6BABD313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520336223"/>
        <c:axId val="1520346207"/>
        <c:axId val="0"/>
      </c:bar3DChart>
      <c:catAx>
        <c:axId val="1520336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346207"/>
        <c:crosses val="autoZero"/>
        <c:auto val="1"/>
        <c:lblAlgn val="ctr"/>
        <c:lblOffset val="100"/>
        <c:noMultiLvlLbl val="0"/>
      </c:catAx>
      <c:valAx>
        <c:axId val="1520346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33622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'გულ-სისხლძარღვთა-1'!$E$1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'გულ-სისხლძარღვთა-1'!$B$2:$D$14</c:f>
              <c:strCache>
                <c:ptCount val="13"/>
                <c:pt idx="0">
                  <c:v>ენალაპრილი 10მგ</c:v>
                </c:pt>
                <c:pt idx="1">
                  <c:v>ენალაპრილი 20მგ</c:v>
                </c:pt>
                <c:pt idx="2">
                  <c:v>ლოსარტანი 100მგ</c:v>
                </c:pt>
                <c:pt idx="3">
                  <c:v>ამლოდიპინი 5მგ</c:v>
                </c:pt>
                <c:pt idx="4">
                  <c:v>მეტოპროლოლი 100მგ</c:v>
                </c:pt>
                <c:pt idx="5">
                  <c:v>ამიოდარონი 200მგ</c:v>
                </c:pt>
                <c:pt idx="6">
                  <c:v>იზოსორბიდის მონონიტრატი 40მგ</c:v>
                </c:pt>
                <c:pt idx="7">
                  <c:v>ვარფარინი 2.5მგ</c:v>
                </c:pt>
                <c:pt idx="8">
                  <c:v>კლოპიდოგრელი 75მგ</c:v>
                </c:pt>
                <c:pt idx="9">
                  <c:v>დიგოქსინი 0.25მგ</c:v>
                </c:pt>
                <c:pt idx="10">
                  <c:v>ფუროსემიდი 40მგ</c:v>
                </c:pt>
                <c:pt idx="11">
                  <c:v>სპირონოლაქტონი 25მგ</c:v>
                </c:pt>
                <c:pt idx="12">
                  <c:v>ატორვასტატინი 20მგ</c:v>
                </c:pt>
              </c:strCache>
            </c:strRef>
          </c:cat>
          <c:val>
            <c:numRef>
              <c:f>'გულ-სისხლძარღვთა-1'!$E$2:$E$14</c:f>
              <c:numCache>
                <c:formatCode>_(* #,##0_);_(* \(#,##0\);_(* "-"??_);_(@_)</c:formatCode>
                <c:ptCount val="13"/>
                <c:pt idx="0">
                  <c:v>43003</c:v>
                </c:pt>
                <c:pt idx="1">
                  <c:v>62600.6</c:v>
                </c:pt>
                <c:pt idx="2">
                  <c:v>44461.8</c:v>
                </c:pt>
                <c:pt idx="3">
                  <c:v>55445</c:v>
                </c:pt>
                <c:pt idx="4">
                  <c:v>28665.599999999999</c:v>
                </c:pt>
                <c:pt idx="5">
                  <c:v>12809.8</c:v>
                </c:pt>
                <c:pt idx="6">
                  <c:v>3011.4</c:v>
                </c:pt>
                <c:pt idx="7">
                  <c:v>20840.8</c:v>
                </c:pt>
                <c:pt idx="8">
                  <c:v>32143.4</c:v>
                </c:pt>
                <c:pt idx="9">
                  <c:v>15407.6</c:v>
                </c:pt>
                <c:pt idx="10">
                  <c:v>8689.4</c:v>
                </c:pt>
                <c:pt idx="11">
                  <c:v>44384.4</c:v>
                </c:pt>
                <c:pt idx="12">
                  <c:v>48634.2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A-4890-8D59-68FF9F9ED4CE}"/>
            </c:ext>
          </c:extLst>
        </c:ser>
        <c:ser>
          <c:idx val="1"/>
          <c:order val="1"/>
          <c:tx>
            <c:strRef>
              <c:f>'გულ-სისხლძარღვთა-1'!$F$1</c:f>
              <c:strCache>
                <c:ptCount val="1"/>
                <c:pt idx="0">
                  <c:v>2018-იანვარი-აგვისტო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'გულ-სისხლძარღვთა-1'!$B$2:$D$14</c:f>
              <c:strCache>
                <c:ptCount val="13"/>
                <c:pt idx="0">
                  <c:v>ენალაპრილი 10მგ</c:v>
                </c:pt>
                <c:pt idx="1">
                  <c:v>ენალაპრილი 20მგ</c:v>
                </c:pt>
                <c:pt idx="2">
                  <c:v>ლოსარტანი 100მგ</c:v>
                </c:pt>
                <c:pt idx="3">
                  <c:v>ამლოდიპინი 5მგ</c:v>
                </c:pt>
                <c:pt idx="4">
                  <c:v>მეტოპროლოლი 100მგ</c:v>
                </c:pt>
                <c:pt idx="5">
                  <c:v>ამიოდარონი 200მგ</c:v>
                </c:pt>
                <c:pt idx="6">
                  <c:v>იზოსორბიდის მონონიტრატი 40მგ</c:v>
                </c:pt>
                <c:pt idx="7">
                  <c:v>ვარფარინი 2.5მგ</c:v>
                </c:pt>
                <c:pt idx="8">
                  <c:v>კლოპიდოგრელი 75მგ</c:v>
                </c:pt>
                <c:pt idx="9">
                  <c:v>დიგოქსინი 0.25მგ</c:v>
                </c:pt>
                <c:pt idx="10">
                  <c:v>ფუროსემიდი 40მგ</c:v>
                </c:pt>
                <c:pt idx="11">
                  <c:v>სპირონოლაქტონი 25მგ</c:v>
                </c:pt>
                <c:pt idx="12">
                  <c:v>ატორვასტატინი 20მგ</c:v>
                </c:pt>
              </c:strCache>
            </c:strRef>
          </c:cat>
          <c:val>
            <c:numRef>
              <c:f>'გულ-სისხლძარღვთა-1'!$F$2:$F$14</c:f>
              <c:numCache>
                <c:formatCode>_(* #,##0_);_(* \(#,##0\);_(* "-"??_);_(@_)</c:formatCode>
                <c:ptCount val="13"/>
                <c:pt idx="0">
                  <c:v>46327.875</c:v>
                </c:pt>
                <c:pt idx="1">
                  <c:v>82328.125</c:v>
                </c:pt>
                <c:pt idx="2">
                  <c:v>62495.625</c:v>
                </c:pt>
                <c:pt idx="3">
                  <c:v>108836.625</c:v>
                </c:pt>
                <c:pt idx="4">
                  <c:v>37865.25</c:v>
                </c:pt>
                <c:pt idx="5">
                  <c:v>16399.375</c:v>
                </c:pt>
                <c:pt idx="6">
                  <c:v>3165.375</c:v>
                </c:pt>
                <c:pt idx="7">
                  <c:v>29990.375</c:v>
                </c:pt>
                <c:pt idx="8">
                  <c:v>38286.375</c:v>
                </c:pt>
                <c:pt idx="9">
                  <c:v>17747.875</c:v>
                </c:pt>
                <c:pt idx="10">
                  <c:v>13555.5</c:v>
                </c:pt>
                <c:pt idx="11">
                  <c:v>58376</c:v>
                </c:pt>
                <c:pt idx="12">
                  <c:v>66894.25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3A-4890-8D59-68FF9F9ED4CE}"/>
            </c:ext>
          </c:extLst>
        </c:ser>
        <c:ser>
          <c:idx val="2"/>
          <c:order val="2"/>
          <c:tx>
            <c:strRef>
              <c:f>'გულ-სისხლძარღვთა-1'!$G$1</c:f>
              <c:strCache>
                <c:ptCount val="1"/>
                <c:pt idx="0">
                  <c:v>2018-სექტემბერი-დეკემბერი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'გულ-სისხლძარღვთა-1'!$B$2:$D$14</c:f>
              <c:strCache>
                <c:ptCount val="13"/>
                <c:pt idx="0">
                  <c:v>ენალაპრილი 10მგ</c:v>
                </c:pt>
                <c:pt idx="1">
                  <c:v>ენალაპრილი 20მგ</c:v>
                </c:pt>
                <c:pt idx="2">
                  <c:v>ლოსარტანი 100მგ</c:v>
                </c:pt>
                <c:pt idx="3">
                  <c:v>ამლოდიპინი 5მგ</c:v>
                </c:pt>
                <c:pt idx="4">
                  <c:v>მეტოპროლოლი 100მგ</c:v>
                </c:pt>
                <c:pt idx="5">
                  <c:v>ამიოდარონი 200მგ</c:v>
                </c:pt>
                <c:pt idx="6">
                  <c:v>იზოსორბიდის მონონიტრატი 40მგ</c:v>
                </c:pt>
                <c:pt idx="7">
                  <c:v>ვარფარინი 2.5მგ</c:v>
                </c:pt>
                <c:pt idx="8">
                  <c:v>კლოპიდოგრელი 75მგ</c:v>
                </c:pt>
                <c:pt idx="9">
                  <c:v>დიგოქსინი 0.25მგ</c:v>
                </c:pt>
                <c:pt idx="10">
                  <c:v>ფუროსემიდი 40მგ</c:v>
                </c:pt>
                <c:pt idx="11">
                  <c:v>სპირონოლაქტონი 25მგ</c:v>
                </c:pt>
                <c:pt idx="12">
                  <c:v>ატორვასტატინი 20მგ</c:v>
                </c:pt>
              </c:strCache>
            </c:strRef>
          </c:cat>
          <c:val>
            <c:numRef>
              <c:f>'გულ-სისხლძარღვთა-1'!$G$2:$G$14</c:f>
              <c:numCache>
                <c:formatCode>_(* #,##0_);_(* \(#,##0\);_(* "-"??_);_(@_)</c:formatCode>
                <c:ptCount val="13"/>
                <c:pt idx="0">
                  <c:v>78850.5</c:v>
                </c:pt>
                <c:pt idx="1">
                  <c:v>138558</c:v>
                </c:pt>
                <c:pt idx="2">
                  <c:v>127965.25</c:v>
                </c:pt>
                <c:pt idx="3">
                  <c:v>216440.25</c:v>
                </c:pt>
                <c:pt idx="4">
                  <c:v>71543.75</c:v>
                </c:pt>
                <c:pt idx="5">
                  <c:v>36643.75</c:v>
                </c:pt>
                <c:pt idx="6">
                  <c:v>8302.5</c:v>
                </c:pt>
                <c:pt idx="7">
                  <c:v>66727.75</c:v>
                </c:pt>
                <c:pt idx="8">
                  <c:v>70734.5</c:v>
                </c:pt>
                <c:pt idx="9">
                  <c:v>32779.25</c:v>
                </c:pt>
                <c:pt idx="10">
                  <c:v>24737.25</c:v>
                </c:pt>
                <c:pt idx="11">
                  <c:v>107546.25</c:v>
                </c:pt>
                <c:pt idx="12">
                  <c:v>100176.75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3A-4890-8D59-68FF9F9ED4CE}"/>
            </c:ext>
          </c:extLst>
        </c:ser>
        <c:ser>
          <c:idx val="3"/>
          <c:order val="3"/>
          <c:tx>
            <c:strRef>
              <c:f>'გულ-სისხლძარღვთა-1'!$H$1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'გულ-სისხლძარღვთა-1'!$B$2:$D$14</c:f>
              <c:strCache>
                <c:ptCount val="13"/>
                <c:pt idx="0">
                  <c:v>ენალაპრილი 10მგ</c:v>
                </c:pt>
                <c:pt idx="1">
                  <c:v>ენალაპრილი 20მგ</c:v>
                </c:pt>
                <c:pt idx="2">
                  <c:v>ლოსარტანი 100მგ</c:v>
                </c:pt>
                <c:pt idx="3">
                  <c:v>ამლოდიპინი 5მგ</c:v>
                </c:pt>
                <c:pt idx="4">
                  <c:v>მეტოპროლოლი 100მგ</c:v>
                </c:pt>
                <c:pt idx="5">
                  <c:v>ამიოდარონი 200მგ</c:v>
                </c:pt>
                <c:pt idx="6">
                  <c:v>იზოსორბიდის მონონიტრატი 40მგ</c:v>
                </c:pt>
                <c:pt idx="7">
                  <c:v>ვარფარინი 2.5მგ</c:v>
                </c:pt>
                <c:pt idx="8">
                  <c:v>კლოპიდოგრელი 75მგ</c:v>
                </c:pt>
                <c:pt idx="9">
                  <c:v>დიგოქსინი 0.25მგ</c:v>
                </c:pt>
                <c:pt idx="10">
                  <c:v>ფუროსემიდი 40მგ</c:v>
                </c:pt>
                <c:pt idx="11">
                  <c:v>სპირონოლაქტონი 25მგ</c:v>
                </c:pt>
                <c:pt idx="12">
                  <c:v>ატორვასტატინი 20მგ</c:v>
                </c:pt>
              </c:strCache>
            </c:strRef>
          </c:cat>
          <c:val>
            <c:numRef>
              <c:f>'გულ-სისხლძარღვთა-1'!$H$2:$H$14</c:f>
              <c:numCache>
                <c:formatCode>_(* #,##0_);_(* \(#,##0\);_(* "-"??_);_(@_)</c:formatCode>
                <c:ptCount val="13"/>
                <c:pt idx="0">
                  <c:v>68161.5</c:v>
                </c:pt>
                <c:pt idx="1">
                  <c:v>136314</c:v>
                </c:pt>
                <c:pt idx="2">
                  <c:v>92294.25</c:v>
                </c:pt>
                <c:pt idx="3">
                  <c:v>227824</c:v>
                </c:pt>
                <c:pt idx="4">
                  <c:v>58414</c:v>
                </c:pt>
                <c:pt idx="5">
                  <c:v>40709</c:v>
                </c:pt>
                <c:pt idx="6">
                  <c:v>10258.5</c:v>
                </c:pt>
                <c:pt idx="7">
                  <c:v>75478</c:v>
                </c:pt>
                <c:pt idx="8">
                  <c:v>79779</c:v>
                </c:pt>
                <c:pt idx="9">
                  <c:v>34241.25</c:v>
                </c:pt>
                <c:pt idx="10">
                  <c:v>28414</c:v>
                </c:pt>
                <c:pt idx="11">
                  <c:v>119633.25</c:v>
                </c:pt>
                <c:pt idx="12">
                  <c:v>128898.75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3A-4890-8D59-68FF9F9ED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889085616"/>
        <c:axId val="1889083536"/>
      </c:barChart>
      <c:catAx>
        <c:axId val="1889085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9083536"/>
        <c:crosses val="autoZero"/>
        <c:auto val="1"/>
        <c:lblAlgn val="ctr"/>
        <c:lblOffset val="100"/>
        <c:noMultiLvlLbl val="0"/>
      </c:catAx>
      <c:valAx>
        <c:axId val="188908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908561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'გულ-სისხლძარღვთა-2'!$C$1</c:f>
              <c:strCache>
                <c:ptCount val="1"/>
                <c:pt idx="0">
                  <c:v>სავაჭრო დასახელება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'გულ-სისხლძარღვთა-2'!$B$2:$B$10</c:f>
              <c:strCache>
                <c:ptCount val="9"/>
                <c:pt idx="0">
                  <c:v>ატორვასტატინი 10მგ</c:v>
                </c:pt>
                <c:pt idx="1">
                  <c:v>ატორვასტატინი 40მგ</c:v>
                </c:pt>
                <c:pt idx="2">
                  <c:v>პერინდოპრილ /ამლოდიპინი 4მგ/5მგ ან 5მგ/5მგ</c:v>
                </c:pt>
                <c:pt idx="3">
                  <c:v>პერინდოპრილ /ამლოდიპინი 8მგ/10მგ ან 10მგ/10მგ</c:v>
                </c:pt>
                <c:pt idx="4">
                  <c:v>ლოსარტან/ჰიდროქლორთიაზიდი 50მგ/12.5მგ</c:v>
                </c:pt>
                <c:pt idx="5">
                  <c:v>ბისოპროლოლი 5მგ</c:v>
                </c:pt>
                <c:pt idx="6">
                  <c:v>ნებივოლოლი 5მგ</c:v>
                </c:pt>
                <c:pt idx="7">
                  <c:v>აცეტილსალიცილის მჟავა+მაგნიუმის ჰიდროქსიდი 75მგ</c:v>
                </c:pt>
                <c:pt idx="8">
                  <c:v>აცეტილსალიცილის მჟავა+მაგნიუმის ჰიდროქსიდი 150მგ</c:v>
                </c:pt>
              </c:strCache>
            </c:strRef>
          </c:cat>
          <c:val>
            <c:numRef>
              <c:f>'გულ-სისხლძარღვთა-2'!$C$2:$C$10</c:f>
            </c:numRef>
          </c:val>
          <c:extLst>
            <c:ext xmlns:c16="http://schemas.microsoft.com/office/drawing/2014/chart" uri="{C3380CC4-5D6E-409C-BE32-E72D297353CC}">
              <c16:uniqueId val="{00000000-3C5E-4001-989C-2D5273DBE459}"/>
            </c:ext>
          </c:extLst>
        </c:ser>
        <c:ser>
          <c:idx val="1"/>
          <c:order val="1"/>
          <c:tx>
            <c:strRef>
              <c:f>'გულ-სისხლძარღვთა-2'!$D$1</c:f>
              <c:strCache>
                <c:ptCount val="1"/>
                <c:pt idx="0">
                  <c:v>მოქმედების ვადა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'გულ-სისხლძარღვთა-2'!$B$2:$B$10</c:f>
              <c:strCache>
                <c:ptCount val="9"/>
                <c:pt idx="0">
                  <c:v>ატორვასტატინი 10მგ</c:v>
                </c:pt>
                <c:pt idx="1">
                  <c:v>ატორვასტატინი 40მგ</c:v>
                </c:pt>
                <c:pt idx="2">
                  <c:v>პერინდოპრილ /ამლოდიპინი 4მგ/5მგ ან 5მგ/5მგ</c:v>
                </c:pt>
                <c:pt idx="3">
                  <c:v>პერინდოპრილ /ამლოდიპინი 8მგ/10მგ ან 10მგ/10მგ</c:v>
                </c:pt>
                <c:pt idx="4">
                  <c:v>ლოსარტან/ჰიდროქლორთიაზიდი 50მგ/12.5მგ</c:v>
                </c:pt>
                <c:pt idx="5">
                  <c:v>ბისოპროლოლი 5მგ</c:v>
                </c:pt>
                <c:pt idx="6">
                  <c:v>ნებივოლოლი 5მგ</c:v>
                </c:pt>
                <c:pt idx="7">
                  <c:v>აცეტილსალიცილის მჟავა+მაგნიუმის ჰიდროქსიდი 75მგ</c:v>
                </c:pt>
                <c:pt idx="8">
                  <c:v>აცეტილსალიცილის მჟავა+მაგნიუმის ჰიდროქსიდი 150მგ</c:v>
                </c:pt>
              </c:strCache>
            </c:strRef>
          </c:cat>
          <c:val>
            <c:numRef>
              <c:f>'გულ-სისხლძარღვთა-2'!$D$2:$D$10</c:f>
            </c:numRef>
          </c:val>
          <c:extLst>
            <c:ext xmlns:c16="http://schemas.microsoft.com/office/drawing/2014/chart" uri="{C3380CC4-5D6E-409C-BE32-E72D297353CC}">
              <c16:uniqueId val="{00000001-3C5E-4001-989C-2D5273DBE459}"/>
            </c:ext>
          </c:extLst>
        </c:ser>
        <c:ser>
          <c:idx val="2"/>
          <c:order val="2"/>
          <c:tx>
            <c:strRef>
              <c:f>'გულ-სისხლძარღვთა-2'!$E$1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'გულ-სისხლძარღვთა-2'!$B$2:$B$10</c:f>
              <c:strCache>
                <c:ptCount val="9"/>
                <c:pt idx="0">
                  <c:v>ატორვასტატინი 10მგ</c:v>
                </c:pt>
                <c:pt idx="1">
                  <c:v>ატორვასტატინი 40მგ</c:v>
                </c:pt>
                <c:pt idx="2">
                  <c:v>პერინდოპრილ /ამლოდიპინი 4მგ/5მგ ან 5მგ/5მგ</c:v>
                </c:pt>
                <c:pt idx="3">
                  <c:v>პერინდოპრილ /ამლოდიპინი 8მგ/10მგ ან 10მგ/10მგ</c:v>
                </c:pt>
                <c:pt idx="4">
                  <c:v>ლოსარტან/ჰიდროქლორთიაზიდი 50მგ/12.5მგ</c:v>
                </c:pt>
                <c:pt idx="5">
                  <c:v>ბისოპროლოლი 5მგ</c:v>
                </c:pt>
                <c:pt idx="6">
                  <c:v>ნებივოლოლი 5მგ</c:v>
                </c:pt>
                <c:pt idx="7">
                  <c:v>აცეტილსალიცილის მჟავა+მაგნიუმის ჰიდროქსიდი 75მგ</c:v>
                </c:pt>
                <c:pt idx="8">
                  <c:v>აცეტილსალიცილის მჟავა+მაგნიუმის ჰიდროქსიდი 150მგ</c:v>
                </c:pt>
              </c:strCache>
            </c:strRef>
          </c:cat>
          <c:val>
            <c:numRef>
              <c:f>'გულ-სისხლძარღვთა-2'!$E$2:$E$10</c:f>
            </c:numRef>
          </c:val>
          <c:extLst>
            <c:ext xmlns:c16="http://schemas.microsoft.com/office/drawing/2014/chart" uri="{C3380CC4-5D6E-409C-BE32-E72D297353CC}">
              <c16:uniqueId val="{00000002-3C5E-4001-989C-2D5273DBE459}"/>
            </c:ext>
          </c:extLst>
        </c:ser>
        <c:ser>
          <c:idx val="3"/>
          <c:order val="3"/>
          <c:tx>
            <c:strRef>
              <c:f>'გულ-სისხლძარღვთა-2'!$F$1</c:f>
              <c:strCache>
                <c:ptCount val="1"/>
                <c:pt idx="0">
                  <c:v>2018-იანვარი-აგვისტო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'გულ-სისხლძარღვთა-2'!$B$2:$B$10</c:f>
              <c:strCache>
                <c:ptCount val="9"/>
                <c:pt idx="0">
                  <c:v>ატორვასტატინი 10მგ</c:v>
                </c:pt>
                <c:pt idx="1">
                  <c:v>ატორვასტატინი 40მგ</c:v>
                </c:pt>
                <c:pt idx="2">
                  <c:v>პერინდოპრილ /ამლოდიპინი 4მგ/5მგ ან 5მგ/5მგ</c:v>
                </c:pt>
                <c:pt idx="3">
                  <c:v>პერინდოპრილ /ამლოდიპინი 8მგ/10მგ ან 10მგ/10მგ</c:v>
                </c:pt>
                <c:pt idx="4">
                  <c:v>ლოსარტან/ჰიდროქლორთიაზიდი 50მგ/12.5მგ</c:v>
                </c:pt>
                <c:pt idx="5">
                  <c:v>ბისოპროლოლი 5მგ</c:v>
                </c:pt>
                <c:pt idx="6">
                  <c:v>ნებივოლოლი 5მგ</c:v>
                </c:pt>
                <c:pt idx="7">
                  <c:v>აცეტილსალიცილის მჟავა+მაგნიუმის ჰიდროქსიდი 75მგ</c:v>
                </c:pt>
                <c:pt idx="8">
                  <c:v>აცეტილსალიცილის მჟავა+მაგნიუმის ჰიდროქსიდი 150მგ</c:v>
                </c:pt>
              </c:strCache>
            </c:strRef>
          </c:cat>
          <c:val>
            <c:numRef>
              <c:f>'გულ-სისხლძარღვთა-2'!$F$2:$F$10</c:f>
            </c:numRef>
          </c:val>
          <c:extLst>
            <c:ext xmlns:c16="http://schemas.microsoft.com/office/drawing/2014/chart" uri="{C3380CC4-5D6E-409C-BE32-E72D297353CC}">
              <c16:uniqueId val="{00000003-3C5E-4001-989C-2D5273DBE459}"/>
            </c:ext>
          </c:extLst>
        </c:ser>
        <c:ser>
          <c:idx val="4"/>
          <c:order val="4"/>
          <c:tx>
            <c:strRef>
              <c:f>'გულ-სისხლძარღვთა-2'!$G$1</c:f>
              <c:strCache>
                <c:ptCount val="1"/>
                <c:pt idx="0">
                  <c:v>2018-სექტემბერი-დეკემბერი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'გულ-სისხლძარღვთა-2'!$B$2:$B$10</c:f>
              <c:strCache>
                <c:ptCount val="9"/>
                <c:pt idx="0">
                  <c:v>ატორვასტატინი 10მგ</c:v>
                </c:pt>
                <c:pt idx="1">
                  <c:v>ატორვასტატინი 40მგ</c:v>
                </c:pt>
                <c:pt idx="2">
                  <c:v>პერინდოპრილ /ამლოდიპინი 4მგ/5მგ ან 5მგ/5მგ</c:v>
                </c:pt>
                <c:pt idx="3">
                  <c:v>პერინდოპრილ /ამლოდიპინი 8მგ/10მგ ან 10მგ/10მგ</c:v>
                </c:pt>
                <c:pt idx="4">
                  <c:v>ლოსარტან/ჰიდროქლორთიაზიდი 50მგ/12.5მგ</c:v>
                </c:pt>
                <c:pt idx="5">
                  <c:v>ბისოპროლოლი 5მგ</c:v>
                </c:pt>
                <c:pt idx="6">
                  <c:v>ნებივოლოლი 5მგ</c:v>
                </c:pt>
                <c:pt idx="7">
                  <c:v>აცეტილსალიცილის მჟავა+მაგნიუმის ჰიდროქსიდი 75მგ</c:v>
                </c:pt>
                <c:pt idx="8">
                  <c:v>აცეტილსალიცილის მჟავა+მაგნიუმის ჰიდროქსიდი 150მგ</c:v>
                </c:pt>
              </c:strCache>
            </c:strRef>
          </c:cat>
          <c:val>
            <c:numRef>
              <c:f>'გულ-სისხლძარღვთა-2'!$G$2:$G$10</c:f>
              <c:numCache>
                <c:formatCode>_(* #,##0_);_(* \(#,##0\);_(* "-"??_);_(@_)</c:formatCode>
                <c:ptCount val="9"/>
                <c:pt idx="0">
                  <c:v>99656.5</c:v>
                </c:pt>
                <c:pt idx="1">
                  <c:v>5203.5</c:v>
                </c:pt>
                <c:pt idx="2">
                  <c:v>0</c:v>
                </c:pt>
                <c:pt idx="3">
                  <c:v>92</c:v>
                </c:pt>
                <c:pt idx="4">
                  <c:v>14476</c:v>
                </c:pt>
                <c:pt idx="5">
                  <c:v>152</c:v>
                </c:pt>
                <c:pt idx="6">
                  <c:v>5620</c:v>
                </c:pt>
                <c:pt idx="7">
                  <c:v>16901</c:v>
                </c:pt>
                <c:pt idx="8">
                  <c:v>2114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5E-4001-989C-2D5273DBE459}"/>
            </c:ext>
          </c:extLst>
        </c:ser>
        <c:ser>
          <c:idx val="5"/>
          <c:order val="5"/>
          <c:tx>
            <c:strRef>
              <c:f>'გულ-სისხლძარღვთა-2'!$H$1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'გულ-სისხლძარღვთა-2'!$B$2:$B$10</c:f>
              <c:strCache>
                <c:ptCount val="9"/>
                <c:pt idx="0">
                  <c:v>ატორვასტატინი 10მგ</c:v>
                </c:pt>
                <c:pt idx="1">
                  <c:v>ატორვასტატინი 40მგ</c:v>
                </c:pt>
                <c:pt idx="2">
                  <c:v>პერინდოპრილ /ამლოდიპინი 4მგ/5მგ ან 5მგ/5მგ</c:v>
                </c:pt>
                <c:pt idx="3">
                  <c:v>პერინდოპრილ /ამლოდიპინი 8მგ/10მგ ან 10მგ/10მგ</c:v>
                </c:pt>
                <c:pt idx="4">
                  <c:v>ლოსარტან/ჰიდროქლორთიაზიდი 50მგ/12.5მგ</c:v>
                </c:pt>
                <c:pt idx="5">
                  <c:v>ბისოპროლოლი 5მგ</c:v>
                </c:pt>
                <c:pt idx="6">
                  <c:v>ნებივოლოლი 5მგ</c:v>
                </c:pt>
                <c:pt idx="7">
                  <c:v>აცეტილსალიცილის მჟავა+მაგნიუმის ჰიდროქსიდი 75მგ</c:v>
                </c:pt>
                <c:pt idx="8">
                  <c:v>აცეტილსალიცილის მჟავა+მაგნიუმის ჰიდროქსიდი 150მგ</c:v>
                </c:pt>
              </c:strCache>
            </c:strRef>
          </c:cat>
          <c:val>
            <c:numRef>
              <c:f>'გულ-სისხლძარღვთა-2'!$H$2:$H$10</c:f>
              <c:numCache>
                <c:formatCode>_(* #,##0_);_(* \(#,##0\);_(* "-"??_);_(@_)</c:formatCode>
                <c:ptCount val="9"/>
                <c:pt idx="0">
                  <c:v>67065.75</c:v>
                </c:pt>
                <c:pt idx="1">
                  <c:v>13615.75</c:v>
                </c:pt>
                <c:pt idx="2">
                  <c:v>22701.5</c:v>
                </c:pt>
                <c:pt idx="3">
                  <c:v>41466.75</c:v>
                </c:pt>
                <c:pt idx="4">
                  <c:v>83265.75</c:v>
                </c:pt>
                <c:pt idx="5">
                  <c:v>34770.75</c:v>
                </c:pt>
                <c:pt idx="6">
                  <c:v>35194.75</c:v>
                </c:pt>
                <c:pt idx="7">
                  <c:v>132485.75</c:v>
                </c:pt>
                <c:pt idx="8">
                  <c:v>21529.5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5E-4001-989C-2D5273DBE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011760"/>
        <c:axId val="2011001360"/>
      </c:barChart>
      <c:catAx>
        <c:axId val="201101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001360"/>
        <c:crosses val="autoZero"/>
        <c:auto val="1"/>
        <c:lblAlgn val="ctr"/>
        <c:lblOffset val="100"/>
        <c:noMultiLvlLbl val="0"/>
      </c:catAx>
      <c:valAx>
        <c:axId val="201100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01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დიაბეტი!$C$1</c:f>
              <c:strCache>
                <c:ptCount val="1"/>
                <c:pt idx="0">
                  <c:v>სავაჭრო დასახელება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დიაბეტი!$B$2:$B$26</c:f>
              <c:strCache>
                <c:ptCount val="3"/>
                <c:pt idx="0">
                  <c:v>მეტფორმინი 1000მგ</c:v>
                </c:pt>
                <c:pt idx="1">
                  <c:v>გლიკლაზიდი 60მგ</c:v>
                </c:pt>
                <c:pt idx="2">
                  <c:v>გლიმეპირიდი 2მგ</c:v>
                </c:pt>
              </c:strCache>
            </c:strRef>
          </c:cat>
          <c:val>
            <c:numRef>
              <c:f>დიაბეტი!$C$2:$C$26</c:f>
            </c:numRef>
          </c:val>
          <c:extLst>
            <c:ext xmlns:c16="http://schemas.microsoft.com/office/drawing/2014/chart" uri="{C3380CC4-5D6E-409C-BE32-E72D297353CC}">
              <c16:uniqueId val="{00000000-BFC5-4859-B760-3D8863396263}"/>
            </c:ext>
          </c:extLst>
        </c:ser>
        <c:ser>
          <c:idx val="1"/>
          <c:order val="1"/>
          <c:tx>
            <c:strRef>
              <c:f>დიაბეტი!$D$1</c:f>
              <c:strCache>
                <c:ptCount val="1"/>
                <c:pt idx="0">
                  <c:v>მოქმედების ვადა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დიაბეტი!$B$2:$B$26</c:f>
              <c:strCache>
                <c:ptCount val="3"/>
                <c:pt idx="0">
                  <c:v>მეტფორმინი 1000მგ</c:v>
                </c:pt>
                <c:pt idx="1">
                  <c:v>გლიკლაზიდი 60მგ</c:v>
                </c:pt>
                <c:pt idx="2">
                  <c:v>გლიმეპირიდი 2მგ</c:v>
                </c:pt>
              </c:strCache>
            </c:strRef>
          </c:cat>
          <c:val>
            <c:numRef>
              <c:f>დიაბეტი!$D$2:$D$26</c:f>
            </c:numRef>
          </c:val>
          <c:extLst>
            <c:ext xmlns:c16="http://schemas.microsoft.com/office/drawing/2014/chart" uri="{C3380CC4-5D6E-409C-BE32-E72D297353CC}">
              <c16:uniqueId val="{00000001-BFC5-4859-B760-3D8863396263}"/>
            </c:ext>
          </c:extLst>
        </c:ser>
        <c:ser>
          <c:idx val="2"/>
          <c:order val="2"/>
          <c:tx>
            <c:strRef>
              <c:f>დიაბეტი!$E$1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დიაბეტი!$B$2:$B$26</c:f>
              <c:strCache>
                <c:ptCount val="3"/>
                <c:pt idx="0">
                  <c:v>მეტფორმინი 1000მგ</c:v>
                </c:pt>
                <c:pt idx="1">
                  <c:v>გლიკლაზიდი 60მგ</c:v>
                </c:pt>
                <c:pt idx="2">
                  <c:v>გლიმეპირიდი 2მგ</c:v>
                </c:pt>
              </c:strCache>
            </c:strRef>
          </c:cat>
          <c:val>
            <c:numRef>
              <c:f>დიაბეტი!$E$2:$E$26</c:f>
              <c:numCache>
                <c:formatCode>_(* #,##0_);_(* \(#,##0\);_(* "-"??_);_(@_)</c:formatCode>
                <c:ptCount val="3"/>
                <c:pt idx="0">
                  <c:v>111386.8</c:v>
                </c:pt>
                <c:pt idx="1">
                  <c:v>29537.8</c:v>
                </c:pt>
                <c:pt idx="2">
                  <c:v>32737.8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C5-4859-B760-3D8863396263}"/>
            </c:ext>
          </c:extLst>
        </c:ser>
        <c:ser>
          <c:idx val="3"/>
          <c:order val="3"/>
          <c:tx>
            <c:strRef>
              <c:f>დიაბეტი!$F$1</c:f>
              <c:strCache>
                <c:ptCount val="1"/>
                <c:pt idx="0">
                  <c:v>2018-იანვარი-აგვისტო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დიაბეტი!$B$2:$B$26</c:f>
              <c:strCache>
                <c:ptCount val="3"/>
                <c:pt idx="0">
                  <c:v>მეტფორმინი 1000მგ</c:v>
                </c:pt>
                <c:pt idx="1">
                  <c:v>გლიკლაზიდი 60მგ</c:v>
                </c:pt>
                <c:pt idx="2">
                  <c:v>გლიმეპირიდი 2მგ</c:v>
                </c:pt>
              </c:strCache>
            </c:strRef>
          </c:cat>
          <c:val>
            <c:numRef>
              <c:f>დიაბეტი!$F$2:$F$26</c:f>
              <c:numCache>
                <c:formatCode>_(* #,##0_);_(* \(#,##0\);_(* "-"??_);_(@_)</c:formatCode>
                <c:ptCount val="3"/>
                <c:pt idx="0">
                  <c:v>170083.625</c:v>
                </c:pt>
                <c:pt idx="1">
                  <c:v>59391.375</c:v>
                </c:pt>
                <c:pt idx="2">
                  <c:v>54173.125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C5-4859-B760-3D8863396263}"/>
            </c:ext>
          </c:extLst>
        </c:ser>
        <c:ser>
          <c:idx val="4"/>
          <c:order val="4"/>
          <c:tx>
            <c:strRef>
              <c:f>დიაბეტი!$G$1</c:f>
              <c:strCache>
                <c:ptCount val="1"/>
                <c:pt idx="0">
                  <c:v>2018-სექტემბერი-დეკემბერი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დიაბეტი!$B$2:$B$26</c:f>
              <c:strCache>
                <c:ptCount val="3"/>
                <c:pt idx="0">
                  <c:v>მეტფორმინი 1000მგ</c:v>
                </c:pt>
                <c:pt idx="1">
                  <c:v>გლიკლაზიდი 60მგ</c:v>
                </c:pt>
                <c:pt idx="2">
                  <c:v>გლიმეპირიდი 2მგ</c:v>
                </c:pt>
              </c:strCache>
            </c:strRef>
          </c:cat>
          <c:val>
            <c:numRef>
              <c:f>დიაბეტი!$G$2:$G$26</c:f>
              <c:numCache>
                <c:formatCode>_(* #,##0_);_(* \(#,##0\);_(* "-"??_);_(@_)</c:formatCode>
                <c:ptCount val="3"/>
                <c:pt idx="0">
                  <c:v>340627</c:v>
                </c:pt>
                <c:pt idx="1">
                  <c:v>107459.75</c:v>
                </c:pt>
                <c:pt idx="2">
                  <c:v>105344.25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C5-4859-B760-3D8863396263}"/>
            </c:ext>
          </c:extLst>
        </c:ser>
        <c:ser>
          <c:idx val="5"/>
          <c:order val="5"/>
          <c:tx>
            <c:strRef>
              <c:f>დიაბეტი!$H$1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დიაბეტი!$B$2:$B$26</c:f>
              <c:strCache>
                <c:ptCount val="3"/>
                <c:pt idx="0">
                  <c:v>მეტფორმინი 1000მგ</c:v>
                </c:pt>
                <c:pt idx="1">
                  <c:v>გლიკლაზიდი 60მგ</c:v>
                </c:pt>
                <c:pt idx="2">
                  <c:v>გლიმეპირიდი 2მგ</c:v>
                </c:pt>
              </c:strCache>
            </c:strRef>
          </c:cat>
          <c:val>
            <c:numRef>
              <c:f>დიაბეტი!$H$2:$H$26</c:f>
              <c:numCache>
                <c:formatCode>_(* #,##0_);_(* \(#,##0\);_(* "-"??_);_(@_)</c:formatCode>
                <c:ptCount val="3"/>
                <c:pt idx="0">
                  <c:v>413211</c:v>
                </c:pt>
                <c:pt idx="1">
                  <c:v>148344.75</c:v>
                </c:pt>
                <c:pt idx="2">
                  <c:v>131738.25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C5-4859-B760-3D886339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016336"/>
        <c:axId val="2011006768"/>
      </c:barChart>
      <c:catAx>
        <c:axId val="201101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006768"/>
        <c:crosses val="autoZero"/>
        <c:auto val="1"/>
        <c:lblAlgn val="ctr"/>
        <c:lblOffset val="100"/>
        <c:noMultiLvlLbl val="0"/>
      </c:catAx>
      <c:valAx>
        <c:axId val="201100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016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ფარისებრი!$C$1</c:f>
              <c:strCache>
                <c:ptCount val="1"/>
                <c:pt idx="0">
                  <c:v>სავაჭრო დასახელება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ფარისებრი!$B$2:$B$28</c:f>
              <c:strCache>
                <c:ptCount val="2"/>
                <c:pt idx="0">
                  <c:v>თიამაზოლი 5მგ</c:v>
                </c:pt>
                <c:pt idx="1">
                  <c:v>ლევოთიროქსინი  50მკგ</c:v>
                </c:pt>
              </c:strCache>
            </c:strRef>
          </c:cat>
          <c:val>
            <c:numRef>
              <c:f>ფარისებრი!$C$2:$C$28</c:f>
            </c:numRef>
          </c:val>
          <c:extLst>
            <c:ext xmlns:c16="http://schemas.microsoft.com/office/drawing/2014/chart" uri="{C3380CC4-5D6E-409C-BE32-E72D297353CC}">
              <c16:uniqueId val="{00000000-E9A5-454A-81B7-6AAAF5D93FDE}"/>
            </c:ext>
          </c:extLst>
        </c:ser>
        <c:ser>
          <c:idx val="1"/>
          <c:order val="1"/>
          <c:tx>
            <c:strRef>
              <c:f>ფარისებრი!$D$1</c:f>
              <c:strCache>
                <c:ptCount val="1"/>
                <c:pt idx="0">
                  <c:v>მოქმედების ვადა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ფარისებრი!$B$2:$B$28</c:f>
              <c:strCache>
                <c:ptCount val="2"/>
                <c:pt idx="0">
                  <c:v>თიამაზოლი 5მგ</c:v>
                </c:pt>
                <c:pt idx="1">
                  <c:v>ლევოთიროქსინი  50მკგ</c:v>
                </c:pt>
              </c:strCache>
            </c:strRef>
          </c:cat>
          <c:val>
            <c:numRef>
              <c:f>ფარისებრი!$D$2:$D$28</c:f>
            </c:numRef>
          </c:val>
          <c:extLst>
            <c:ext xmlns:c16="http://schemas.microsoft.com/office/drawing/2014/chart" uri="{C3380CC4-5D6E-409C-BE32-E72D297353CC}">
              <c16:uniqueId val="{00000001-E9A5-454A-81B7-6AAAF5D93FDE}"/>
            </c:ext>
          </c:extLst>
        </c:ser>
        <c:ser>
          <c:idx val="2"/>
          <c:order val="2"/>
          <c:tx>
            <c:strRef>
              <c:f>ფარისებრი!$E$1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ფარისებრი!$B$2:$B$28</c:f>
              <c:strCache>
                <c:ptCount val="2"/>
                <c:pt idx="0">
                  <c:v>თიამაზოლი 5მგ</c:v>
                </c:pt>
                <c:pt idx="1">
                  <c:v>ლევოთიროქსინი  50მკგ</c:v>
                </c:pt>
              </c:strCache>
            </c:strRef>
          </c:cat>
          <c:val>
            <c:numRef>
              <c:f>ფარისებრი!$E$2:$E$28</c:f>
              <c:numCache>
                <c:formatCode>_(* #,##0_);_(* \(#,##0\);_(* "-"??_);_(@_)</c:formatCode>
                <c:ptCount val="2"/>
                <c:pt idx="0">
                  <c:v>3042.2</c:v>
                </c:pt>
                <c:pt idx="1">
                  <c:v>28454.799999999999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A5-454A-81B7-6AAAF5D93FDE}"/>
            </c:ext>
          </c:extLst>
        </c:ser>
        <c:ser>
          <c:idx val="3"/>
          <c:order val="3"/>
          <c:tx>
            <c:strRef>
              <c:f>ფარისებრი!$F$1</c:f>
              <c:strCache>
                <c:ptCount val="1"/>
                <c:pt idx="0">
                  <c:v>2018-იანვარი-აგვისტო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ფარისებრი!$B$2:$B$28</c:f>
              <c:strCache>
                <c:ptCount val="2"/>
                <c:pt idx="0">
                  <c:v>თიამაზოლი 5მგ</c:v>
                </c:pt>
                <c:pt idx="1">
                  <c:v>ლევოთიროქსინი  50მკგ</c:v>
                </c:pt>
              </c:strCache>
            </c:strRef>
          </c:cat>
          <c:val>
            <c:numRef>
              <c:f>ფარისებრი!$F$2:$F$28</c:f>
              <c:numCache>
                <c:formatCode>_(* #,##0_);_(* \(#,##0\);_(* "-"??_);_(@_)</c:formatCode>
                <c:ptCount val="2"/>
                <c:pt idx="0">
                  <c:v>3862.625</c:v>
                </c:pt>
                <c:pt idx="1">
                  <c:v>36332.375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A5-454A-81B7-6AAAF5D93FDE}"/>
            </c:ext>
          </c:extLst>
        </c:ser>
        <c:ser>
          <c:idx val="4"/>
          <c:order val="4"/>
          <c:tx>
            <c:strRef>
              <c:f>ფარისებრი!$G$1</c:f>
              <c:strCache>
                <c:ptCount val="1"/>
                <c:pt idx="0">
                  <c:v>2018-სექტემბერი-დეკემბერი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ფარისებრი!$B$2:$B$28</c:f>
              <c:strCache>
                <c:ptCount val="2"/>
                <c:pt idx="0">
                  <c:v>თიამაზოლი 5მგ</c:v>
                </c:pt>
                <c:pt idx="1">
                  <c:v>ლევოთიროქსინი  50მკგ</c:v>
                </c:pt>
              </c:strCache>
            </c:strRef>
          </c:cat>
          <c:val>
            <c:numRef>
              <c:f>ფარისებრი!$G$2:$G$28</c:f>
              <c:numCache>
                <c:formatCode>_(* #,##0_);_(* \(#,##0\);_(* "-"??_);_(@_)</c:formatCode>
                <c:ptCount val="2"/>
                <c:pt idx="0">
                  <c:v>8559.25</c:v>
                </c:pt>
                <c:pt idx="1">
                  <c:v>89779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A5-454A-81B7-6AAAF5D93FDE}"/>
            </c:ext>
          </c:extLst>
        </c:ser>
        <c:ser>
          <c:idx val="5"/>
          <c:order val="5"/>
          <c:tx>
            <c:strRef>
              <c:f>ფარისებრი!$H$1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ფარისებრი!$B$2:$B$28</c:f>
              <c:strCache>
                <c:ptCount val="2"/>
                <c:pt idx="0">
                  <c:v>თიამაზოლი 5მგ</c:v>
                </c:pt>
                <c:pt idx="1">
                  <c:v>ლევოთიროქსინი  50მკგ</c:v>
                </c:pt>
              </c:strCache>
            </c:strRef>
          </c:cat>
          <c:val>
            <c:numRef>
              <c:f>ფარისებრი!$H$2:$H$28</c:f>
              <c:numCache>
                <c:formatCode>_(* #,##0_);_(* \(#,##0\);_(* "-"??_);_(@_)</c:formatCode>
                <c:ptCount val="2"/>
                <c:pt idx="0">
                  <c:v>7996.333333333333</c:v>
                </c:pt>
                <c:pt idx="1">
                  <c:v>101791.75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A5-454A-81B7-6AAAF5D93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31096688"/>
        <c:axId val="1931098352"/>
      </c:barChart>
      <c:catAx>
        <c:axId val="193109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1098352"/>
        <c:crosses val="autoZero"/>
        <c:auto val="1"/>
        <c:lblAlgn val="ctr"/>
        <c:lblOffset val="100"/>
        <c:noMultiLvlLbl val="0"/>
      </c:catAx>
      <c:valAx>
        <c:axId val="193109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109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ფილტვი!$C$1</c:f>
              <c:strCache>
                <c:ptCount val="1"/>
                <c:pt idx="0">
                  <c:v>სავაჭრო დასახელება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ფილტვი!$B$2:$B$35</c:f>
              <c:strCache>
                <c:ptCount val="7"/>
                <c:pt idx="0">
                  <c:v>ბუდესონიდი 0.5მგ/2მლ</c:v>
                </c:pt>
                <c:pt idx="1">
                  <c:v>ალბუტეროლი  2.5მგ/0.5მლ 0.5მლ</c:v>
                </c:pt>
                <c:pt idx="2">
                  <c:v>სალმეტეროლი/ფლუტიკაზონი   50მკგ/500მკგ საინჰალაციო ფხვნილი                   </c:v>
                </c:pt>
                <c:pt idx="3">
                  <c:v>სალმეტეროლი/ფლუტიკაზონი   50მკგ/250მკგ საინჰალაციო ფხვნილი                   </c:v>
                </c:pt>
                <c:pt idx="4">
                  <c:v>სალბუტამოლი 100მკგ დოზა საინჰალაციო აეროზოლი</c:v>
                </c:pt>
                <c:pt idx="5">
                  <c:v>აკლიდინიუმის ბრომიდი საინჰალაციო ფხვნილი (კაფსულა) ინჰალატორთან ერთად/322მკგ/დოზა </c:v>
                </c:pt>
                <c:pt idx="6">
                  <c:v>მეთილპრედნიზოლონი 16მგ</c:v>
                </c:pt>
              </c:strCache>
            </c:strRef>
          </c:cat>
          <c:val>
            <c:numRef>
              <c:f>ფილტვი!$C$2:$C$35</c:f>
            </c:numRef>
          </c:val>
          <c:extLst>
            <c:ext xmlns:c16="http://schemas.microsoft.com/office/drawing/2014/chart" uri="{C3380CC4-5D6E-409C-BE32-E72D297353CC}">
              <c16:uniqueId val="{00000000-D18D-401C-8ACC-5C1CCD9870A2}"/>
            </c:ext>
          </c:extLst>
        </c:ser>
        <c:ser>
          <c:idx val="1"/>
          <c:order val="1"/>
          <c:tx>
            <c:strRef>
              <c:f>ფილტვი!$D$1</c:f>
              <c:strCache>
                <c:ptCount val="1"/>
                <c:pt idx="0">
                  <c:v>მოქმედების ვადა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ფილტვი!$B$2:$B$35</c:f>
              <c:strCache>
                <c:ptCount val="7"/>
                <c:pt idx="0">
                  <c:v>ბუდესონიდი 0.5მგ/2მლ</c:v>
                </c:pt>
                <c:pt idx="1">
                  <c:v>ალბუტეროლი  2.5მგ/0.5მლ 0.5მლ</c:v>
                </c:pt>
                <c:pt idx="2">
                  <c:v>სალმეტეროლი/ფლუტიკაზონი   50მკგ/500მკგ საინჰალაციო ფხვნილი                   </c:v>
                </c:pt>
                <c:pt idx="3">
                  <c:v>სალმეტეროლი/ფლუტიკაზონი   50მკგ/250მკგ საინჰალაციო ფხვნილი                   </c:v>
                </c:pt>
                <c:pt idx="4">
                  <c:v>სალბუტამოლი 100მკგ დოზა საინჰალაციო აეროზოლი</c:v>
                </c:pt>
                <c:pt idx="5">
                  <c:v>აკლიდინიუმის ბრომიდი საინჰალაციო ფხვნილი (კაფსულა) ინჰალატორთან ერთად/322მკგ/დოზა </c:v>
                </c:pt>
                <c:pt idx="6">
                  <c:v>მეთილპრედნიზოლონი 16მგ</c:v>
                </c:pt>
              </c:strCache>
            </c:strRef>
          </c:cat>
          <c:val>
            <c:numRef>
              <c:f>ფილტვი!$D$2:$D$35</c:f>
            </c:numRef>
          </c:val>
          <c:extLst>
            <c:ext xmlns:c16="http://schemas.microsoft.com/office/drawing/2014/chart" uri="{C3380CC4-5D6E-409C-BE32-E72D297353CC}">
              <c16:uniqueId val="{00000001-D18D-401C-8ACC-5C1CCD9870A2}"/>
            </c:ext>
          </c:extLst>
        </c:ser>
        <c:ser>
          <c:idx val="2"/>
          <c:order val="2"/>
          <c:tx>
            <c:strRef>
              <c:f>ფილტვი!$E$1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ფილტვი!$B$2:$B$35</c:f>
              <c:strCache>
                <c:ptCount val="7"/>
                <c:pt idx="0">
                  <c:v>ბუდესონიდი 0.5მგ/2მლ</c:v>
                </c:pt>
                <c:pt idx="1">
                  <c:v>ალბუტეროლი  2.5მგ/0.5მლ 0.5მლ</c:v>
                </c:pt>
                <c:pt idx="2">
                  <c:v>სალმეტეროლი/ფლუტიკაზონი   50მკგ/500მკგ საინჰალაციო ფხვნილი                   </c:v>
                </c:pt>
                <c:pt idx="3">
                  <c:v>სალმეტეროლი/ფლუტიკაზონი   50მკგ/250მკგ საინჰალაციო ფხვნილი                   </c:v>
                </c:pt>
                <c:pt idx="4">
                  <c:v>სალბუტამოლი 100მკგ დოზა საინჰალაციო აეროზოლი</c:v>
                </c:pt>
                <c:pt idx="5">
                  <c:v>აკლიდინიუმის ბრომიდი საინჰალაციო ფხვნილი (კაფსულა) ინჰალატორთან ერთად/322მკგ/დოზა </c:v>
                </c:pt>
                <c:pt idx="6">
                  <c:v>მეთილპრედნიზოლონი 16მგ</c:v>
                </c:pt>
              </c:strCache>
            </c:strRef>
          </c:cat>
          <c:val>
            <c:numRef>
              <c:f>ფილტვი!$E$2:$E$35</c:f>
              <c:numCache>
                <c:formatCode>_(* #,##0_);_(* \(#,##0\);_(* "-"??_);_(@_)</c:formatCode>
                <c:ptCount val="7"/>
                <c:pt idx="0">
                  <c:v>754.2</c:v>
                </c:pt>
                <c:pt idx="1">
                  <c:v>105.2</c:v>
                </c:pt>
                <c:pt idx="2">
                  <c:v>952.6</c:v>
                </c:pt>
                <c:pt idx="4">
                  <c:v>401.4</c:v>
                </c:pt>
                <c:pt idx="5">
                  <c:v>53.2</c:v>
                </c:pt>
                <c:pt idx="6">
                  <c:v>458.2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8D-401C-8ACC-5C1CCD9870A2}"/>
            </c:ext>
          </c:extLst>
        </c:ser>
        <c:ser>
          <c:idx val="3"/>
          <c:order val="3"/>
          <c:tx>
            <c:strRef>
              <c:f>ფილტვი!$F$1</c:f>
              <c:strCache>
                <c:ptCount val="1"/>
                <c:pt idx="0">
                  <c:v>2018-იანვარი-აგვისტო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ფილტვი!$B$2:$B$35</c:f>
              <c:strCache>
                <c:ptCount val="7"/>
                <c:pt idx="0">
                  <c:v>ბუდესონიდი 0.5მგ/2მლ</c:v>
                </c:pt>
                <c:pt idx="1">
                  <c:v>ალბუტეროლი  2.5მგ/0.5მლ 0.5მლ</c:v>
                </c:pt>
                <c:pt idx="2">
                  <c:v>სალმეტეროლი/ფლუტიკაზონი   50მკგ/500მკგ საინჰალაციო ფხვნილი                   </c:v>
                </c:pt>
                <c:pt idx="3">
                  <c:v>სალმეტეროლი/ფლუტიკაზონი   50მკგ/250მკგ საინჰალაციო ფხვნილი                   </c:v>
                </c:pt>
                <c:pt idx="4">
                  <c:v>სალბუტამოლი 100მკგ დოზა საინჰალაციო აეროზოლი</c:v>
                </c:pt>
                <c:pt idx="5">
                  <c:v>აკლიდინიუმის ბრომიდი საინჰალაციო ფხვნილი (კაფსულა) ინჰალატორთან ერთად/322მკგ/დოზა </c:v>
                </c:pt>
                <c:pt idx="6">
                  <c:v>მეთილპრედნიზოლონი 16მგ</c:v>
                </c:pt>
              </c:strCache>
            </c:strRef>
          </c:cat>
          <c:val>
            <c:numRef>
              <c:f>ფილტვი!$F$2:$F$35</c:f>
              <c:numCache>
                <c:formatCode>_(* #,##0_);_(* \(#,##0\);_(* "-"??_);_(@_)</c:formatCode>
                <c:ptCount val="7"/>
                <c:pt idx="0">
                  <c:v>1018.25</c:v>
                </c:pt>
                <c:pt idx="1">
                  <c:v>119.375</c:v>
                </c:pt>
                <c:pt idx="2">
                  <c:v>1313.125</c:v>
                </c:pt>
                <c:pt idx="4">
                  <c:v>514.5</c:v>
                </c:pt>
                <c:pt idx="5">
                  <c:v>113.75</c:v>
                </c:pt>
                <c:pt idx="6">
                  <c:v>496.5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8D-401C-8ACC-5C1CCD9870A2}"/>
            </c:ext>
          </c:extLst>
        </c:ser>
        <c:ser>
          <c:idx val="4"/>
          <c:order val="4"/>
          <c:tx>
            <c:strRef>
              <c:f>ფილტვი!$G$1</c:f>
              <c:strCache>
                <c:ptCount val="1"/>
                <c:pt idx="0">
                  <c:v>2018-სექტემბერი-დეკემბერი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ფილტვი!$B$2:$B$35</c:f>
              <c:strCache>
                <c:ptCount val="7"/>
                <c:pt idx="0">
                  <c:v>ბუდესონიდი 0.5მგ/2მლ</c:v>
                </c:pt>
                <c:pt idx="1">
                  <c:v>ალბუტეროლი  2.5მგ/0.5მლ 0.5მლ</c:v>
                </c:pt>
                <c:pt idx="2">
                  <c:v>სალმეტეროლი/ფლუტიკაზონი   50მკგ/500მკგ საინჰალაციო ფხვნილი                   </c:v>
                </c:pt>
                <c:pt idx="3">
                  <c:v>სალმეტეროლი/ფლუტიკაზონი   50მკგ/250მკგ საინჰალაციო ფხვნილი                   </c:v>
                </c:pt>
                <c:pt idx="4">
                  <c:v>სალბუტამოლი 100მკგ დოზა საინჰალაციო აეროზოლი</c:v>
                </c:pt>
                <c:pt idx="5">
                  <c:v>აკლიდინიუმის ბრომიდი საინჰალაციო ფხვნილი (კაფსულა) ინჰალატორთან ერთად/322მკგ/დოზა </c:v>
                </c:pt>
                <c:pt idx="6">
                  <c:v>მეთილპრედნიზოლონი 16მგ</c:v>
                </c:pt>
              </c:strCache>
            </c:strRef>
          </c:cat>
          <c:val>
            <c:numRef>
              <c:f>ფილტვი!$G$2:$G$35</c:f>
              <c:numCache>
                <c:formatCode>_(* #,##0_);_(* \(#,##0\);_(* "-"??_);_(@_)</c:formatCode>
                <c:ptCount val="7"/>
                <c:pt idx="0">
                  <c:v>1003.75</c:v>
                </c:pt>
                <c:pt idx="1">
                  <c:v>107.5</c:v>
                </c:pt>
                <c:pt idx="2">
                  <c:v>1168.5</c:v>
                </c:pt>
                <c:pt idx="4">
                  <c:v>882.75</c:v>
                </c:pt>
                <c:pt idx="5">
                  <c:v>252.5</c:v>
                </c:pt>
                <c:pt idx="6">
                  <c:v>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8D-401C-8ACC-5C1CCD9870A2}"/>
            </c:ext>
          </c:extLst>
        </c:ser>
        <c:ser>
          <c:idx val="5"/>
          <c:order val="5"/>
          <c:tx>
            <c:strRef>
              <c:f>ფილტვი!$H$1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ფილტვი!$B$2:$B$35</c:f>
              <c:strCache>
                <c:ptCount val="7"/>
                <c:pt idx="0">
                  <c:v>ბუდესონიდი 0.5მგ/2მლ</c:v>
                </c:pt>
                <c:pt idx="1">
                  <c:v>ალბუტეროლი  2.5მგ/0.5მლ 0.5მლ</c:v>
                </c:pt>
                <c:pt idx="2">
                  <c:v>სალმეტეროლი/ფლუტიკაზონი   50მკგ/500მკგ საინჰალაციო ფხვნილი                   </c:v>
                </c:pt>
                <c:pt idx="3">
                  <c:v>სალმეტეროლი/ფლუტიკაზონი   50მკგ/250მკგ საინჰალაციო ფხვნილი                   </c:v>
                </c:pt>
                <c:pt idx="4">
                  <c:v>სალბუტამოლი 100მკგ დოზა საინჰალაციო აეროზოლი</c:v>
                </c:pt>
                <c:pt idx="5">
                  <c:v>აკლიდინიუმის ბრომიდი საინჰალაციო ფხვნილი (კაფსულა) ინჰალატორთან ერთად/322მკგ/დოზა </c:v>
                </c:pt>
                <c:pt idx="6">
                  <c:v>მეთილპრედნიზოლონი 16მგ</c:v>
                </c:pt>
              </c:strCache>
            </c:strRef>
          </c:cat>
          <c:val>
            <c:numRef>
              <c:f>ფილტვი!$H$2:$H$35</c:f>
              <c:numCache>
                <c:formatCode>_(* #,##0_);_(* \(#,##0\);_(* "-"??_);_(@_)</c:formatCode>
                <c:ptCount val="7"/>
                <c:pt idx="0">
                  <c:v>1529</c:v>
                </c:pt>
                <c:pt idx="1">
                  <c:v>1125</c:v>
                </c:pt>
                <c:pt idx="2">
                  <c:v>1485.5</c:v>
                </c:pt>
                <c:pt idx="3">
                  <c:v>642.5</c:v>
                </c:pt>
                <c:pt idx="4">
                  <c:v>838.25</c:v>
                </c:pt>
                <c:pt idx="5">
                  <c:v>310.5</c:v>
                </c:pt>
                <c:pt idx="6">
                  <c:v>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8D-401C-8ACC-5C1CCD987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000528"/>
        <c:axId val="2011018416"/>
      </c:barChart>
      <c:catAx>
        <c:axId val="201100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018416"/>
        <c:crosses val="autoZero"/>
        <c:auto val="1"/>
        <c:lblAlgn val="ctr"/>
        <c:lblOffset val="100"/>
        <c:noMultiLvlLbl val="0"/>
      </c:catAx>
      <c:valAx>
        <c:axId val="201101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00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პარკინსონი!$C$1</c:f>
              <c:strCache>
                <c:ptCount val="1"/>
                <c:pt idx="0">
                  <c:v>სავაჭრო დასახელება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პარკინსონი!$B$2:$B$37</c:f>
              <c:strCache>
                <c:ptCount val="2"/>
                <c:pt idx="0">
                  <c:v>კარბიდოპა,ლევოდოპა 250მგ/25მგ</c:v>
                </c:pt>
                <c:pt idx="1">
                  <c:v>ბენსერაზიდის ჰიდროქლორიდი,ლევოდოპა 125მგ/25მგ</c:v>
                </c:pt>
              </c:strCache>
            </c:strRef>
          </c:cat>
          <c:val>
            <c:numRef>
              <c:f>პარკინსონი!$C$2:$C$37</c:f>
            </c:numRef>
          </c:val>
          <c:extLst>
            <c:ext xmlns:c16="http://schemas.microsoft.com/office/drawing/2014/chart" uri="{C3380CC4-5D6E-409C-BE32-E72D297353CC}">
              <c16:uniqueId val="{00000000-1FFD-43FD-A99C-A07C4141ED79}"/>
            </c:ext>
          </c:extLst>
        </c:ser>
        <c:ser>
          <c:idx val="1"/>
          <c:order val="1"/>
          <c:tx>
            <c:strRef>
              <c:f>პარკინსონი!$D$1</c:f>
              <c:strCache>
                <c:ptCount val="1"/>
                <c:pt idx="0">
                  <c:v>მოქმედების ვადა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პარკინსონი!$B$2:$B$37</c:f>
              <c:strCache>
                <c:ptCount val="2"/>
                <c:pt idx="0">
                  <c:v>კარბიდოპა,ლევოდოპა 250მგ/25მგ</c:v>
                </c:pt>
                <c:pt idx="1">
                  <c:v>ბენსერაზიდის ჰიდროქლორიდი,ლევოდოპა 125მგ/25მგ</c:v>
                </c:pt>
              </c:strCache>
            </c:strRef>
          </c:cat>
          <c:val>
            <c:numRef>
              <c:f>პარკინსონი!$D$2:$D$37</c:f>
            </c:numRef>
          </c:val>
          <c:extLst>
            <c:ext xmlns:c16="http://schemas.microsoft.com/office/drawing/2014/chart" uri="{C3380CC4-5D6E-409C-BE32-E72D297353CC}">
              <c16:uniqueId val="{00000001-1FFD-43FD-A99C-A07C4141ED79}"/>
            </c:ext>
          </c:extLst>
        </c:ser>
        <c:ser>
          <c:idx val="2"/>
          <c:order val="2"/>
          <c:tx>
            <c:strRef>
              <c:f>პარკინსონი!$E$1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პარკინსონი!$B$2:$B$37</c:f>
              <c:strCache>
                <c:ptCount val="2"/>
                <c:pt idx="0">
                  <c:v>კარბიდოპა,ლევოდოპა 250მგ/25მგ</c:v>
                </c:pt>
                <c:pt idx="1">
                  <c:v>ბენსერაზიდის ჰიდროქლორიდი,ლევოდოპა 125მგ/25მგ</c:v>
                </c:pt>
              </c:strCache>
            </c:strRef>
          </c:cat>
          <c:val>
            <c:numRef>
              <c:f>პარკინსონი!$E$2:$E$37</c:f>
            </c:numRef>
          </c:val>
          <c:extLst>
            <c:ext xmlns:c16="http://schemas.microsoft.com/office/drawing/2014/chart" uri="{C3380CC4-5D6E-409C-BE32-E72D297353CC}">
              <c16:uniqueId val="{00000002-1FFD-43FD-A99C-A07C4141ED79}"/>
            </c:ext>
          </c:extLst>
        </c:ser>
        <c:ser>
          <c:idx val="3"/>
          <c:order val="3"/>
          <c:tx>
            <c:strRef>
              <c:f>პარკინსონი!$F$1</c:f>
              <c:strCache>
                <c:ptCount val="1"/>
                <c:pt idx="0">
                  <c:v>2018-იანვარი-აგვისტო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პარკინსონი!$B$2:$B$37</c:f>
              <c:strCache>
                <c:ptCount val="2"/>
                <c:pt idx="0">
                  <c:v>კარბიდოპა,ლევოდოპა 250მგ/25მგ</c:v>
                </c:pt>
                <c:pt idx="1">
                  <c:v>ბენსერაზიდის ჰიდროქლორიდი,ლევოდოპა 125მგ/25მგ</c:v>
                </c:pt>
              </c:strCache>
            </c:strRef>
          </c:cat>
          <c:val>
            <c:numRef>
              <c:f>პარკინსონი!$F$2:$F$37</c:f>
            </c:numRef>
          </c:val>
          <c:extLst>
            <c:ext xmlns:c16="http://schemas.microsoft.com/office/drawing/2014/chart" uri="{C3380CC4-5D6E-409C-BE32-E72D297353CC}">
              <c16:uniqueId val="{00000003-1FFD-43FD-A99C-A07C4141ED79}"/>
            </c:ext>
          </c:extLst>
        </c:ser>
        <c:ser>
          <c:idx val="4"/>
          <c:order val="4"/>
          <c:tx>
            <c:strRef>
              <c:f>პარკინსონი!$G$1</c:f>
              <c:strCache>
                <c:ptCount val="1"/>
                <c:pt idx="0">
                  <c:v>2018-სექტემბერი-დეკემბერი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პარკინსონი!$B$2:$B$37</c:f>
              <c:strCache>
                <c:ptCount val="2"/>
                <c:pt idx="0">
                  <c:v>კარბიდოპა,ლევოდოპა 250მგ/25მგ</c:v>
                </c:pt>
                <c:pt idx="1">
                  <c:v>ბენსერაზიდის ჰიდროქლორიდი,ლევოდოპა 125მგ/25მგ</c:v>
                </c:pt>
              </c:strCache>
            </c:strRef>
          </c:cat>
          <c:val>
            <c:numRef>
              <c:f>პარკინსონი!$G$2:$G$37</c:f>
              <c:numCache>
                <c:formatCode>_(* #,##0_);_(* \(#,##0\);_(* "-"??_);_(@_)</c:formatCode>
                <c:ptCount val="2"/>
                <c:pt idx="0">
                  <c:v>12111</c:v>
                </c:pt>
                <c:pt idx="1">
                  <c:v>2522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FD-43FD-A99C-A07C4141ED79}"/>
            </c:ext>
          </c:extLst>
        </c:ser>
        <c:ser>
          <c:idx val="5"/>
          <c:order val="5"/>
          <c:tx>
            <c:strRef>
              <c:f>პარკინსონი!$H$1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პარკინსონი!$B$2:$B$37</c:f>
              <c:strCache>
                <c:ptCount val="2"/>
                <c:pt idx="0">
                  <c:v>კარბიდოპა,ლევოდოპა 250მგ/25მგ</c:v>
                </c:pt>
                <c:pt idx="1">
                  <c:v>ბენსერაზიდის ჰიდროქლორიდი,ლევოდოპა 125მგ/25მგ</c:v>
                </c:pt>
              </c:strCache>
            </c:strRef>
          </c:cat>
          <c:val>
            <c:numRef>
              <c:f>პარკინსონი!$H$2:$H$37</c:f>
              <c:numCache>
                <c:formatCode>_(* #,##0_);_(* \(#,##0\);_(* "-"??_);_(@_)</c:formatCode>
                <c:ptCount val="2"/>
                <c:pt idx="0">
                  <c:v>40549.5</c:v>
                </c:pt>
                <c:pt idx="1">
                  <c:v>13491.75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FD-43FD-A99C-A07C4141E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1097936"/>
        <c:axId val="1931099600"/>
      </c:barChart>
      <c:catAx>
        <c:axId val="193109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1099600"/>
        <c:crosses val="autoZero"/>
        <c:auto val="1"/>
        <c:lblAlgn val="ctr"/>
        <c:lblOffset val="100"/>
        <c:noMultiLvlLbl val="0"/>
      </c:catAx>
      <c:valAx>
        <c:axId val="193109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109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ეპილეფსია!$C$1</c:f>
              <c:strCache>
                <c:ptCount val="1"/>
                <c:pt idx="0">
                  <c:v>სავაჭრო დასახელება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ეპილეფსია!$B$2:$B$43</c:f>
              <c:strCache>
                <c:ptCount val="6"/>
                <c:pt idx="0">
                  <c:v>ლევეტირაცეტამი 500მგ</c:v>
                </c:pt>
                <c:pt idx="1">
                  <c:v>კარბამაზეპინი 200მგ</c:v>
                </c:pt>
                <c:pt idx="2">
                  <c:v>ნატრიუმის ვალპროატი 300მგ</c:v>
                </c:pt>
                <c:pt idx="3">
                  <c:v>ნატრიუმის ვალპროატი 500მგ</c:v>
                </c:pt>
                <c:pt idx="4">
                  <c:v>ლამოტრიჯინი 100მგ</c:v>
                </c:pt>
                <c:pt idx="5">
                  <c:v>ლამოტრიჯინი 25მგ</c:v>
                </c:pt>
              </c:strCache>
            </c:strRef>
          </c:cat>
          <c:val>
            <c:numRef>
              <c:f>ეპილეფსია!$C$2:$C$43</c:f>
            </c:numRef>
          </c:val>
          <c:extLst>
            <c:ext xmlns:c16="http://schemas.microsoft.com/office/drawing/2014/chart" uri="{C3380CC4-5D6E-409C-BE32-E72D297353CC}">
              <c16:uniqueId val="{00000000-7A31-4ED0-88ED-D70CBB5C3B69}"/>
            </c:ext>
          </c:extLst>
        </c:ser>
        <c:ser>
          <c:idx val="1"/>
          <c:order val="1"/>
          <c:tx>
            <c:strRef>
              <c:f>ეპილეფსია!$D$1</c:f>
              <c:strCache>
                <c:ptCount val="1"/>
                <c:pt idx="0">
                  <c:v>მოქმედების ვადა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ეპილეფსია!$B$2:$B$43</c:f>
              <c:strCache>
                <c:ptCount val="6"/>
                <c:pt idx="0">
                  <c:v>ლევეტირაცეტამი 500მგ</c:v>
                </c:pt>
                <c:pt idx="1">
                  <c:v>კარბამაზეპინი 200მგ</c:v>
                </c:pt>
                <c:pt idx="2">
                  <c:v>ნატრიუმის ვალპროატი 300მგ</c:v>
                </c:pt>
                <c:pt idx="3">
                  <c:v>ნატრიუმის ვალპროატი 500მგ</c:v>
                </c:pt>
                <c:pt idx="4">
                  <c:v>ლამოტრიჯინი 100მგ</c:v>
                </c:pt>
                <c:pt idx="5">
                  <c:v>ლამოტრიჯინი 25მგ</c:v>
                </c:pt>
              </c:strCache>
            </c:strRef>
          </c:cat>
          <c:val>
            <c:numRef>
              <c:f>ეპილეფსია!$D$2:$D$43</c:f>
            </c:numRef>
          </c:val>
          <c:extLst>
            <c:ext xmlns:c16="http://schemas.microsoft.com/office/drawing/2014/chart" uri="{C3380CC4-5D6E-409C-BE32-E72D297353CC}">
              <c16:uniqueId val="{00000001-7A31-4ED0-88ED-D70CBB5C3B69}"/>
            </c:ext>
          </c:extLst>
        </c:ser>
        <c:ser>
          <c:idx val="2"/>
          <c:order val="2"/>
          <c:tx>
            <c:strRef>
              <c:f>ეპილეფსია!$E$1</c:f>
              <c:strCache>
                <c:ptCount val="1"/>
                <c:pt idx="0">
                  <c:v>საშუალო ხარჯვა 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ეპილეფსია!$B$2:$B$43</c:f>
              <c:strCache>
                <c:ptCount val="6"/>
                <c:pt idx="0">
                  <c:v>ლევეტირაცეტამი 500მგ</c:v>
                </c:pt>
                <c:pt idx="1">
                  <c:v>კარბამაზეპინი 200მგ</c:v>
                </c:pt>
                <c:pt idx="2">
                  <c:v>ნატრიუმის ვალპროატი 300მგ</c:v>
                </c:pt>
                <c:pt idx="3">
                  <c:v>ნატრიუმის ვალპროატი 500მგ</c:v>
                </c:pt>
                <c:pt idx="4">
                  <c:v>ლამოტრიჯინი 100მგ</c:v>
                </c:pt>
                <c:pt idx="5">
                  <c:v>ლამოტრიჯინი 25მგ</c:v>
                </c:pt>
              </c:strCache>
            </c:strRef>
          </c:cat>
          <c:val>
            <c:numRef>
              <c:f>ეპილეფსია!$E$2:$E$43</c:f>
            </c:numRef>
          </c:val>
          <c:extLst>
            <c:ext xmlns:c16="http://schemas.microsoft.com/office/drawing/2014/chart" uri="{C3380CC4-5D6E-409C-BE32-E72D297353CC}">
              <c16:uniqueId val="{00000002-7A31-4ED0-88ED-D70CBB5C3B69}"/>
            </c:ext>
          </c:extLst>
        </c:ser>
        <c:ser>
          <c:idx val="3"/>
          <c:order val="3"/>
          <c:tx>
            <c:strRef>
              <c:f>ეპილეფსია!$F$1</c:f>
              <c:strCache>
                <c:ptCount val="1"/>
                <c:pt idx="0">
                  <c:v>საშუალო ხარჯვა 2018 იანვარი-აგვისტო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ეპილეფსია!$B$2:$B$43</c:f>
              <c:strCache>
                <c:ptCount val="6"/>
                <c:pt idx="0">
                  <c:v>ლევეტირაცეტამი 500მგ</c:v>
                </c:pt>
                <c:pt idx="1">
                  <c:v>კარბამაზეპინი 200მგ</c:v>
                </c:pt>
                <c:pt idx="2">
                  <c:v>ნატრიუმის ვალპროატი 300მგ</c:v>
                </c:pt>
                <c:pt idx="3">
                  <c:v>ნატრიუმის ვალპროატი 500მგ</c:v>
                </c:pt>
                <c:pt idx="4">
                  <c:v>ლამოტრიჯინი 100მგ</c:v>
                </c:pt>
                <c:pt idx="5">
                  <c:v>ლამოტრიჯინი 25მგ</c:v>
                </c:pt>
              </c:strCache>
            </c:strRef>
          </c:cat>
          <c:val>
            <c:numRef>
              <c:f>ეპილეფსია!$F$2:$F$43</c:f>
            </c:numRef>
          </c:val>
          <c:extLst>
            <c:ext xmlns:c16="http://schemas.microsoft.com/office/drawing/2014/chart" uri="{C3380CC4-5D6E-409C-BE32-E72D297353CC}">
              <c16:uniqueId val="{00000003-7A31-4ED0-88ED-D70CBB5C3B69}"/>
            </c:ext>
          </c:extLst>
        </c:ser>
        <c:ser>
          <c:idx val="4"/>
          <c:order val="4"/>
          <c:tx>
            <c:strRef>
              <c:f>ეპილეფსია!$G$1</c:f>
              <c:strCache>
                <c:ptCount val="1"/>
                <c:pt idx="0">
                  <c:v>2018-სექტემბერი-დეკემბერი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ეპილეფსია!$B$2:$B$43</c:f>
              <c:strCache>
                <c:ptCount val="6"/>
                <c:pt idx="0">
                  <c:v>ლევეტირაცეტამი 500მგ</c:v>
                </c:pt>
                <c:pt idx="1">
                  <c:v>კარბამაზეპინი 200მგ</c:v>
                </c:pt>
                <c:pt idx="2">
                  <c:v>ნატრიუმის ვალპროატი 300მგ</c:v>
                </c:pt>
                <c:pt idx="3">
                  <c:v>ნატრიუმის ვალპროატი 500მგ</c:v>
                </c:pt>
                <c:pt idx="4">
                  <c:v>ლამოტრიჯინი 100მგ</c:v>
                </c:pt>
                <c:pt idx="5">
                  <c:v>ლამოტრიჯინი 25მგ</c:v>
                </c:pt>
              </c:strCache>
            </c:strRef>
          </c:cat>
          <c:val>
            <c:numRef>
              <c:f>ეპილეფსია!$G$2:$G$43</c:f>
              <c:numCache>
                <c:formatCode>_(* #,##0_);_(* \(#,##0\);_(* "-"??_);_(@_)</c:formatCode>
                <c:ptCount val="6"/>
                <c:pt idx="0">
                  <c:v>2254</c:v>
                </c:pt>
                <c:pt idx="1">
                  <c:v>3581</c:v>
                </c:pt>
                <c:pt idx="2">
                  <c:v>92</c:v>
                </c:pt>
                <c:pt idx="3">
                  <c:v>276</c:v>
                </c:pt>
                <c:pt idx="5">
                  <c:v>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1-4ED0-88ED-D70CBB5C3B69}"/>
            </c:ext>
          </c:extLst>
        </c:ser>
        <c:ser>
          <c:idx val="5"/>
          <c:order val="5"/>
          <c:tx>
            <c:strRef>
              <c:f>ეპილეფსია!$H$1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ეპილეფსია!$B$2:$B$43</c:f>
              <c:strCache>
                <c:ptCount val="6"/>
                <c:pt idx="0">
                  <c:v>ლევეტირაცეტამი 500მგ</c:v>
                </c:pt>
                <c:pt idx="1">
                  <c:v>კარბამაზეპინი 200მგ</c:v>
                </c:pt>
                <c:pt idx="2">
                  <c:v>ნატრიუმის ვალპროატი 300მგ</c:v>
                </c:pt>
                <c:pt idx="3">
                  <c:v>ნატრიუმის ვალპროატი 500მგ</c:v>
                </c:pt>
                <c:pt idx="4">
                  <c:v>ლამოტრიჯინი 100მგ</c:v>
                </c:pt>
                <c:pt idx="5">
                  <c:v>ლამოტრიჯინი 25მგ</c:v>
                </c:pt>
              </c:strCache>
            </c:strRef>
          </c:cat>
          <c:val>
            <c:numRef>
              <c:f>ეპილეფსია!$H$2:$H$43</c:f>
              <c:numCache>
                <c:formatCode>_(* #,##0_);_(* \(#,##0\);_(* "-"??_);_(@_)</c:formatCode>
                <c:ptCount val="6"/>
                <c:pt idx="0">
                  <c:v>13798</c:v>
                </c:pt>
                <c:pt idx="1">
                  <c:v>34071.75</c:v>
                </c:pt>
                <c:pt idx="2">
                  <c:v>5311</c:v>
                </c:pt>
                <c:pt idx="3">
                  <c:v>13475.5</c:v>
                </c:pt>
                <c:pt idx="4">
                  <c:v>2032</c:v>
                </c:pt>
                <c:pt idx="5">
                  <c:v>6296.5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1-4ED0-88ED-D70CBB5C3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000112"/>
        <c:axId val="2011007600"/>
      </c:barChart>
      <c:catAx>
        <c:axId val="201100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007600"/>
        <c:crosses val="autoZero"/>
        <c:auto val="1"/>
        <c:lblAlgn val="ctr"/>
        <c:lblOffset val="100"/>
        <c:noMultiLvlLbl val="0"/>
      </c:catAx>
      <c:valAx>
        <c:axId val="201100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000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ვადაგასული მედიკამენტები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'ვადაგასული მედიკამენტები'!$C$19</c:f>
              <c:strCache>
                <c:ptCount val="1"/>
                <c:pt idx="0">
                  <c:v>რაოდენობა (აბი/ფლაკონი)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'ვადაგასული მედიკამენტები'!$B$20:$B$23</c:f>
              <c:strCache>
                <c:ptCount val="4"/>
                <c:pt idx="0">
                  <c:v>პულმიკორტი</c:v>
                </c:pt>
                <c:pt idx="1">
                  <c:v>L - თიროქსინი </c:v>
                </c:pt>
                <c:pt idx="2">
                  <c:v>ალბუტეროლი</c:v>
                </c:pt>
                <c:pt idx="3">
                  <c:v>სალბუტამოლი </c:v>
                </c:pt>
              </c:strCache>
            </c:strRef>
          </c:cat>
          <c:val>
            <c:numRef>
              <c:f>'ვადაგასული მედიკამენტები'!$C$20:$C$23</c:f>
              <c:numCache>
                <c:formatCode>General</c:formatCode>
                <c:ptCount val="4"/>
                <c:pt idx="0">
                  <c:v>2101</c:v>
                </c:pt>
                <c:pt idx="1">
                  <c:v>1568</c:v>
                </c:pt>
                <c:pt idx="2">
                  <c:v>18274</c:v>
                </c:pt>
                <c:pt idx="3">
                  <c:v>1869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B-4BA0-B1C6-F3E8A28319A9}"/>
            </c:ext>
          </c:extLst>
        </c:ser>
        <c:ser>
          <c:idx val="1"/>
          <c:order val="1"/>
          <c:tx>
            <c:strRef>
              <c:f>'ვადაგასული მედიკამენტები'!$D$19</c:f>
              <c:strCache>
                <c:ptCount val="1"/>
                <c:pt idx="0">
                  <c:v>ღირებულება (ლარი)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'ვადაგასული მედიკამენტები'!$B$20:$B$23</c:f>
              <c:strCache>
                <c:ptCount val="4"/>
                <c:pt idx="0">
                  <c:v>პულმიკორტი</c:v>
                </c:pt>
                <c:pt idx="1">
                  <c:v>L - თიროქსინი </c:v>
                </c:pt>
                <c:pt idx="2">
                  <c:v>ალბუტეროლი</c:v>
                </c:pt>
                <c:pt idx="3">
                  <c:v>სალბუტამოლი </c:v>
                </c:pt>
              </c:strCache>
            </c:strRef>
          </c:cat>
          <c:val>
            <c:numRef>
              <c:f>'ვადაგასული მედიკამენტები'!$D$20:$D$23</c:f>
              <c:numCache>
                <c:formatCode>General</c:formatCode>
                <c:ptCount val="4"/>
                <c:pt idx="0">
                  <c:v>6870.2699999999995</c:v>
                </c:pt>
                <c:pt idx="1">
                  <c:v>72.755200000000002</c:v>
                </c:pt>
                <c:pt idx="2">
                  <c:v>40385.54</c:v>
                </c:pt>
                <c:pt idx="3">
                  <c:v>8971.5000000000018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FB-4BA0-B1C6-F3E8A2831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993456"/>
        <c:axId val="2011015088"/>
      </c:barChart>
      <c:catAx>
        <c:axId val="201099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015088"/>
        <c:crosses val="autoZero"/>
        <c:auto val="1"/>
        <c:lblAlgn val="ctr"/>
        <c:lblOffset val="100"/>
        <c:noMultiLvlLbl val="0"/>
      </c:catAx>
      <c:valAx>
        <c:axId val="201101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993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1</xdr:row>
      <xdr:rowOff>142875</xdr:rowOff>
    </xdr:from>
    <xdr:to>
      <xdr:col>22</xdr:col>
      <xdr:colOff>495300</xdr:colOff>
      <xdr:row>26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171450</xdr:colOff>
      <xdr:row>6</xdr:row>
      <xdr:rowOff>342901</xdr:rowOff>
    </xdr:from>
    <xdr:to>
      <xdr:col>79</xdr:col>
      <xdr:colOff>228600</xdr:colOff>
      <xdr:row>16</xdr:row>
      <xdr:rowOff>476250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247649</xdr:colOff>
      <xdr:row>3</xdr:row>
      <xdr:rowOff>466725</xdr:rowOff>
    </xdr:from>
    <xdr:to>
      <xdr:col>77</xdr:col>
      <xdr:colOff>542924</xdr:colOff>
      <xdr:row>12</xdr:row>
      <xdr:rowOff>57150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171450</xdr:colOff>
      <xdr:row>0</xdr:row>
      <xdr:rowOff>762001</xdr:rowOff>
    </xdr:from>
    <xdr:to>
      <xdr:col>77</xdr:col>
      <xdr:colOff>57150</xdr:colOff>
      <xdr:row>54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171449</xdr:colOff>
      <xdr:row>0</xdr:row>
      <xdr:rowOff>1066799</xdr:rowOff>
    </xdr:from>
    <xdr:to>
      <xdr:col>78</xdr:col>
      <xdr:colOff>85725</xdr:colOff>
      <xdr:row>59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171449</xdr:colOff>
      <xdr:row>29</xdr:row>
      <xdr:rowOff>266700</xdr:rowOff>
    </xdr:from>
    <xdr:to>
      <xdr:col>78</xdr:col>
      <xdr:colOff>200024</xdr:colOff>
      <xdr:row>51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495300</xdr:colOff>
      <xdr:row>0</xdr:row>
      <xdr:rowOff>933450</xdr:rowOff>
    </xdr:from>
    <xdr:to>
      <xdr:col>79</xdr:col>
      <xdr:colOff>457200</xdr:colOff>
      <xdr:row>60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533399</xdr:colOff>
      <xdr:row>0</xdr:row>
      <xdr:rowOff>714375</xdr:rowOff>
    </xdr:from>
    <xdr:to>
      <xdr:col>79</xdr:col>
      <xdr:colOff>257174</xdr:colOff>
      <xdr:row>53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5</xdr:row>
      <xdr:rowOff>47624</xdr:rowOff>
    </xdr:from>
    <xdr:to>
      <xdr:col>18</xdr:col>
      <xdr:colOff>161925</xdr:colOff>
      <xdr:row>19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3"/>
  <sheetViews>
    <sheetView workbookViewId="0">
      <selection activeCell="D28" sqref="D28"/>
    </sheetView>
  </sheetViews>
  <sheetFormatPr defaultRowHeight="15"/>
  <cols>
    <col min="3" max="3" width="16.28515625" customWidth="1"/>
    <col min="4" max="4" width="12" customWidth="1"/>
    <col min="8" max="10" width="0" hidden="1" customWidth="1"/>
  </cols>
  <sheetData>
    <row r="3" spans="2:10" ht="33.75">
      <c r="D3" s="1" t="s">
        <v>12</v>
      </c>
      <c r="E3" s="1" t="s">
        <v>13</v>
      </c>
    </row>
    <row r="4" spans="2:10">
      <c r="B4" s="89">
        <v>2017</v>
      </c>
      <c r="C4" t="s">
        <v>9</v>
      </c>
      <c r="D4" s="1">
        <v>1179</v>
      </c>
      <c r="E4" s="1">
        <v>3773</v>
      </c>
    </row>
    <row r="5" spans="2:10">
      <c r="B5" s="89"/>
      <c r="C5" t="s">
        <v>10</v>
      </c>
      <c r="D5" s="1">
        <v>1065</v>
      </c>
      <c r="E5" s="1">
        <v>3347</v>
      </c>
    </row>
    <row r="6" spans="2:10">
      <c r="B6" s="89"/>
      <c r="C6" t="s">
        <v>11</v>
      </c>
      <c r="D6" s="1">
        <v>860</v>
      </c>
      <c r="E6" s="1">
        <v>2566</v>
      </c>
    </row>
    <row r="7" spans="2:10">
      <c r="B7" s="89">
        <v>2018</v>
      </c>
      <c r="C7" t="s">
        <v>0</v>
      </c>
      <c r="D7" s="1">
        <v>677</v>
      </c>
      <c r="E7" s="1">
        <v>3356</v>
      </c>
    </row>
    <row r="8" spans="2:10">
      <c r="B8" s="89"/>
      <c r="C8" t="s">
        <v>1</v>
      </c>
      <c r="D8" s="1">
        <v>963</v>
      </c>
      <c r="E8" s="1">
        <v>3514</v>
      </c>
    </row>
    <row r="9" spans="2:10">
      <c r="B9" s="89"/>
      <c r="C9" t="s">
        <v>2</v>
      </c>
      <c r="D9" s="1">
        <v>978</v>
      </c>
      <c r="E9" s="1">
        <v>3670</v>
      </c>
    </row>
    <row r="10" spans="2:10">
      <c r="B10" s="89"/>
      <c r="C10" t="s">
        <v>3</v>
      </c>
      <c r="D10" s="1">
        <v>695</v>
      </c>
      <c r="E10" s="1">
        <v>3387</v>
      </c>
    </row>
    <row r="11" spans="2:10">
      <c r="B11" s="89"/>
      <c r="C11" t="s">
        <v>4</v>
      </c>
      <c r="D11" s="1">
        <v>764</v>
      </c>
      <c r="E11" s="1">
        <v>4581</v>
      </c>
    </row>
    <row r="12" spans="2:10">
      <c r="B12" s="89"/>
      <c r="C12" t="s">
        <v>5</v>
      </c>
      <c r="D12" s="1">
        <v>580</v>
      </c>
      <c r="E12" s="1">
        <v>3381</v>
      </c>
    </row>
    <row r="13" spans="2:10">
      <c r="B13" s="89"/>
      <c r="C13" t="s">
        <v>6</v>
      </c>
      <c r="D13" s="1">
        <v>506</v>
      </c>
      <c r="E13" s="1">
        <v>3731</v>
      </c>
    </row>
    <row r="14" spans="2:10">
      <c r="B14" s="89"/>
      <c r="C14" t="s">
        <v>7</v>
      </c>
      <c r="D14" s="1">
        <v>441</v>
      </c>
      <c r="E14" s="1">
        <v>3893</v>
      </c>
      <c r="H14" t="s">
        <v>14</v>
      </c>
      <c r="I14" t="s">
        <v>15</v>
      </c>
      <c r="J14" t="s">
        <v>16</v>
      </c>
    </row>
    <row r="15" spans="2:10">
      <c r="B15" s="89"/>
      <c r="C15" t="s">
        <v>8</v>
      </c>
      <c r="D15" s="1">
        <v>4563</v>
      </c>
      <c r="E15" s="1">
        <v>6773</v>
      </c>
    </row>
    <row r="16" spans="2:10">
      <c r="B16" s="89"/>
      <c r="C16" t="s">
        <v>9</v>
      </c>
      <c r="D16" s="1">
        <v>5552</v>
      </c>
      <c r="E16" s="1">
        <v>9168</v>
      </c>
      <c r="H16">
        <v>559393</v>
      </c>
      <c r="I16">
        <v>842773</v>
      </c>
      <c r="J16">
        <v>112348</v>
      </c>
    </row>
    <row r="17" spans="2:10">
      <c r="B17" s="89"/>
      <c r="C17" t="s">
        <v>10</v>
      </c>
      <c r="D17" s="1">
        <v>3736</v>
      </c>
      <c r="E17" s="1">
        <v>8988</v>
      </c>
      <c r="H17">
        <v>559845</v>
      </c>
      <c r="I17">
        <v>842644</v>
      </c>
      <c r="J17">
        <v>112575</v>
      </c>
    </row>
    <row r="18" spans="2:10">
      <c r="B18" s="89"/>
      <c r="C18" t="s">
        <v>11</v>
      </c>
      <c r="D18" s="1">
        <v>2852</v>
      </c>
      <c r="E18" s="1">
        <v>9281</v>
      </c>
      <c r="H18">
        <v>564234</v>
      </c>
      <c r="I18">
        <v>843152</v>
      </c>
      <c r="J18">
        <v>112592</v>
      </c>
    </row>
    <row r="19" spans="2:10">
      <c r="B19" s="89">
        <v>2019</v>
      </c>
      <c r="C19" t="s">
        <v>0</v>
      </c>
      <c r="D19" s="1">
        <v>4027</v>
      </c>
      <c r="E19" s="1">
        <v>12222</v>
      </c>
      <c r="H19">
        <v>571011</v>
      </c>
      <c r="I19">
        <v>845253</v>
      </c>
      <c r="J19">
        <v>112751</v>
      </c>
    </row>
    <row r="20" spans="2:10">
      <c r="B20" s="89"/>
      <c r="C20" t="s">
        <v>1</v>
      </c>
      <c r="D20" s="1">
        <v>4511</v>
      </c>
      <c r="E20" s="1">
        <v>12564</v>
      </c>
      <c r="H20">
        <v>573838</v>
      </c>
      <c r="I20">
        <v>846888</v>
      </c>
      <c r="J20">
        <v>112676</v>
      </c>
    </row>
    <row r="21" spans="2:10">
      <c r="B21" s="89"/>
      <c r="C21" t="s">
        <v>2</v>
      </c>
      <c r="D21" s="1">
        <v>4250</v>
      </c>
      <c r="E21" s="1">
        <v>12873</v>
      </c>
      <c r="H21">
        <v>579970</v>
      </c>
      <c r="I21">
        <v>849101</v>
      </c>
      <c r="J21">
        <v>112788</v>
      </c>
    </row>
    <row r="22" spans="2:10">
      <c r="B22" s="89"/>
      <c r="C22" t="s">
        <v>3</v>
      </c>
      <c r="D22" s="1">
        <v>3159</v>
      </c>
      <c r="E22" s="1">
        <v>12050</v>
      </c>
      <c r="H22">
        <v>590109</v>
      </c>
      <c r="I22">
        <v>851176</v>
      </c>
      <c r="J22">
        <v>112936</v>
      </c>
    </row>
    <row r="23" spans="2:10">
      <c r="B23" s="89"/>
      <c r="C23" t="s">
        <v>4</v>
      </c>
      <c r="D23" s="1">
        <v>3985</v>
      </c>
      <c r="E23" s="1">
        <v>15061</v>
      </c>
    </row>
  </sheetData>
  <mergeCells count="3">
    <mergeCell ref="B7:B18"/>
    <mergeCell ref="B19:B23"/>
    <mergeCell ref="B4:B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51"/>
  <sheetViews>
    <sheetView workbookViewId="0">
      <selection activeCell="E1" sqref="E1:H1"/>
    </sheetView>
  </sheetViews>
  <sheetFormatPr defaultRowHeight="15"/>
  <cols>
    <col min="1" max="1" width="4" style="2" customWidth="1"/>
    <col min="2" max="2" width="24.42578125" style="2" customWidth="1"/>
    <col min="3" max="3" width="19.85546875" style="2" hidden="1" customWidth="1"/>
    <col min="4" max="4" width="9.28515625" style="2" hidden="1" customWidth="1"/>
    <col min="5" max="8" width="11.85546875" style="79" customWidth="1"/>
    <col min="9" max="9" width="8.28515625" style="2" hidden="1" customWidth="1"/>
    <col min="10" max="10" width="0" style="2" hidden="1" customWidth="1"/>
    <col min="11" max="13" width="7.5703125" style="2" hidden="1" customWidth="1"/>
    <col min="14" max="14" width="10.28515625" style="2" hidden="1" customWidth="1"/>
    <col min="15" max="15" width="10.5703125" style="2" hidden="1" customWidth="1"/>
    <col min="16" max="16" width="11.140625" style="2" hidden="1" customWidth="1"/>
    <col min="17" max="17" width="10.42578125" style="2" hidden="1" customWidth="1"/>
    <col min="18" max="25" width="11" style="2" hidden="1" customWidth="1"/>
    <col min="26" max="27" width="11" style="3" hidden="1" customWidth="1"/>
    <col min="28" max="28" width="8.28515625" style="31" hidden="1" customWidth="1"/>
    <col min="29" max="29" width="9.85546875" style="31" hidden="1" customWidth="1"/>
    <col min="30" max="30" width="9.28515625" style="31" hidden="1" customWidth="1"/>
    <col min="31" max="32" width="15.28515625" style="2" hidden="1" customWidth="1"/>
    <col min="33" max="33" width="12.5703125" style="45" hidden="1" customWidth="1"/>
    <col min="34" max="34" width="20.7109375" style="33" hidden="1" customWidth="1"/>
    <col min="35" max="39" width="20.7109375" style="46" hidden="1" customWidth="1"/>
    <col min="40" max="40" width="12.42578125" style="49" hidden="1" customWidth="1"/>
    <col min="41" max="41" width="38.5703125" style="2" hidden="1" customWidth="1"/>
    <col min="42" max="42" width="0" style="73" hidden="1" customWidth="1"/>
    <col min="43" max="46" width="0" style="2" hidden="1" customWidth="1"/>
    <col min="47" max="47" width="13.140625" style="2" hidden="1" customWidth="1"/>
    <col min="48" max="48" width="16.7109375" style="2" hidden="1" customWidth="1"/>
    <col min="49" max="65" width="0" style="2" hidden="1" customWidth="1"/>
    <col min="66" max="260" width="9.140625" style="2"/>
    <col min="261" max="261" width="4" style="2" customWidth="1"/>
    <col min="262" max="262" width="24.42578125" style="2" customWidth="1"/>
    <col min="263" max="263" width="19.85546875" style="2" customWidth="1"/>
    <col min="264" max="264" width="9.28515625" style="2" customWidth="1"/>
    <col min="265" max="265" width="10" style="2" customWidth="1"/>
    <col min="266" max="266" width="8.42578125" style="2" customWidth="1"/>
    <col min="267" max="267" width="12.28515625" style="2" customWidth="1"/>
    <col min="268" max="268" width="7.5703125" style="2" customWidth="1"/>
    <col min="269" max="269" width="7.85546875" style="2" customWidth="1"/>
    <col min="270" max="270" width="8.28515625" style="2" customWidth="1"/>
    <col min="271" max="271" width="9.140625" style="2"/>
    <col min="272" max="274" width="7.5703125" style="2" customWidth="1"/>
    <col min="275" max="275" width="10.28515625" style="2" customWidth="1"/>
    <col min="276" max="276" width="10.5703125" style="2" customWidth="1"/>
    <col min="277" max="277" width="11.140625" style="2" customWidth="1"/>
    <col min="278" max="278" width="10.42578125" style="2" customWidth="1"/>
    <col min="279" max="288" width="11" style="2" customWidth="1"/>
    <col min="289" max="289" width="9.140625" style="2" customWidth="1"/>
    <col min="290" max="290" width="6.85546875" style="2" customWidth="1"/>
    <col min="291" max="291" width="15" style="2" bestFit="1" customWidth="1"/>
    <col min="292" max="516" width="9.140625" style="2"/>
    <col min="517" max="517" width="4" style="2" customWidth="1"/>
    <col min="518" max="518" width="24.42578125" style="2" customWidth="1"/>
    <col min="519" max="519" width="19.85546875" style="2" customWidth="1"/>
    <col min="520" max="520" width="9.28515625" style="2" customWidth="1"/>
    <col min="521" max="521" width="10" style="2" customWidth="1"/>
    <col min="522" max="522" width="8.42578125" style="2" customWidth="1"/>
    <col min="523" max="523" width="12.28515625" style="2" customWidth="1"/>
    <col min="524" max="524" width="7.5703125" style="2" customWidth="1"/>
    <col min="525" max="525" width="7.85546875" style="2" customWidth="1"/>
    <col min="526" max="526" width="8.28515625" style="2" customWidth="1"/>
    <col min="527" max="527" width="9.140625" style="2"/>
    <col min="528" max="530" width="7.5703125" style="2" customWidth="1"/>
    <col min="531" max="531" width="10.28515625" style="2" customWidth="1"/>
    <col min="532" max="532" width="10.5703125" style="2" customWidth="1"/>
    <col min="533" max="533" width="11.140625" style="2" customWidth="1"/>
    <col min="534" max="534" width="10.42578125" style="2" customWidth="1"/>
    <col min="535" max="544" width="11" style="2" customWidth="1"/>
    <col min="545" max="545" width="9.140625" style="2" customWidth="1"/>
    <col min="546" max="546" width="6.85546875" style="2" customWidth="1"/>
    <col min="547" max="547" width="15" style="2" bestFit="1" customWidth="1"/>
    <col min="548" max="772" width="9.140625" style="2"/>
    <col min="773" max="773" width="4" style="2" customWidth="1"/>
    <col min="774" max="774" width="24.42578125" style="2" customWidth="1"/>
    <col min="775" max="775" width="19.85546875" style="2" customWidth="1"/>
    <col min="776" max="776" width="9.28515625" style="2" customWidth="1"/>
    <col min="777" max="777" width="10" style="2" customWidth="1"/>
    <col min="778" max="778" width="8.42578125" style="2" customWidth="1"/>
    <col min="779" max="779" width="12.28515625" style="2" customWidth="1"/>
    <col min="780" max="780" width="7.5703125" style="2" customWidth="1"/>
    <col min="781" max="781" width="7.85546875" style="2" customWidth="1"/>
    <col min="782" max="782" width="8.28515625" style="2" customWidth="1"/>
    <col min="783" max="783" width="9.140625" style="2"/>
    <col min="784" max="786" width="7.5703125" style="2" customWidth="1"/>
    <col min="787" max="787" width="10.28515625" style="2" customWidth="1"/>
    <col min="788" max="788" width="10.5703125" style="2" customWidth="1"/>
    <col min="789" max="789" width="11.140625" style="2" customWidth="1"/>
    <col min="790" max="790" width="10.42578125" style="2" customWidth="1"/>
    <col min="791" max="800" width="11" style="2" customWidth="1"/>
    <col min="801" max="801" width="9.140625" style="2" customWidth="1"/>
    <col min="802" max="802" width="6.85546875" style="2" customWidth="1"/>
    <col min="803" max="803" width="15" style="2" bestFit="1" customWidth="1"/>
    <col min="804" max="1028" width="9.140625" style="2"/>
    <col min="1029" max="1029" width="4" style="2" customWidth="1"/>
    <col min="1030" max="1030" width="24.42578125" style="2" customWidth="1"/>
    <col min="1031" max="1031" width="19.85546875" style="2" customWidth="1"/>
    <col min="1032" max="1032" width="9.28515625" style="2" customWidth="1"/>
    <col min="1033" max="1033" width="10" style="2" customWidth="1"/>
    <col min="1034" max="1034" width="8.42578125" style="2" customWidth="1"/>
    <col min="1035" max="1035" width="12.28515625" style="2" customWidth="1"/>
    <col min="1036" max="1036" width="7.5703125" style="2" customWidth="1"/>
    <col min="1037" max="1037" width="7.85546875" style="2" customWidth="1"/>
    <col min="1038" max="1038" width="8.28515625" style="2" customWidth="1"/>
    <col min="1039" max="1039" width="9.140625" style="2"/>
    <col min="1040" max="1042" width="7.5703125" style="2" customWidth="1"/>
    <col min="1043" max="1043" width="10.28515625" style="2" customWidth="1"/>
    <col min="1044" max="1044" width="10.5703125" style="2" customWidth="1"/>
    <col min="1045" max="1045" width="11.140625" style="2" customWidth="1"/>
    <col min="1046" max="1046" width="10.42578125" style="2" customWidth="1"/>
    <col min="1047" max="1056" width="11" style="2" customWidth="1"/>
    <col min="1057" max="1057" width="9.140625" style="2" customWidth="1"/>
    <col min="1058" max="1058" width="6.85546875" style="2" customWidth="1"/>
    <col min="1059" max="1059" width="15" style="2" bestFit="1" customWidth="1"/>
    <col min="1060" max="1284" width="9.140625" style="2"/>
    <col min="1285" max="1285" width="4" style="2" customWidth="1"/>
    <col min="1286" max="1286" width="24.42578125" style="2" customWidth="1"/>
    <col min="1287" max="1287" width="19.85546875" style="2" customWidth="1"/>
    <col min="1288" max="1288" width="9.28515625" style="2" customWidth="1"/>
    <col min="1289" max="1289" width="10" style="2" customWidth="1"/>
    <col min="1290" max="1290" width="8.42578125" style="2" customWidth="1"/>
    <col min="1291" max="1291" width="12.28515625" style="2" customWidth="1"/>
    <col min="1292" max="1292" width="7.5703125" style="2" customWidth="1"/>
    <col min="1293" max="1293" width="7.85546875" style="2" customWidth="1"/>
    <col min="1294" max="1294" width="8.28515625" style="2" customWidth="1"/>
    <col min="1295" max="1295" width="9.140625" style="2"/>
    <col min="1296" max="1298" width="7.5703125" style="2" customWidth="1"/>
    <col min="1299" max="1299" width="10.28515625" style="2" customWidth="1"/>
    <col min="1300" max="1300" width="10.5703125" style="2" customWidth="1"/>
    <col min="1301" max="1301" width="11.140625" style="2" customWidth="1"/>
    <col min="1302" max="1302" width="10.42578125" style="2" customWidth="1"/>
    <col min="1303" max="1312" width="11" style="2" customWidth="1"/>
    <col min="1313" max="1313" width="9.140625" style="2" customWidth="1"/>
    <col min="1314" max="1314" width="6.85546875" style="2" customWidth="1"/>
    <col min="1315" max="1315" width="15" style="2" bestFit="1" customWidth="1"/>
    <col min="1316" max="1540" width="9.140625" style="2"/>
    <col min="1541" max="1541" width="4" style="2" customWidth="1"/>
    <col min="1542" max="1542" width="24.42578125" style="2" customWidth="1"/>
    <col min="1543" max="1543" width="19.85546875" style="2" customWidth="1"/>
    <col min="1544" max="1544" width="9.28515625" style="2" customWidth="1"/>
    <col min="1545" max="1545" width="10" style="2" customWidth="1"/>
    <col min="1546" max="1546" width="8.42578125" style="2" customWidth="1"/>
    <col min="1547" max="1547" width="12.28515625" style="2" customWidth="1"/>
    <col min="1548" max="1548" width="7.5703125" style="2" customWidth="1"/>
    <col min="1549" max="1549" width="7.85546875" style="2" customWidth="1"/>
    <col min="1550" max="1550" width="8.28515625" style="2" customWidth="1"/>
    <col min="1551" max="1551" width="9.140625" style="2"/>
    <col min="1552" max="1554" width="7.5703125" style="2" customWidth="1"/>
    <col min="1555" max="1555" width="10.28515625" style="2" customWidth="1"/>
    <col min="1556" max="1556" width="10.5703125" style="2" customWidth="1"/>
    <col min="1557" max="1557" width="11.140625" style="2" customWidth="1"/>
    <col min="1558" max="1558" width="10.42578125" style="2" customWidth="1"/>
    <col min="1559" max="1568" width="11" style="2" customWidth="1"/>
    <col min="1569" max="1569" width="9.140625" style="2" customWidth="1"/>
    <col min="1570" max="1570" width="6.85546875" style="2" customWidth="1"/>
    <col min="1571" max="1571" width="15" style="2" bestFit="1" customWidth="1"/>
    <col min="1572" max="1796" width="9.140625" style="2"/>
    <col min="1797" max="1797" width="4" style="2" customWidth="1"/>
    <col min="1798" max="1798" width="24.42578125" style="2" customWidth="1"/>
    <col min="1799" max="1799" width="19.85546875" style="2" customWidth="1"/>
    <col min="1800" max="1800" width="9.28515625" style="2" customWidth="1"/>
    <col min="1801" max="1801" width="10" style="2" customWidth="1"/>
    <col min="1802" max="1802" width="8.42578125" style="2" customWidth="1"/>
    <col min="1803" max="1803" width="12.28515625" style="2" customWidth="1"/>
    <col min="1804" max="1804" width="7.5703125" style="2" customWidth="1"/>
    <col min="1805" max="1805" width="7.85546875" style="2" customWidth="1"/>
    <col min="1806" max="1806" width="8.28515625" style="2" customWidth="1"/>
    <col min="1807" max="1807" width="9.140625" style="2"/>
    <col min="1808" max="1810" width="7.5703125" style="2" customWidth="1"/>
    <col min="1811" max="1811" width="10.28515625" style="2" customWidth="1"/>
    <col min="1812" max="1812" width="10.5703125" style="2" customWidth="1"/>
    <col min="1813" max="1813" width="11.140625" style="2" customWidth="1"/>
    <col min="1814" max="1814" width="10.42578125" style="2" customWidth="1"/>
    <col min="1815" max="1824" width="11" style="2" customWidth="1"/>
    <col min="1825" max="1825" width="9.140625" style="2" customWidth="1"/>
    <col min="1826" max="1826" width="6.85546875" style="2" customWidth="1"/>
    <col min="1827" max="1827" width="15" style="2" bestFit="1" customWidth="1"/>
    <col min="1828" max="2052" width="9.140625" style="2"/>
    <col min="2053" max="2053" width="4" style="2" customWidth="1"/>
    <col min="2054" max="2054" width="24.42578125" style="2" customWidth="1"/>
    <col min="2055" max="2055" width="19.85546875" style="2" customWidth="1"/>
    <col min="2056" max="2056" width="9.28515625" style="2" customWidth="1"/>
    <col min="2057" max="2057" width="10" style="2" customWidth="1"/>
    <col min="2058" max="2058" width="8.42578125" style="2" customWidth="1"/>
    <col min="2059" max="2059" width="12.28515625" style="2" customWidth="1"/>
    <col min="2060" max="2060" width="7.5703125" style="2" customWidth="1"/>
    <col min="2061" max="2061" width="7.85546875" style="2" customWidth="1"/>
    <col min="2062" max="2062" width="8.28515625" style="2" customWidth="1"/>
    <col min="2063" max="2063" width="9.140625" style="2"/>
    <col min="2064" max="2066" width="7.5703125" style="2" customWidth="1"/>
    <col min="2067" max="2067" width="10.28515625" style="2" customWidth="1"/>
    <col min="2068" max="2068" width="10.5703125" style="2" customWidth="1"/>
    <col min="2069" max="2069" width="11.140625" style="2" customWidth="1"/>
    <col min="2070" max="2070" width="10.42578125" style="2" customWidth="1"/>
    <col min="2071" max="2080" width="11" style="2" customWidth="1"/>
    <col min="2081" max="2081" width="9.140625" style="2" customWidth="1"/>
    <col min="2082" max="2082" width="6.85546875" style="2" customWidth="1"/>
    <col min="2083" max="2083" width="15" style="2" bestFit="1" customWidth="1"/>
    <col min="2084" max="2308" width="9.140625" style="2"/>
    <col min="2309" max="2309" width="4" style="2" customWidth="1"/>
    <col min="2310" max="2310" width="24.42578125" style="2" customWidth="1"/>
    <col min="2311" max="2311" width="19.85546875" style="2" customWidth="1"/>
    <col min="2312" max="2312" width="9.28515625" style="2" customWidth="1"/>
    <col min="2313" max="2313" width="10" style="2" customWidth="1"/>
    <col min="2314" max="2314" width="8.42578125" style="2" customWidth="1"/>
    <col min="2315" max="2315" width="12.28515625" style="2" customWidth="1"/>
    <col min="2316" max="2316" width="7.5703125" style="2" customWidth="1"/>
    <col min="2317" max="2317" width="7.85546875" style="2" customWidth="1"/>
    <col min="2318" max="2318" width="8.28515625" style="2" customWidth="1"/>
    <col min="2319" max="2319" width="9.140625" style="2"/>
    <col min="2320" max="2322" width="7.5703125" style="2" customWidth="1"/>
    <col min="2323" max="2323" width="10.28515625" style="2" customWidth="1"/>
    <col min="2324" max="2324" width="10.5703125" style="2" customWidth="1"/>
    <col min="2325" max="2325" width="11.140625" style="2" customWidth="1"/>
    <col min="2326" max="2326" width="10.42578125" style="2" customWidth="1"/>
    <col min="2327" max="2336" width="11" style="2" customWidth="1"/>
    <col min="2337" max="2337" width="9.140625" style="2" customWidth="1"/>
    <col min="2338" max="2338" width="6.85546875" style="2" customWidth="1"/>
    <col min="2339" max="2339" width="15" style="2" bestFit="1" customWidth="1"/>
    <col min="2340" max="2564" width="9.140625" style="2"/>
    <col min="2565" max="2565" width="4" style="2" customWidth="1"/>
    <col min="2566" max="2566" width="24.42578125" style="2" customWidth="1"/>
    <col min="2567" max="2567" width="19.85546875" style="2" customWidth="1"/>
    <col min="2568" max="2568" width="9.28515625" style="2" customWidth="1"/>
    <col min="2569" max="2569" width="10" style="2" customWidth="1"/>
    <col min="2570" max="2570" width="8.42578125" style="2" customWidth="1"/>
    <col min="2571" max="2571" width="12.28515625" style="2" customWidth="1"/>
    <col min="2572" max="2572" width="7.5703125" style="2" customWidth="1"/>
    <col min="2573" max="2573" width="7.85546875" style="2" customWidth="1"/>
    <col min="2574" max="2574" width="8.28515625" style="2" customWidth="1"/>
    <col min="2575" max="2575" width="9.140625" style="2"/>
    <col min="2576" max="2578" width="7.5703125" style="2" customWidth="1"/>
    <col min="2579" max="2579" width="10.28515625" style="2" customWidth="1"/>
    <col min="2580" max="2580" width="10.5703125" style="2" customWidth="1"/>
    <col min="2581" max="2581" width="11.140625" style="2" customWidth="1"/>
    <col min="2582" max="2582" width="10.42578125" style="2" customWidth="1"/>
    <col min="2583" max="2592" width="11" style="2" customWidth="1"/>
    <col min="2593" max="2593" width="9.140625" style="2" customWidth="1"/>
    <col min="2594" max="2594" width="6.85546875" style="2" customWidth="1"/>
    <col min="2595" max="2595" width="15" style="2" bestFit="1" customWidth="1"/>
    <col min="2596" max="2820" width="9.140625" style="2"/>
    <col min="2821" max="2821" width="4" style="2" customWidth="1"/>
    <col min="2822" max="2822" width="24.42578125" style="2" customWidth="1"/>
    <col min="2823" max="2823" width="19.85546875" style="2" customWidth="1"/>
    <col min="2824" max="2824" width="9.28515625" style="2" customWidth="1"/>
    <col min="2825" max="2825" width="10" style="2" customWidth="1"/>
    <col min="2826" max="2826" width="8.42578125" style="2" customWidth="1"/>
    <col min="2827" max="2827" width="12.28515625" style="2" customWidth="1"/>
    <col min="2828" max="2828" width="7.5703125" style="2" customWidth="1"/>
    <col min="2829" max="2829" width="7.85546875" style="2" customWidth="1"/>
    <col min="2830" max="2830" width="8.28515625" style="2" customWidth="1"/>
    <col min="2831" max="2831" width="9.140625" style="2"/>
    <col min="2832" max="2834" width="7.5703125" style="2" customWidth="1"/>
    <col min="2835" max="2835" width="10.28515625" style="2" customWidth="1"/>
    <col min="2836" max="2836" width="10.5703125" style="2" customWidth="1"/>
    <col min="2837" max="2837" width="11.140625" style="2" customWidth="1"/>
    <col min="2838" max="2838" width="10.42578125" style="2" customWidth="1"/>
    <col min="2839" max="2848" width="11" style="2" customWidth="1"/>
    <col min="2849" max="2849" width="9.140625" style="2" customWidth="1"/>
    <col min="2850" max="2850" width="6.85546875" style="2" customWidth="1"/>
    <col min="2851" max="2851" width="15" style="2" bestFit="1" customWidth="1"/>
    <col min="2852" max="3076" width="9.140625" style="2"/>
    <col min="3077" max="3077" width="4" style="2" customWidth="1"/>
    <col min="3078" max="3078" width="24.42578125" style="2" customWidth="1"/>
    <col min="3079" max="3079" width="19.85546875" style="2" customWidth="1"/>
    <col min="3080" max="3080" width="9.28515625" style="2" customWidth="1"/>
    <col min="3081" max="3081" width="10" style="2" customWidth="1"/>
    <col min="3082" max="3082" width="8.42578125" style="2" customWidth="1"/>
    <col min="3083" max="3083" width="12.28515625" style="2" customWidth="1"/>
    <col min="3084" max="3084" width="7.5703125" style="2" customWidth="1"/>
    <col min="3085" max="3085" width="7.85546875" style="2" customWidth="1"/>
    <col min="3086" max="3086" width="8.28515625" style="2" customWidth="1"/>
    <col min="3087" max="3087" width="9.140625" style="2"/>
    <col min="3088" max="3090" width="7.5703125" style="2" customWidth="1"/>
    <col min="3091" max="3091" width="10.28515625" style="2" customWidth="1"/>
    <col min="3092" max="3092" width="10.5703125" style="2" customWidth="1"/>
    <col min="3093" max="3093" width="11.140625" style="2" customWidth="1"/>
    <col min="3094" max="3094" width="10.42578125" style="2" customWidth="1"/>
    <col min="3095" max="3104" width="11" style="2" customWidth="1"/>
    <col min="3105" max="3105" width="9.140625" style="2" customWidth="1"/>
    <col min="3106" max="3106" width="6.85546875" style="2" customWidth="1"/>
    <col min="3107" max="3107" width="15" style="2" bestFit="1" customWidth="1"/>
    <col min="3108" max="3332" width="9.140625" style="2"/>
    <col min="3333" max="3333" width="4" style="2" customWidth="1"/>
    <col min="3334" max="3334" width="24.42578125" style="2" customWidth="1"/>
    <col min="3335" max="3335" width="19.85546875" style="2" customWidth="1"/>
    <col min="3336" max="3336" width="9.28515625" style="2" customWidth="1"/>
    <col min="3337" max="3337" width="10" style="2" customWidth="1"/>
    <col min="3338" max="3338" width="8.42578125" style="2" customWidth="1"/>
    <col min="3339" max="3339" width="12.28515625" style="2" customWidth="1"/>
    <col min="3340" max="3340" width="7.5703125" style="2" customWidth="1"/>
    <col min="3341" max="3341" width="7.85546875" style="2" customWidth="1"/>
    <col min="3342" max="3342" width="8.28515625" style="2" customWidth="1"/>
    <col min="3343" max="3343" width="9.140625" style="2"/>
    <col min="3344" max="3346" width="7.5703125" style="2" customWidth="1"/>
    <col min="3347" max="3347" width="10.28515625" style="2" customWidth="1"/>
    <col min="3348" max="3348" width="10.5703125" style="2" customWidth="1"/>
    <col min="3349" max="3349" width="11.140625" style="2" customWidth="1"/>
    <col min="3350" max="3350" width="10.42578125" style="2" customWidth="1"/>
    <col min="3351" max="3360" width="11" style="2" customWidth="1"/>
    <col min="3361" max="3361" width="9.140625" style="2" customWidth="1"/>
    <col min="3362" max="3362" width="6.85546875" style="2" customWidth="1"/>
    <col min="3363" max="3363" width="15" style="2" bestFit="1" customWidth="1"/>
    <col min="3364" max="3588" width="9.140625" style="2"/>
    <col min="3589" max="3589" width="4" style="2" customWidth="1"/>
    <col min="3590" max="3590" width="24.42578125" style="2" customWidth="1"/>
    <col min="3591" max="3591" width="19.85546875" style="2" customWidth="1"/>
    <col min="3592" max="3592" width="9.28515625" style="2" customWidth="1"/>
    <col min="3593" max="3593" width="10" style="2" customWidth="1"/>
    <col min="3594" max="3594" width="8.42578125" style="2" customWidth="1"/>
    <col min="3595" max="3595" width="12.28515625" style="2" customWidth="1"/>
    <col min="3596" max="3596" width="7.5703125" style="2" customWidth="1"/>
    <col min="3597" max="3597" width="7.85546875" style="2" customWidth="1"/>
    <col min="3598" max="3598" width="8.28515625" style="2" customWidth="1"/>
    <col min="3599" max="3599" width="9.140625" style="2"/>
    <col min="3600" max="3602" width="7.5703125" style="2" customWidth="1"/>
    <col min="3603" max="3603" width="10.28515625" style="2" customWidth="1"/>
    <col min="3604" max="3604" width="10.5703125" style="2" customWidth="1"/>
    <col min="3605" max="3605" width="11.140625" style="2" customWidth="1"/>
    <col min="3606" max="3606" width="10.42578125" style="2" customWidth="1"/>
    <col min="3607" max="3616" width="11" style="2" customWidth="1"/>
    <col min="3617" max="3617" width="9.140625" style="2" customWidth="1"/>
    <col min="3618" max="3618" width="6.85546875" style="2" customWidth="1"/>
    <col min="3619" max="3619" width="15" style="2" bestFit="1" customWidth="1"/>
    <col min="3620" max="3844" width="9.140625" style="2"/>
    <col min="3845" max="3845" width="4" style="2" customWidth="1"/>
    <col min="3846" max="3846" width="24.42578125" style="2" customWidth="1"/>
    <col min="3847" max="3847" width="19.85546875" style="2" customWidth="1"/>
    <col min="3848" max="3848" width="9.28515625" style="2" customWidth="1"/>
    <col min="3849" max="3849" width="10" style="2" customWidth="1"/>
    <col min="3850" max="3850" width="8.42578125" style="2" customWidth="1"/>
    <col min="3851" max="3851" width="12.28515625" style="2" customWidth="1"/>
    <col min="3852" max="3852" width="7.5703125" style="2" customWidth="1"/>
    <col min="3853" max="3853" width="7.85546875" style="2" customWidth="1"/>
    <col min="3854" max="3854" width="8.28515625" style="2" customWidth="1"/>
    <col min="3855" max="3855" width="9.140625" style="2"/>
    <col min="3856" max="3858" width="7.5703125" style="2" customWidth="1"/>
    <col min="3859" max="3859" width="10.28515625" style="2" customWidth="1"/>
    <col min="3860" max="3860" width="10.5703125" style="2" customWidth="1"/>
    <col min="3861" max="3861" width="11.140625" style="2" customWidth="1"/>
    <col min="3862" max="3862" width="10.42578125" style="2" customWidth="1"/>
    <col min="3863" max="3872" width="11" style="2" customWidth="1"/>
    <col min="3873" max="3873" width="9.140625" style="2" customWidth="1"/>
    <col min="3874" max="3874" width="6.85546875" style="2" customWidth="1"/>
    <col min="3875" max="3875" width="15" style="2" bestFit="1" customWidth="1"/>
    <col min="3876" max="4100" width="9.140625" style="2"/>
    <col min="4101" max="4101" width="4" style="2" customWidth="1"/>
    <col min="4102" max="4102" width="24.42578125" style="2" customWidth="1"/>
    <col min="4103" max="4103" width="19.85546875" style="2" customWidth="1"/>
    <col min="4104" max="4104" width="9.28515625" style="2" customWidth="1"/>
    <col min="4105" max="4105" width="10" style="2" customWidth="1"/>
    <col min="4106" max="4106" width="8.42578125" style="2" customWidth="1"/>
    <col min="4107" max="4107" width="12.28515625" style="2" customWidth="1"/>
    <col min="4108" max="4108" width="7.5703125" style="2" customWidth="1"/>
    <col min="4109" max="4109" width="7.85546875" style="2" customWidth="1"/>
    <col min="4110" max="4110" width="8.28515625" style="2" customWidth="1"/>
    <col min="4111" max="4111" width="9.140625" style="2"/>
    <col min="4112" max="4114" width="7.5703125" style="2" customWidth="1"/>
    <col min="4115" max="4115" width="10.28515625" style="2" customWidth="1"/>
    <col min="4116" max="4116" width="10.5703125" style="2" customWidth="1"/>
    <col min="4117" max="4117" width="11.140625" style="2" customWidth="1"/>
    <col min="4118" max="4118" width="10.42578125" style="2" customWidth="1"/>
    <col min="4119" max="4128" width="11" style="2" customWidth="1"/>
    <col min="4129" max="4129" width="9.140625" style="2" customWidth="1"/>
    <col min="4130" max="4130" width="6.85546875" style="2" customWidth="1"/>
    <col min="4131" max="4131" width="15" style="2" bestFit="1" customWidth="1"/>
    <col min="4132" max="4356" width="9.140625" style="2"/>
    <col min="4357" max="4357" width="4" style="2" customWidth="1"/>
    <col min="4358" max="4358" width="24.42578125" style="2" customWidth="1"/>
    <col min="4359" max="4359" width="19.85546875" style="2" customWidth="1"/>
    <col min="4360" max="4360" width="9.28515625" style="2" customWidth="1"/>
    <col min="4361" max="4361" width="10" style="2" customWidth="1"/>
    <col min="4362" max="4362" width="8.42578125" style="2" customWidth="1"/>
    <col min="4363" max="4363" width="12.28515625" style="2" customWidth="1"/>
    <col min="4364" max="4364" width="7.5703125" style="2" customWidth="1"/>
    <col min="4365" max="4365" width="7.85546875" style="2" customWidth="1"/>
    <col min="4366" max="4366" width="8.28515625" style="2" customWidth="1"/>
    <col min="4367" max="4367" width="9.140625" style="2"/>
    <col min="4368" max="4370" width="7.5703125" style="2" customWidth="1"/>
    <col min="4371" max="4371" width="10.28515625" style="2" customWidth="1"/>
    <col min="4372" max="4372" width="10.5703125" style="2" customWidth="1"/>
    <col min="4373" max="4373" width="11.140625" style="2" customWidth="1"/>
    <col min="4374" max="4374" width="10.42578125" style="2" customWidth="1"/>
    <col min="4375" max="4384" width="11" style="2" customWidth="1"/>
    <col min="4385" max="4385" width="9.140625" style="2" customWidth="1"/>
    <col min="4386" max="4386" width="6.85546875" style="2" customWidth="1"/>
    <col min="4387" max="4387" width="15" style="2" bestFit="1" customWidth="1"/>
    <col min="4388" max="4612" width="9.140625" style="2"/>
    <col min="4613" max="4613" width="4" style="2" customWidth="1"/>
    <col min="4614" max="4614" width="24.42578125" style="2" customWidth="1"/>
    <col min="4615" max="4615" width="19.85546875" style="2" customWidth="1"/>
    <col min="4616" max="4616" width="9.28515625" style="2" customWidth="1"/>
    <col min="4617" max="4617" width="10" style="2" customWidth="1"/>
    <col min="4618" max="4618" width="8.42578125" style="2" customWidth="1"/>
    <col min="4619" max="4619" width="12.28515625" style="2" customWidth="1"/>
    <col min="4620" max="4620" width="7.5703125" style="2" customWidth="1"/>
    <col min="4621" max="4621" width="7.85546875" style="2" customWidth="1"/>
    <col min="4622" max="4622" width="8.28515625" style="2" customWidth="1"/>
    <col min="4623" max="4623" width="9.140625" style="2"/>
    <col min="4624" max="4626" width="7.5703125" style="2" customWidth="1"/>
    <col min="4627" max="4627" width="10.28515625" style="2" customWidth="1"/>
    <col min="4628" max="4628" width="10.5703125" style="2" customWidth="1"/>
    <col min="4629" max="4629" width="11.140625" style="2" customWidth="1"/>
    <col min="4630" max="4630" width="10.42578125" style="2" customWidth="1"/>
    <col min="4631" max="4640" width="11" style="2" customWidth="1"/>
    <col min="4641" max="4641" width="9.140625" style="2" customWidth="1"/>
    <col min="4642" max="4642" width="6.85546875" style="2" customWidth="1"/>
    <col min="4643" max="4643" width="15" style="2" bestFit="1" customWidth="1"/>
    <col min="4644" max="4868" width="9.140625" style="2"/>
    <col min="4869" max="4869" width="4" style="2" customWidth="1"/>
    <col min="4870" max="4870" width="24.42578125" style="2" customWidth="1"/>
    <col min="4871" max="4871" width="19.85546875" style="2" customWidth="1"/>
    <col min="4872" max="4872" width="9.28515625" style="2" customWidth="1"/>
    <col min="4873" max="4873" width="10" style="2" customWidth="1"/>
    <col min="4874" max="4874" width="8.42578125" style="2" customWidth="1"/>
    <col min="4875" max="4875" width="12.28515625" style="2" customWidth="1"/>
    <col min="4876" max="4876" width="7.5703125" style="2" customWidth="1"/>
    <col min="4877" max="4877" width="7.85546875" style="2" customWidth="1"/>
    <col min="4878" max="4878" width="8.28515625" style="2" customWidth="1"/>
    <col min="4879" max="4879" width="9.140625" style="2"/>
    <col min="4880" max="4882" width="7.5703125" style="2" customWidth="1"/>
    <col min="4883" max="4883" width="10.28515625" style="2" customWidth="1"/>
    <col min="4884" max="4884" width="10.5703125" style="2" customWidth="1"/>
    <col min="4885" max="4885" width="11.140625" style="2" customWidth="1"/>
    <col min="4886" max="4886" width="10.42578125" style="2" customWidth="1"/>
    <col min="4887" max="4896" width="11" style="2" customWidth="1"/>
    <col min="4897" max="4897" width="9.140625" style="2" customWidth="1"/>
    <col min="4898" max="4898" width="6.85546875" style="2" customWidth="1"/>
    <col min="4899" max="4899" width="15" style="2" bestFit="1" customWidth="1"/>
    <col min="4900" max="5124" width="9.140625" style="2"/>
    <col min="5125" max="5125" width="4" style="2" customWidth="1"/>
    <col min="5126" max="5126" width="24.42578125" style="2" customWidth="1"/>
    <col min="5127" max="5127" width="19.85546875" style="2" customWidth="1"/>
    <col min="5128" max="5128" width="9.28515625" style="2" customWidth="1"/>
    <col min="5129" max="5129" width="10" style="2" customWidth="1"/>
    <col min="5130" max="5130" width="8.42578125" style="2" customWidth="1"/>
    <col min="5131" max="5131" width="12.28515625" style="2" customWidth="1"/>
    <col min="5132" max="5132" width="7.5703125" style="2" customWidth="1"/>
    <col min="5133" max="5133" width="7.85546875" style="2" customWidth="1"/>
    <col min="5134" max="5134" width="8.28515625" style="2" customWidth="1"/>
    <col min="5135" max="5135" width="9.140625" style="2"/>
    <col min="5136" max="5138" width="7.5703125" style="2" customWidth="1"/>
    <col min="5139" max="5139" width="10.28515625" style="2" customWidth="1"/>
    <col min="5140" max="5140" width="10.5703125" style="2" customWidth="1"/>
    <col min="5141" max="5141" width="11.140625" style="2" customWidth="1"/>
    <col min="5142" max="5142" width="10.42578125" style="2" customWidth="1"/>
    <col min="5143" max="5152" width="11" style="2" customWidth="1"/>
    <col min="5153" max="5153" width="9.140625" style="2" customWidth="1"/>
    <col min="5154" max="5154" width="6.85546875" style="2" customWidth="1"/>
    <col min="5155" max="5155" width="15" style="2" bestFit="1" customWidth="1"/>
    <col min="5156" max="5380" width="9.140625" style="2"/>
    <col min="5381" max="5381" width="4" style="2" customWidth="1"/>
    <col min="5382" max="5382" width="24.42578125" style="2" customWidth="1"/>
    <col min="5383" max="5383" width="19.85546875" style="2" customWidth="1"/>
    <col min="5384" max="5384" width="9.28515625" style="2" customWidth="1"/>
    <col min="5385" max="5385" width="10" style="2" customWidth="1"/>
    <col min="5386" max="5386" width="8.42578125" style="2" customWidth="1"/>
    <col min="5387" max="5387" width="12.28515625" style="2" customWidth="1"/>
    <col min="5388" max="5388" width="7.5703125" style="2" customWidth="1"/>
    <col min="5389" max="5389" width="7.85546875" style="2" customWidth="1"/>
    <col min="5390" max="5390" width="8.28515625" style="2" customWidth="1"/>
    <col min="5391" max="5391" width="9.140625" style="2"/>
    <col min="5392" max="5394" width="7.5703125" style="2" customWidth="1"/>
    <col min="5395" max="5395" width="10.28515625" style="2" customWidth="1"/>
    <col min="5396" max="5396" width="10.5703125" style="2" customWidth="1"/>
    <col min="5397" max="5397" width="11.140625" style="2" customWidth="1"/>
    <col min="5398" max="5398" width="10.42578125" style="2" customWidth="1"/>
    <col min="5399" max="5408" width="11" style="2" customWidth="1"/>
    <col min="5409" max="5409" width="9.140625" style="2" customWidth="1"/>
    <col min="5410" max="5410" width="6.85546875" style="2" customWidth="1"/>
    <col min="5411" max="5411" width="15" style="2" bestFit="1" customWidth="1"/>
    <col min="5412" max="5636" width="9.140625" style="2"/>
    <col min="5637" max="5637" width="4" style="2" customWidth="1"/>
    <col min="5638" max="5638" width="24.42578125" style="2" customWidth="1"/>
    <col min="5639" max="5639" width="19.85546875" style="2" customWidth="1"/>
    <col min="5640" max="5640" width="9.28515625" style="2" customWidth="1"/>
    <col min="5641" max="5641" width="10" style="2" customWidth="1"/>
    <col min="5642" max="5642" width="8.42578125" style="2" customWidth="1"/>
    <col min="5643" max="5643" width="12.28515625" style="2" customWidth="1"/>
    <col min="5644" max="5644" width="7.5703125" style="2" customWidth="1"/>
    <col min="5645" max="5645" width="7.85546875" style="2" customWidth="1"/>
    <col min="5646" max="5646" width="8.28515625" style="2" customWidth="1"/>
    <col min="5647" max="5647" width="9.140625" style="2"/>
    <col min="5648" max="5650" width="7.5703125" style="2" customWidth="1"/>
    <col min="5651" max="5651" width="10.28515625" style="2" customWidth="1"/>
    <col min="5652" max="5652" width="10.5703125" style="2" customWidth="1"/>
    <col min="5653" max="5653" width="11.140625" style="2" customWidth="1"/>
    <col min="5654" max="5654" width="10.42578125" style="2" customWidth="1"/>
    <col min="5655" max="5664" width="11" style="2" customWidth="1"/>
    <col min="5665" max="5665" width="9.140625" style="2" customWidth="1"/>
    <col min="5666" max="5666" width="6.85546875" style="2" customWidth="1"/>
    <col min="5667" max="5667" width="15" style="2" bestFit="1" customWidth="1"/>
    <col min="5668" max="5892" width="9.140625" style="2"/>
    <col min="5893" max="5893" width="4" style="2" customWidth="1"/>
    <col min="5894" max="5894" width="24.42578125" style="2" customWidth="1"/>
    <col min="5895" max="5895" width="19.85546875" style="2" customWidth="1"/>
    <col min="5896" max="5896" width="9.28515625" style="2" customWidth="1"/>
    <col min="5897" max="5897" width="10" style="2" customWidth="1"/>
    <col min="5898" max="5898" width="8.42578125" style="2" customWidth="1"/>
    <col min="5899" max="5899" width="12.28515625" style="2" customWidth="1"/>
    <col min="5900" max="5900" width="7.5703125" style="2" customWidth="1"/>
    <col min="5901" max="5901" width="7.85546875" style="2" customWidth="1"/>
    <col min="5902" max="5902" width="8.28515625" style="2" customWidth="1"/>
    <col min="5903" max="5903" width="9.140625" style="2"/>
    <col min="5904" max="5906" width="7.5703125" style="2" customWidth="1"/>
    <col min="5907" max="5907" width="10.28515625" style="2" customWidth="1"/>
    <col min="5908" max="5908" width="10.5703125" style="2" customWidth="1"/>
    <col min="5909" max="5909" width="11.140625" style="2" customWidth="1"/>
    <col min="5910" max="5910" width="10.42578125" style="2" customWidth="1"/>
    <col min="5911" max="5920" width="11" style="2" customWidth="1"/>
    <col min="5921" max="5921" width="9.140625" style="2" customWidth="1"/>
    <col min="5922" max="5922" width="6.85546875" style="2" customWidth="1"/>
    <col min="5923" max="5923" width="15" style="2" bestFit="1" customWidth="1"/>
    <col min="5924" max="6148" width="9.140625" style="2"/>
    <col min="6149" max="6149" width="4" style="2" customWidth="1"/>
    <col min="6150" max="6150" width="24.42578125" style="2" customWidth="1"/>
    <col min="6151" max="6151" width="19.85546875" style="2" customWidth="1"/>
    <col min="6152" max="6152" width="9.28515625" style="2" customWidth="1"/>
    <col min="6153" max="6153" width="10" style="2" customWidth="1"/>
    <col min="6154" max="6154" width="8.42578125" style="2" customWidth="1"/>
    <col min="6155" max="6155" width="12.28515625" style="2" customWidth="1"/>
    <col min="6156" max="6156" width="7.5703125" style="2" customWidth="1"/>
    <col min="6157" max="6157" width="7.85546875" style="2" customWidth="1"/>
    <col min="6158" max="6158" width="8.28515625" style="2" customWidth="1"/>
    <col min="6159" max="6159" width="9.140625" style="2"/>
    <col min="6160" max="6162" width="7.5703125" style="2" customWidth="1"/>
    <col min="6163" max="6163" width="10.28515625" style="2" customWidth="1"/>
    <col min="6164" max="6164" width="10.5703125" style="2" customWidth="1"/>
    <col min="6165" max="6165" width="11.140625" style="2" customWidth="1"/>
    <col min="6166" max="6166" width="10.42578125" style="2" customWidth="1"/>
    <col min="6167" max="6176" width="11" style="2" customWidth="1"/>
    <col min="6177" max="6177" width="9.140625" style="2" customWidth="1"/>
    <col min="6178" max="6178" width="6.85546875" style="2" customWidth="1"/>
    <col min="6179" max="6179" width="15" style="2" bestFit="1" customWidth="1"/>
    <col min="6180" max="6404" width="9.140625" style="2"/>
    <col min="6405" max="6405" width="4" style="2" customWidth="1"/>
    <col min="6406" max="6406" width="24.42578125" style="2" customWidth="1"/>
    <col min="6407" max="6407" width="19.85546875" style="2" customWidth="1"/>
    <col min="6408" max="6408" width="9.28515625" style="2" customWidth="1"/>
    <col min="6409" max="6409" width="10" style="2" customWidth="1"/>
    <col min="6410" max="6410" width="8.42578125" style="2" customWidth="1"/>
    <col min="6411" max="6411" width="12.28515625" style="2" customWidth="1"/>
    <col min="6412" max="6412" width="7.5703125" style="2" customWidth="1"/>
    <col min="6413" max="6413" width="7.85546875" style="2" customWidth="1"/>
    <col min="6414" max="6414" width="8.28515625" style="2" customWidth="1"/>
    <col min="6415" max="6415" width="9.140625" style="2"/>
    <col min="6416" max="6418" width="7.5703125" style="2" customWidth="1"/>
    <col min="6419" max="6419" width="10.28515625" style="2" customWidth="1"/>
    <col min="6420" max="6420" width="10.5703125" style="2" customWidth="1"/>
    <col min="6421" max="6421" width="11.140625" style="2" customWidth="1"/>
    <col min="6422" max="6422" width="10.42578125" style="2" customWidth="1"/>
    <col min="6423" max="6432" width="11" style="2" customWidth="1"/>
    <col min="6433" max="6433" width="9.140625" style="2" customWidth="1"/>
    <col min="6434" max="6434" width="6.85546875" style="2" customWidth="1"/>
    <col min="6435" max="6435" width="15" style="2" bestFit="1" customWidth="1"/>
    <col min="6436" max="6660" width="9.140625" style="2"/>
    <col min="6661" max="6661" width="4" style="2" customWidth="1"/>
    <col min="6662" max="6662" width="24.42578125" style="2" customWidth="1"/>
    <col min="6663" max="6663" width="19.85546875" style="2" customWidth="1"/>
    <col min="6664" max="6664" width="9.28515625" style="2" customWidth="1"/>
    <col min="6665" max="6665" width="10" style="2" customWidth="1"/>
    <col min="6666" max="6666" width="8.42578125" style="2" customWidth="1"/>
    <col min="6667" max="6667" width="12.28515625" style="2" customWidth="1"/>
    <col min="6668" max="6668" width="7.5703125" style="2" customWidth="1"/>
    <col min="6669" max="6669" width="7.85546875" style="2" customWidth="1"/>
    <col min="6670" max="6670" width="8.28515625" style="2" customWidth="1"/>
    <col min="6671" max="6671" width="9.140625" style="2"/>
    <col min="6672" max="6674" width="7.5703125" style="2" customWidth="1"/>
    <col min="6675" max="6675" width="10.28515625" style="2" customWidth="1"/>
    <col min="6676" max="6676" width="10.5703125" style="2" customWidth="1"/>
    <col min="6677" max="6677" width="11.140625" style="2" customWidth="1"/>
    <col min="6678" max="6678" width="10.42578125" style="2" customWidth="1"/>
    <col min="6679" max="6688" width="11" style="2" customWidth="1"/>
    <col min="6689" max="6689" width="9.140625" style="2" customWidth="1"/>
    <col min="6690" max="6690" width="6.85546875" style="2" customWidth="1"/>
    <col min="6691" max="6691" width="15" style="2" bestFit="1" customWidth="1"/>
    <col min="6692" max="6916" width="9.140625" style="2"/>
    <col min="6917" max="6917" width="4" style="2" customWidth="1"/>
    <col min="6918" max="6918" width="24.42578125" style="2" customWidth="1"/>
    <col min="6919" max="6919" width="19.85546875" style="2" customWidth="1"/>
    <col min="6920" max="6920" width="9.28515625" style="2" customWidth="1"/>
    <col min="6921" max="6921" width="10" style="2" customWidth="1"/>
    <col min="6922" max="6922" width="8.42578125" style="2" customWidth="1"/>
    <col min="6923" max="6923" width="12.28515625" style="2" customWidth="1"/>
    <col min="6924" max="6924" width="7.5703125" style="2" customWidth="1"/>
    <col min="6925" max="6925" width="7.85546875" style="2" customWidth="1"/>
    <col min="6926" max="6926" width="8.28515625" style="2" customWidth="1"/>
    <col min="6927" max="6927" width="9.140625" style="2"/>
    <col min="6928" max="6930" width="7.5703125" style="2" customWidth="1"/>
    <col min="6931" max="6931" width="10.28515625" style="2" customWidth="1"/>
    <col min="6932" max="6932" width="10.5703125" style="2" customWidth="1"/>
    <col min="6933" max="6933" width="11.140625" style="2" customWidth="1"/>
    <col min="6934" max="6934" width="10.42578125" style="2" customWidth="1"/>
    <col min="6935" max="6944" width="11" style="2" customWidth="1"/>
    <col min="6945" max="6945" width="9.140625" style="2" customWidth="1"/>
    <col min="6946" max="6946" width="6.85546875" style="2" customWidth="1"/>
    <col min="6947" max="6947" width="15" style="2" bestFit="1" customWidth="1"/>
    <col min="6948" max="7172" width="9.140625" style="2"/>
    <col min="7173" max="7173" width="4" style="2" customWidth="1"/>
    <col min="7174" max="7174" width="24.42578125" style="2" customWidth="1"/>
    <col min="7175" max="7175" width="19.85546875" style="2" customWidth="1"/>
    <col min="7176" max="7176" width="9.28515625" style="2" customWidth="1"/>
    <col min="7177" max="7177" width="10" style="2" customWidth="1"/>
    <col min="7178" max="7178" width="8.42578125" style="2" customWidth="1"/>
    <col min="7179" max="7179" width="12.28515625" style="2" customWidth="1"/>
    <col min="7180" max="7180" width="7.5703125" style="2" customWidth="1"/>
    <col min="7181" max="7181" width="7.85546875" style="2" customWidth="1"/>
    <col min="7182" max="7182" width="8.28515625" style="2" customWidth="1"/>
    <col min="7183" max="7183" width="9.140625" style="2"/>
    <col min="7184" max="7186" width="7.5703125" style="2" customWidth="1"/>
    <col min="7187" max="7187" width="10.28515625" style="2" customWidth="1"/>
    <col min="7188" max="7188" width="10.5703125" style="2" customWidth="1"/>
    <col min="7189" max="7189" width="11.140625" style="2" customWidth="1"/>
    <col min="7190" max="7190" width="10.42578125" style="2" customWidth="1"/>
    <col min="7191" max="7200" width="11" style="2" customWidth="1"/>
    <col min="7201" max="7201" width="9.140625" style="2" customWidth="1"/>
    <col min="7202" max="7202" width="6.85546875" style="2" customWidth="1"/>
    <col min="7203" max="7203" width="15" style="2" bestFit="1" customWidth="1"/>
    <col min="7204" max="7428" width="9.140625" style="2"/>
    <col min="7429" max="7429" width="4" style="2" customWidth="1"/>
    <col min="7430" max="7430" width="24.42578125" style="2" customWidth="1"/>
    <col min="7431" max="7431" width="19.85546875" style="2" customWidth="1"/>
    <col min="7432" max="7432" width="9.28515625" style="2" customWidth="1"/>
    <col min="7433" max="7433" width="10" style="2" customWidth="1"/>
    <col min="7434" max="7434" width="8.42578125" style="2" customWidth="1"/>
    <col min="7435" max="7435" width="12.28515625" style="2" customWidth="1"/>
    <col min="7436" max="7436" width="7.5703125" style="2" customWidth="1"/>
    <col min="7437" max="7437" width="7.85546875" style="2" customWidth="1"/>
    <col min="7438" max="7438" width="8.28515625" style="2" customWidth="1"/>
    <col min="7439" max="7439" width="9.140625" style="2"/>
    <col min="7440" max="7442" width="7.5703125" style="2" customWidth="1"/>
    <col min="7443" max="7443" width="10.28515625" style="2" customWidth="1"/>
    <col min="7444" max="7444" width="10.5703125" style="2" customWidth="1"/>
    <col min="7445" max="7445" width="11.140625" style="2" customWidth="1"/>
    <col min="7446" max="7446" width="10.42578125" style="2" customWidth="1"/>
    <col min="7447" max="7456" width="11" style="2" customWidth="1"/>
    <col min="7457" max="7457" width="9.140625" style="2" customWidth="1"/>
    <col min="7458" max="7458" width="6.85546875" style="2" customWidth="1"/>
    <col min="7459" max="7459" width="15" style="2" bestFit="1" customWidth="1"/>
    <col min="7460" max="7684" width="9.140625" style="2"/>
    <col min="7685" max="7685" width="4" style="2" customWidth="1"/>
    <col min="7686" max="7686" width="24.42578125" style="2" customWidth="1"/>
    <col min="7687" max="7687" width="19.85546875" style="2" customWidth="1"/>
    <col min="7688" max="7688" width="9.28515625" style="2" customWidth="1"/>
    <col min="7689" max="7689" width="10" style="2" customWidth="1"/>
    <col min="7690" max="7690" width="8.42578125" style="2" customWidth="1"/>
    <col min="7691" max="7691" width="12.28515625" style="2" customWidth="1"/>
    <col min="7692" max="7692" width="7.5703125" style="2" customWidth="1"/>
    <col min="7693" max="7693" width="7.85546875" style="2" customWidth="1"/>
    <col min="7694" max="7694" width="8.28515625" style="2" customWidth="1"/>
    <col min="7695" max="7695" width="9.140625" style="2"/>
    <col min="7696" max="7698" width="7.5703125" style="2" customWidth="1"/>
    <col min="7699" max="7699" width="10.28515625" style="2" customWidth="1"/>
    <col min="7700" max="7700" width="10.5703125" style="2" customWidth="1"/>
    <col min="7701" max="7701" width="11.140625" style="2" customWidth="1"/>
    <col min="7702" max="7702" width="10.42578125" style="2" customWidth="1"/>
    <col min="7703" max="7712" width="11" style="2" customWidth="1"/>
    <col min="7713" max="7713" width="9.140625" style="2" customWidth="1"/>
    <col min="7714" max="7714" width="6.85546875" style="2" customWidth="1"/>
    <col min="7715" max="7715" width="15" style="2" bestFit="1" customWidth="1"/>
    <col min="7716" max="7940" width="9.140625" style="2"/>
    <col min="7941" max="7941" width="4" style="2" customWidth="1"/>
    <col min="7942" max="7942" width="24.42578125" style="2" customWidth="1"/>
    <col min="7943" max="7943" width="19.85546875" style="2" customWidth="1"/>
    <col min="7944" max="7944" width="9.28515625" style="2" customWidth="1"/>
    <col min="7945" max="7945" width="10" style="2" customWidth="1"/>
    <col min="7946" max="7946" width="8.42578125" style="2" customWidth="1"/>
    <col min="7947" max="7947" width="12.28515625" style="2" customWidth="1"/>
    <col min="7948" max="7948" width="7.5703125" style="2" customWidth="1"/>
    <col min="7949" max="7949" width="7.85546875" style="2" customWidth="1"/>
    <col min="7950" max="7950" width="8.28515625" style="2" customWidth="1"/>
    <col min="7951" max="7951" width="9.140625" style="2"/>
    <col min="7952" max="7954" width="7.5703125" style="2" customWidth="1"/>
    <col min="7955" max="7955" width="10.28515625" style="2" customWidth="1"/>
    <col min="7956" max="7956" width="10.5703125" style="2" customWidth="1"/>
    <col min="7957" max="7957" width="11.140625" style="2" customWidth="1"/>
    <col min="7958" max="7958" width="10.42578125" style="2" customWidth="1"/>
    <col min="7959" max="7968" width="11" style="2" customWidth="1"/>
    <col min="7969" max="7969" width="9.140625" style="2" customWidth="1"/>
    <col min="7970" max="7970" width="6.85546875" style="2" customWidth="1"/>
    <col min="7971" max="7971" width="15" style="2" bestFit="1" customWidth="1"/>
    <col min="7972" max="8196" width="9.140625" style="2"/>
    <col min="8197" max="8197" width="4" style="2" customWidth="1"/>
    <col min="8198" max="8198" width="24.42578125" style="2" customWidth="1"/>
    <col min="8199" max="8199" width="19.85546875" style="2" customWidth="1"/>
    <col min="8200" max="8200" width="9.28515625" style="2" customWidth="1"/>
    <col min="8201" max="8201" width="10" style="2" customWidth="1"/>
    <col min="8202" max="8202" width="8.42578125" style="2" customWidth="1"/>
    <col min="8203" max="8203" width="12.28515625" style="2" customWidth="1"/>
    <col min="8204" max="8204" width="7.5703125" style="2" customWidth="1"/>
    <col min="8205" max="8205" width="7.85546875" style="2" customWidth="1"/>
    <col min="8206" max="8206" width="8.28515625" style="2" customWidth="1"/>
    <col min="8207" max="8207" width="9.140625" style="2"/>
    <col min="8208" max="8210" width="7.5703125" style="2" customWidth="1"/>
    <col min="8211" max="8211" width="10.28515625" style="2" customWidth="1"/>
    <col min="8212" max="8212" width="10.5703125" style="2" customWidth="1"/>
    <col min="8213" max="8213" width="11.140625" style="2" customWidth="1"/>
    <col min="8214" max="8214" width="10.42578125" style="2" customWidth="1"/>
    <col min="8215" max="8224" width="11" style="2" customWidth="1"/>
    <col min="8225" max="8225" width="9.140625" style="2" customWidth="1"/>
    <col min="8226" max="8226" width="6.85546875" style="2" customWidth="1"/>
    <col min="8227" max="8227" width="15" style="2" bestFit="1" customWidth="1"/>
    <col min="8228" max="8452" width="9.140625" style="2"/>
    <col min="8453" max="8453" width="4" style="2" customWidth="1"/>
    <col min="8454" max="8454" width="24.42578125" style="2" customWidth="1"/>
    <col min="8455" max="8455" width="19.85546875" style="2" customWidth="1"/>
    <col min="8456" max="8456" width="9.28515625" style="2" customWidth="1"/>
    <col min="8457" max="8457" width="10" style="2" customWidth="1"/>
    <col min="8458" max="8458" width="8.42578125" style="2" customWidth="1"/>
    <col min="8459" max="8459" width="12.28515625" style="2" customWidth="1"/>
    <col min="8460" max="8460" width="7.5703125" style="2" customWidth="1"/>
    <col min="8461" max="8461" width="7.85546875" style="2" customWidth="1"/>
    <col min="8462" max="8462" width="8.28515625" style="2" customWidth="1"/>
    <col min="8463" max="8463" width="9.140625" style="2"/>
    <col min="8464" max="8466" width="7.5703125" style="2" customWidth="1"/>
    <col min="8467" max="8467" width="10.28515625" style="2" customWidth="1"/>
    <col min="8468" max="8468" width="10.5703125" style="2" customWidth="1"/>
    <col min="8469" max="8469" width="11.140625" style="2" customWidth="1"/>
    <col min="8470" max="8470" width="10.42578125" style="2" customWidth="1"/>
    <col min="8471" max="8480" width="11" style="2" customWidth="1"/>
    <col min="8481" max="8481" width="9.140625" style="2" customWidth="1"/>
    <col min="8482" max="8482" width="6.85546875" style="2" customWidth="1"/>
    <col min="8483" max="8483" width="15" style="2" bestFit="1" customWidth="1"/>
    <col min="8484" max="8708" width="9.140625" style="2"/>
    <col min="8709" max="8709" width="4" style="2" customWidth="1"/>
    <col min="8710" max="8710" width="24.42578125" style="2" customWidth="1"/>
    <col min="8711" max="8711" width="19.85546875" style="2" customWidth="1"/>
    <col min="8712" max="8712" width="9.28515625" style="2" customWidth="1"/>
    <col min="8713" max="8713" width="10" style="2" customWidth="1"/>
    <col min="8714" max="8714" width="8.42578125" style="2" customWidth="1"/>
    <col min="8715" max="8715" width="12.28515625" style="2" customWidth="1"/>
    <col min="8716" max="8716" width="7.5703125" style="2" customWidth="1"/>
    <col min="8717" max="8717" width="7.85546875" style="2" customWidth="1"/>
    <col min="8718" max="8718" width="8.28515625" style="2" customWidth="1"/>
    <col min="8719" max="8719" width="9.140625" style="2"/>
    <col min="8720" max="8722" width="7.5703125" style="2" customWidth="1"/>
    <col min="8723" max="8723" width="10.28515625" style="2" customWidth="1"/>
    <col min="8724" max="8724" width="10.5703125" style="2" customWidth="1"/>
    <col min="8725" max="8725" width="11.140625" style="2" customWidth="1"/>
    <col min="8726" max="8726" width="10.42578125" style="2" customWidth="1"/>
    <col min="8727" max="8736" width="11" style="2" customWidth="1"/>
    <col min="8737" max="8737" width="9.140625" style="2" customWidth="1"/>
    <col min="8738" max="8738" width="6.85546875" style="2" customWidth="1"/>
    <col min="8739" max="8739" width="15" style="2" bestFit="1" customWidth="1"/>
    <col min="8740" max="8964" width="9.140625" style="2"/>
    <col min="8965" max="8965" width="4" style="2" customWidth="1"/>
    <col min="8966" max="8966" width="24.42578125" style="2" customWidth="1"/>
    <col min="8967" max="8967" width="19.85546875" style="2" customWidth="1"/>
    <col min="8968" max="8968" width="9.28515625" style="2" customWidth="1"/>
    <col min="8969" max="8969" width="10" style="2" customWidth="1"/>
    <col min="8970" max="8970" width="8.42578125" style="2" customWidth="1"/>
    <col min="8971" max="8971" width="12.28515625" style="2" customWidth="1"/>
    <col min="8972" max="8972" width="7.5703125" style="2" customWidth="1"/>
    <col min="8973" max="8973" width="7.85546875" style="2" customWidth="1"/>
    <col min="8974" max="8974" width="8.28515625" style="2" customWidth="1"/>
    <col min="8975" max="8975" width="9.140625" style="2"/>
    <col min="8976" max="8978" width="7.5703125" style="2" customWidth="1"/>
    <col min="8979" max="8979" width="10.28515625" style="2" customWidth="1"/>
    <col min="8980" max="8980" width="10.5703125" style="2" customWidth="1"/>
    <col min="8981" max="8981" width="11.140625" style="2" customWidth="1"/>
    <col min="8982" max="8982" width="10.42578125" style="2" customWidth="1"/>
    <col min="8983" max="8992" width="11" style="2" customWidth="1"/>
    <col min="8993" max="8993" width="9.140625" style="2" customWidth="1"/>
    <col min="8994" max="8994" width="6.85546875" style="2" customWidth="1"/>
    <col min="8995" max="8995" width="15" style="2" bestFit="1" customWidth="1"/>
    <col min="8996" max="9220" width="9.140625" style="2"/>
    <col min="9221" max="9221" width="4" style="2" customWidth="1"/>
    <col min="9222" max="9222" width="24.42578125" style="2" customWidth="1"/>
    <col min="9223" max="9223" width="19.85546875" style="2" customWidth="1"/>
    <col min="9224" max="9224" width="9.28515625" style="2" customWidth="1"/>
    <col min="9225" max="9225" width="10" style="2" customWidth="1"/>
    <col min="9226" max="9226" width="8.42578125" style="2" customWidth="1"/>
    <col min="9227" max="9227" width="12.28515625" style="2" customWidth="1"/>
    <col min="9228" max="9228" width="7.5703125" style="2" customWidth="1"/>
    <col min="9229" max="9229" width="7.85546875" style="2" customWidth="1"/>
    <col min="9230" max="9230" width="8.28515625" style="2" customWidth="1"/>
    <col min="9231" max="9231" width="9.140625" style="2"/>
    <col min="9232" max="9234" width="7.5703125" style="2" customWidth="1"/>
    <col min="9235" max="9235" width="10.28515625" style="2" customWidth="1"/>
    <col min="9236" max="9236" width="10.5703125" style="2" customWidth="1"/>
    <col min="9237" max="9237" width="11.140625" style="2" customWidth="1"/>
    <col min="9238" max="9238" width="10.42578125" style="2" customWidth="1"/>
    <col min="9239" max="9248" width="11" style="2" customWidth="1"/>
    <col min="9249" max="9249" width="9.140625" style="2" customWidth="1"/>
    <col min="9250" max="9250" width="6.85546875" style="2" customWidth="1"/>
    <col min="9251" max="9251" width="15" style="2" bestFit="1" customWidth="1"/>
    <col min="9252" max="9476" width="9.140625" style="2"/>
    <col min="9477" max="9477" width="4" style="2" customWidth="1"/>
    <col min="9478" max="9478" width="24.42578125" style="2" customWidth="1"/>
    <col min="9479" max="9479" width="19.85546875" style="2" customWidth="1"/>
    <col min="9480" max="9480" width="9.28515625" style="2" customWidth="1"/>
    <col min="9481" max="9481" width="10" style="2" customWidth="1"/>
    <col min="9482" max="9482" width="8.42578125" style="2" customWidth="1"/>
    <col min="9483" max="9483" width="12.28515625" style="2" customWidth="1"/>
    <col min="9484" max="9484" width="7.5703125" style="2" customWidth="1"/>
    <col min="9485" max="9485" width="7.85546875" style="2" customWidth="1"/>
    <col min="9486" max="9486" width="8.28515625" style="2" customWidth="1"/>
    <col min="9487" max="9487" width="9.140625" style="2"/>
    <col min="9488" max="9490" width="7.5703125" style="2" customWidth="1"/>
    <col min="9491" max="9491" width="10.28515625" style="2" customWidth="1"/>
    <col min="9492" max="9492" width="10.5703125" style="2" customWidth="1"/>
    <col min="9493" max="9493" width="11.140625" style="2" customWidth="1"/>
    <col min="9494" max="9494" width="10.42578125" style="2" customWidth="1"/>
    <col min="9495" max="9504" width="11" style="2" customWidth="1"/>
    <col min="9505" max="9505" width="9.140625" style="2" customWidth="1"/>
    <col min="9506" max="9506" width="6.85546875" style="2" customWidth="1"/>
    <col min="9507" max="9507" width="15" style="2" bestFit="1" customWidth="1"/>
    <col min="9508" max="9732" width="9.140625" style="2"/>
    <col min="9733" max="9733" width="4" style="2" customWidth="1"/>
    <col min="9734" max="9734" width="24.42578125" style="2" customWidth="1"/>
    <col min="9735" max="9735" width="19.85546875" style="2" customWidth="1"/>
    <col min="9736" max="9736" width="9.28515625" style="2" customWidth="1"/>
    <col min="9737" max="9737" width="10" style="2" customWidth="1"/>
    <col min="9738" max="9738" width="8.42578125" style="2" customWidth="1"/>
    <col min="9739" max="9739" width="12.28515625" style="2" customWidth="1"/>
    <col min="9740" max="9740" width="7.5703125" style="2" customWidth="1"/>
    <col min="9741" max="9741" width="7.85546875" style="2" customWidth="1"/>
    <col min="9742" max="9742" width="8.28515625" style="2" customWidth="1"/>
    <col min="9743" max="9743" width="9.140625" style="2"/>
    <col min="9744" max="9746" width="7.5703125" style="2" customWidth="1"/>
    <col min="9747" max="9747" width="10.28515625" style="2" customWidth="1"/>
    <col min="9748" max="9748" width="10.5703125" style="2" customWidth="1"/>
    <col min="9749" max="9749" width="11.140625" style="2" customWidth="1"/>
    <col min="9750" max="9750" width="10.42578125" style="2" customWidth="1"/>
    <col min="9751" max="9760" width="11" style="2" customWidth="1"/>
    <col min="9761" max="9761" width="9.140625" style="2" customWidth="1"/>
    <col min="9762" max="9762" width="6.85546875" style="2" customWidth="1"/>
    <col min="9763" max="9763" width="15" style="2" bestFit="1" customWidth="1"/>
    <col min="9764" max="9988" width="9.140625" style="2"/>
    <col min="9989" max="9989" width="4" style="2" customWidth="1"/>
    <col min="9990" max="9990" width="24.42578125" style="2" customWidth="1"/>
    <col min="9991" max="9991" width="19.85546875" style="2" customWidth="1"/>
    <col min="9992" max="9992" width="9.28515625" style="2" customWidth="1"/>
    <col min="9993" max="9993" width="10" style="2" customWidth="1"/>
    <col min="9994" max="9994" width="8.42578125" style="2" customWidth="1"/>
    <col min="9995" max="9995" width="12.28515625" style="2" customWidth="1"/>
    <col min="9996" max="9996" width="7.5703125" style="2" customWidth="1"/>
    <col min="9997" max="9997" width="7.85546875" style="2" customWidth="1"/>
    <col min="9998" max="9998" width="8.28515625" style="2" customWidth="1"/>
    <col min="9999" max="9999" width="9.140625" style="2"/>
    <col min="10000" max="10002" width="7.5703125" style="2" customWidth="1"/>
    <col min="10003" max="10003" width="10.28515625" style="2" customWidth="1"/>
    <col min="10004" max="10004" width="10.5703125" style="2" customWidth="1"/>
    <col min="10005" max="10005" width="11.140625" style="2" customWidth="1"/>
    <col min="10006" max="10006" width="10.42578125" style="2" customWidth="1"/>
    <col min="10007" max="10016" width="11" style="2" customWidth="1"/>
    <col min="10017" max="10017" width="9.140625" style="2" customWidth="1"/>
    <col min="10018" max="10018" width="6.85546875" style="2" customWidth="1"/>
    <col min="10019" max="10019" width="15" style="2" bestFit="1" customWidth="1"/>
    <col min="10020" max="10244" width="9.140625" style="2"/>
    <col min="10245" max="10245" width="4" style="2" customWidth="1"/>
    <col min="10246" max="10246" width="24.42578125" style="2" customWidth="1"/>
    <col min="10247" max="10247" width="19.85546875" style="2" customWidth="1"/>
    <col min="10248" max="10248" width="9.28515625" style="2" customWidth="1"/>
    <col min="10249" max="10249" width="10" style="2" customWidth="1"/>
    <col min="10250" max="10250" width="8.42578125" style="2" customWidth="1"/>
    <col min="10251" max="10251" width="12.28515625" style="2" customWidth="1"/>
    <col min="10252" max="10252" width="7.5703125" style="2" customWidth="1"/>
    <col min="10253" max="10253" width="7.85546875" style="2" customWidth="1"/>
    <col min="10254" max="10254" width="8.28515625" style="2" customWidth="1"/>
    <col min="10255" max="10255" width="9.140625" style="2"/>
    <col min="10256" max="10258" width="7.5703125" style="2" customWidth="1"/>
    <col min="10259" max="10259" width="10.28515625" style="2" customWidth="1"/>
    <col min="10260" max="10260" width="10.5703125" style="2" customWidth="1"/>
    <col min="10261" max="10261" width="11.140625" style="2" customWidth="1"/>
    <col min="10262" max="10262" width="10.42578125" style="2" customWidth="1"/>
    <col min="10263" max="10272" width="11" style="2" customWidth="1"/>
    <col min="10273" max="10273" width="9.140625" style="2" customWidth="1"/>
    <col min="10274" max="10274" width="6.85546875" style="2" customWidth="1"/>
    <col min="10275" max="10275" width="15" style="2" bestFit="1" customWidth="1"/>
    <col min="10276" max="10500" width="9.140625" style="2"/>
    <col min="10501" max="10501" width="4" style="2" customWidth="1"/>
    <col min="10502" max="10502" width="24.42578125" style="2" customWidth="1"/>
    <col min="10503" max="10503" width="19.85546875" style="2" customWidth="1"/>
    <col min="10504" max="10504" width="9.28515625" style="2" customWidth="1"/>
    <col min="10505" max="10505" width="10" style="2" customWidth="1"/>
    <col min="10506" max="10506" width="8.42578125" style="2" customWidth="1"/>
    <col min="10507" max="10507" width="12.28515625" style="2" customWidth="1"/>
    <col min="10508" max="10508" width="7.5703125" style="2" customWidth="1"/>
    <col min="10509" max="10509" width="7.85546875" style="2" customWidth="1"/>
    <col min="10510" max="10510" width="8.28515625" style="2" customWidth="1"/>
    <col min="10511" max="10511" width="9.140625" style="2"/>
    <col min="10512" max="10514" width="7.5703125" style="2" customWidth="1"/>
    <col min="10515" max="10515" width="10.28515625" style="2" customWidth="1"/>
    <col min="10516" max="10516" width="10.5703125" style="2" customWidth="1"/>
    <col min="10517" max="10517" width="11.140625" style="2" customWidth="1"/>
    <col min="10518" max="10518" width="10.42578125" style="2" customWidth="1"/>
    <col min="10519" max="10528" width="11" style="2" customWidth="1"/>
    <col min="10529" max="10529" width="9.140625" style="2" customWidth="1"/>
    <col min="10530" max="10530" width="6.85546875" style="2" customWidth="1"/>
    <col min="10531" max="10531" width="15" style="2" bestFit="1" customWidth="1"/>
    <col min="10532" max="10756" width="9.140625" style="2"/>
    <col min="10757" max="10757" width="4" style="2" customWidth="1"/>
    <col min="10758" max="10758" width="24.42578125" style="2" customWidth="1"/>
    <col min="10759" max="10759" width="19.85546875" style="2" customWidth="1"/>
    <col min="10760" max="10760" width="9.28515625" style="2" customWidth="1"/>
    <col min="10761" max="10761" width="10" style="2" customWidth="1"/>
    <col min="10762" max="10762" width="8.42578125" style="2" customWidth="1"/>
    <col min="10763" max="10763" width="12.28515625" style="2" customWidth="1"/>
    <col min="10764" max="10764" width="7.5703125" style="2" customWidth="1"/>
    <col min="10765" max="10765" width="7.85546875" style="2" customWidth="1"/>
    <col min="10766" max="10766" width="8.28515625" style="2" customWidth="1"/>
    <col min="10767" max="10767" width="9.140625" style="2"/>
    <col min="10768" max="10770" width="7.5703125" style="2" customWidth="1"/>
    <col min="10771" max="10771" width="10.28515625" style="2" customWidth="1"/>
    <col min="10772" max="10772" width="10.5703125" style="2" customWidth="1"/>
    <col min="10773" max="10773" width="11.140625" style="2" customWidth="1"/>
    <col min="10774" max="10774" width="10.42578125" style="2" customWidth="1"/>
    <col min="10775" max="10784" width="11" style="2" customWidth="1"/>
    <col min="10785" max="10785" width="9.140625" style="2" customWidth="1"/>
    <col min="10786" max="10786" width="6.85546875" style="2" customWidth="1"/>
    <col min="10787" max="10787" width="15" style="2" bestFit="1" customWidth="1"/>
    <col min="10788" max="11012" width="9.140625" style="2"/>
    <col min="11013" max="11013" width="4" style="2" customWidth="1"/>
    <col min="11014" max="11014" width="24.42578125" style="2" customWidth="1"/>
    <col min="11015" max="11015" width="19.85546875" style="2" customWidth="1"/>
    <col min="11016" max="11016" width="9.28515625" style="2" customWidth="1"/>
    <col min="11017" max="11017" width="10" style="2" customWidth="1"/>
    <col min="11018" max="11018" width="8.42578125" style="2" customWidth="1"/>
    <col min="11019" max="11019" width="12.28515625" style="2" customWidth="1"/>
    <col min="11020" max="11020" width="7.5703125" style="2" customWidth="1"/>
    <col min="11021" max="11021" width="7.85546875" style="2" customWidth="1"/>
    <col min="11022" max="11022" width="8.28515625" style="2" customWidth="1"/>
    <col min="11023" max="11023" width="9.140625" style="2"/>
    <col min="11024" max="11026" width="7.5703125" style="2" customWidth="1"/>
    <col min="11027" max="11027" width="10.28515625" style="2" customWidth="1"/>
    <col min="11028" max="11028" width="10.5703125" style="2" customWidth="1"/>
    <col min="11029" max="11029" width="11.140625" style="2" customWidth="1"/>
    <col min="11030" max="11030" width="10.42578125" style="2" customWidth="1"/>
    <col min="11031" max="11040" width="11" style="2" customWidth="1"/>
    <col min="11041" max="11041" width="9.140625" style="2" customWidth="1"/>
    <col min="11042" max="11042" width="6.85546875" style="2" customWidth="1"/>
    <col min="11043" max="11043" width="15" style="2" bestFit="1" customWidth="1"/>
    <col min="11044" max="11268" width="9.140625" style="2"/>
    <col min="11269" max="11269" width="4" style="2" customWidth="1"/>
    <col min="11270" max="11270" width="24.42578125" style="2" customWidth="1"/>
    <col min="11271" max="11271" width="19.85546875" style="2" customWidth="1"/>
    <col min="11272" max="11272" width="9.28515625" style="2" customWidth="1"/>
    <col min="11273" max="11273" width="10" style="2" customWidth="1"/>
    <col min="11274" max="11274" width="8.42578125" style="2" customWidth="1"/>
    <col min="11275" max="11275" width="12.28515625" style="2" customWidth="1"/>
    <col min="11276" max="11276" width="7.5703125" style="2" customWidth="1"/>
    <col min="11277" max="11277" width="7.85546875" style="2" customWidth="1"/>
    <col min="11278" max="11278" width="8.28515625" style="2" customWidth="1"/>
    <col min="11279" max="11279" width="9.140625" style="2"/>
    <col min="11280" max="11282" width="7.5703125" style="2" customWidth="1"/>
    <col min="11283" max="11283" width="10.28515625" style="2" customWidth="1"/>
    <col min="11284" max="11284" width="10.5703125" style="2" customWidth="1"/>
    <col min="11285" max="11285" width="11.140625" style="2" customWidth="1"/>
    <col min="11286" max="11286" width="10.42578125" style="2" customWidth="1"/>
    <col min="11287" max="11296" width="11" style="2" customWidth="1"/>
    <col min="11297" max="11297" width="9.140625" style="2" customWidth="1"/>
    <col min="11298" max="11298" width="6.85546875" style="2" customWidth="1"/>
    <col min="11299" max="11299" width="15" style="2" bestFit="1" customWidth="1"/>
    <col min="11300" max="11524" width="9.140625" style="2"/>
    <col min="11525" max="11525" width="4" style="2" customWidth="1"/>
    <col min="11526" max="11526" width="24.42578125" style="2" customWidth="1"/>
    <col min="11527" max="11527" width="19.85546875" style="2" customWidth="1"/>
    <col min="11528" max="11528" width="9.28515625" style="2" customWidth="1"/>
    <col min="11529" max="11529" width="10" style="2" customWidth="1"/>
    <col min="11530" max="11530" width="8.42578125" style="2" customWidth="1"/>
    <col min="11531" max="11531" width="12.28515625" style="2" customWidth="1"/>
    <col min="11532" max="11532" width="7.5703125" style="2" customWidth="1"/>
    <col min="11533" max="11533" width="7.85546875" style="2" customWidth="1"/>
    <col min="11534" max="11534" width="8.28515625" style="2" customWidth="1"/>
    <col min="11535" max="11535" width="9.140625" style="2"/>
    <col min="11536" max="11538" width="7.5703125" style="2" customWidth="1"/>
    <col min="11539" max="11539" width="10.28515625" style="2" customWidth="1"/>
    <col min="11540" max="11540" width="10.5703125" style="2" customWidth="1"/>
    <col min="11541" max="11541" width="11.140625" style="2" customWidth="1"/>
    <col min="11542" max="11542" width="10.42578125" style="2" customWidth="1"/>
    <col min="11543" max="11552" width="11" style="2" customWidth="1"/>
    <col min="11553" max="11553" width="9.140625" style="2" customWidth="1"/>
    <col min="11554" max="11554" width="6.85546875" style="2" customWidth="1"/>
    <col min="11555" max="11555" width="15" style="2" bestFit="1" customWidth="1"/>
    <col min="11556" max="11780" width="9.140625" style="2"/>
    <col min="11781" max="11781" width="4" style="2" customWidth="1"/>
    <col min="11782" max="11782" width="24.42578125" style="2" customWidth="1"/>
    <col min="11783" max="11783" width="19.85546875" style="2" customWidth="1"/>
    <col min="11784" max="11784" width="9.28515625" style="2" customWidth="1"/>
    <col min="11785" max="11785" width="10" style="2" customWidth="1"/>
    <col min="11786" max="11786" width="8.42578125" style="2" customWidth="1"/>
    <col min="11787" max="11787" width="12.28515625" style="2" customWidth="1"/>
    <col min="11788" max="11788" width="7.5703125" style="2" customWidth="1"/>
    <col min="11789" max="11789" width="7.85546875" style="2" customWidth="1"/>
    <col min="11790" max="11790" width="8.28515625" style="2" customWidth="1"/>
    <col min="11791" max="11791" width="9.140625" style="2"/>
    <col min="11792" max="11794" width="7.5703125" style="2" customWidth="1"/>
    <col min="11795" max="11795" width="10.28515625" style="2" customWidth="1"/>
    <col min="11796" max="11796" width="10.5703125" style="2" customWidth="1"/>
    <col min="11797" max="11797" width="11.140625" style="2" customWidth="1"/>
    <col min="11798" max="11798" width="10.42578125" style="2" customWidth="1"/>
    <col min="11799" max="11808" width="11" style="2" customWidth="1"/>
    <col min="11809" max="11809" width="9.140625" style="2" customWidth="1"/>
    <col min="11810" max="11810" width="6.85546875" style="2" customWidth="1"/>
    <col min="11811" max="11811" width="15" style="2" bestFit="1" customWidth="1"/>
    <col min="11812" max="12036" width="9.140625" style="2"/>
    <col min="12037" max="12037" width="4" style="2" customWidth="1"/>
    <col min="12038" max="12038" width="24.42578125" style="2" customWidth="1"/>
    <col min="12039" max="12039" width="19.85546875" style="2" customWidth="1"/>
    <col min="12040" max="12040" width="9.28515625" style="2" customWidth="1"/>
    <col min="12041" max="12041" width="10" style="2" customWidth="1"/>
    <col min="12042" max="12042" width="8.42578125" style="2" customWidth="1"/>
    <col min="12043" max="12043" width="12.28515625" style="2" customWidth="1"/>
    <col min="12044" max="12044" width="7.5703125" style="2" customWidth="1"/>
    <col min="12045" max="12045" width="7.85546875" style="2" customWidth="1"/>
    <col min="12046" max="12046" width="8.28515625" style="2" customWidth="1"/>
    <col min="12047" max="12047" width="9.140625" style="2"/>
    <col min="12048" max="12050" width="7.5703125" style="2" customWidth="1"/>
    <col min="12051" max="12051" width="10.28515625" style="2" customWidth="1"/>
    <col min="12052" max="12052" width="10.5703125" style="2" customWidth="1"/>
    <col min="12053" max="12053" width="11.140625" style="2" customWidth="1"/>
    <col min="12054" max="12054" width="10.42578125" style="2" customWidth="1"/>
    <col min="12055" max="12064" width="11" style="2" customWidth="1"/>
    <col min="12065" max="12065" width="9.140625" style="2" customWidth="1"/>
    <col min="12066" max="12066" width="6.85546875" style="2" customWidth="1"/>
    <col min="12067" max="12067" width="15" style="2" bestFit="1" customWidth="1"/>
    <col min="12068" max="12292" width="9.140625" style="2"/>
    <col min="12293" max="12293" width="4" style="2" customWidth="1"/>
    <col min="12294" max="12294" width="24.42578125" style="2" customWidth="1"/>
    <col min="12295" max="12295" width="19.85546875" style="2" customWidth="1"/>
    <col min="12296" max="12296" width="9.28515625" style="2" customWidth="1"/>
    <col min="12297" max="12297" width="10" style="2" customWidth="1"/>
    <col min="12298" max="12298" width="8.42578125" style="2" customWidth="1"/>
    <col min="12299" max="12299" width="12.28515625" style="2" customWidth="1"/>
    <col min="12300" max="12300" width="7.5703125" style="2" customWidth="1"/>
    <col min="12301" max="12301" width="7.85546875" style="2" customWidth="1"/>
    <col min="12302" max="12302" width="8.28515625" style="2" customWidth="1"/>
    <col min="12303" max="12303" width="9.140625" style="2"/>
    <col min="12304" max="12306" width="7.5703125" style="2" customWidth="1"/>
    <col min="12307" max="12307" width="10.28515625" style="2" customWidth="1"/>
    <col min="12308" max="12308" width="10.5703125" style="2" customWidth="1"/>
    <col min="12309" max="12309" width="11.140625" style="2" customWidth="1"/>
    <col min="12310" max="12310" width="10.42578125" style="2" customWidth="1"/>
    <col min="12311" max="12320" width="11" style="2" customWidth="1"/>
    <col min="12321" max="12321" width="9.140625" style="2" customWidth="1"/>
    <col min="12322" max="12322" width="6.85546875" style="2" customWidth="1"/>
    <col min="12323" max="12323" width="15" style="2" bestFit="1" customWidth="1"/>
    <col min="12324" max="12548" width="9.140625" style="2"/>
    <col min="12549" max="12549" width="4" style="2" customWidth="1"/>
    <col min="12550" max="12550" width="24.42578125" style="2" customWidth="1"/>
    <col min="12551" max="12551" width="19.85546875" style="2" customWidth="1"/>
    <col min="12552" max="12552" width="9.28515625" style="2" customWidth="1"/>
    <col min="12553" max="12553" width="10" style="2" customWidth="1"/>
    <col min="12554" max="12554" width="8.42578125" style="2" customWidth="1"/>
    <col min="12555" max="12555" width="12.28515625" style="2" customWidth="1"/>
    <col min="12556" max="12556" width="7.5703125" style="2" customWidth="1"/>
    <col min="12557" max="12557" width="7.85546875" style="2" customWidth="1"/>
    <col min="12558" max="12558" width="8.28515625" style="2" customWidth="1"/>
    <col min="12559" max="12559" width="9.140625" style="2"/>
    <col min="12560" max="12562" width="7.5703125" style="2" customWidth="1"/>
    <col min="12563" max="12563" width="10.28515625" style="2" customWidth="1"/>
    <col min="12564" max="12564" width="10.5703125" style="2" customWidth="1"/>
    <col min="12565" max="12565" width="11.140625" style="2" customWidth="1"/>
    <col min="12566" max="12566" width="10.42578125" style="2" customWidth="1"/>
    <col min="12567" max="12576" width="11" style="2" customWidth="1"/>
    <col min="12577" max="12577" width="9.140625" style="2" customWidth="1"/>
    <col min="12578" max="12578" width="6.85546875" style="2" customWidth="1"/>
    <col min="12579" max="12579" width="15" style="2" bestFit="1" customWidth="1"/>
    <col min="12580" max="12804" width="9.140625" style="2"/>
    <col min="12805" max="12805" width="4" style="2" customWidth="1"/>
    <col min="12806" max="12806" width="24.42578125" style="2" customWidth="1"/>
    <col min="12807" max="12807" width="19.85546875" style="2" customWidth="1"/>
    <col min="12808" max="12808" width="9.28515625" style="2" customWidth="1"/>
    <col min="12809" max="12809" width="10" style="2" customWidth="1"/>
    <col min="12810" max="12810" width="8.42578125" style="2" customWidth="1"/>
    <col min="12811" max="12811" width="12.28515625" style="2" customWidth="1"/>
    <col min="12812" max="12812" width="7.5703125" style="2" customWidth="1"/>
    <col min="12813" max="12813" width="7.85546875" style="2" customWidth="1"/>
    <col min="12814" max="12814" width="8.28515625" style="2" customWidth="1"/>
    <col min="12815" max="12815" width="9.140625" style="2"/>
    <col min="12816" max="12818" width="7.5703125" style="2" customWidth="1"/>
    <col min="12819" max="12819" width="10.28515625" style="2" customWidth="1"/>
    <col min="12820" max="12820" width="10.5703125" style="2" customWidth="1"/>
    <col min="12821" max="12821" width="11.140625" style="2" customWidth="1"/>
    <col min="12822" max="12822" width="10.42578125" style="2" customWidth="1"/>
    <col min="12823" max="12832" width="11" style="2" customWidth="1"/>
    <col min="12833" max="12833" width="9.140625" style="2" customWidth="1"/>
    <col min="12834" max="12834" width="6.85546875" style="2" customWidth="1"/>
    <col min="12835" max="12835" width="15" style="2" bestFit="1" customWidth="1"/>
    <col min="12836" max="13060" width="9.140625" style="2"/>
    <col min="13061" max="13061" width="4" style="2" customWidth="1"/>
    <col min="13062" max="13062" width="24.42578125" style="2" customWidth="1"/>
    <col min="13063" max="13063" width="19.85546875" style="2" customWidth="1"/>
    <col min="13064" max="13064" width="9.28515625" style="2" customWidth="1"/>
    <col min="13065" max="13065" width="10" style="2" customWidth="1"/>
    <col min="13066" max="13066" width="8.42578125" style="2" customWidth="1"/>
    <col min="13067" max="13067" width="12.28515625" style="2" customWidth="1"/>
    <col min="13068" max="13068" width="7.5703125" style="2" customWidth="1"/>
    <col min="13069" max="13069" width="7.85546875" style="2" customWidth="1"/>
    <col min="13070" max="13070" width="8.28515625" style="2" customWidth="1"/>
    <col min="13071" max="13071" width="9.140625" style="2"/>
    <col min="13072" max="13074" width="7.5703125" style="2" customWidth="1"/>
    <col min="13075" max="13075" width="10.28515625" style="2" customWidth="1"/>
    <col min="13076" max="13076" width="10.5703125" style="2" customWidth="1"/>
    <col min="13077" max="13077" width="11.140625" style="2" customWidth="1"/>
    <col min="13078" max="13078" width="10.42578125" style="2" customWidth="1"/>
    <col min="13079" max="13088" width="11" style="2" customWidth="1"/>
    <col min="13089" max="13089" width="9.140625" style="2" customWidth="1"/>
    <col min="13090" max="13090" width="6.85546875" style="2" customWidth="1"/>
    <col min="13091" max="13091" width="15" style="2" bestFit="1" customWidth="1"/>
    <col min="13092" max="13316" width="9.140625" style="2"/>
    <col min="13317" max="13317" width="4" style="2" customWidth="1"/>
    <col min="13318" max="13318" width="24.42578125" style="2" customWidth="1"/>
    <col min="13319" max="13319" width="19.85546875" style="2" customWidth="1"/>
    <col min="13320" max="13320" width="9.28515625" style="2" customWidth="1"/>
    <col min="13321" max="13321" width="10" style="2" customWidth="1"/>
    <col min="13322" max="13322" width="8.42578125" style="2" customWidth="1"/>
    <col min="13323" max="13323" width="12.28515625" style="2" customWidth="1"/>
    <col min="13324" max="13324" width="7.5703125" style="2" customWidth="1"/>
    <col min="13325" max="13325" width="7.85546875" style="2" customWidth="1"/>
    <col min="13326" max="13326" width="8.28515625" style="2" customWidth="1"/>
    <col min="13327" max="13327" width="9.140625" style="2"/>
    <col min="13328" max="13330" width="7.5703125" style="2" customWidth="1"/>
    <col min="13331" max="13331" width="10.28515625" style="2" customWidth="1"/>
    <col min="13332" max="13332" width="10.5703125" style="2" customWidth="1"/>
    <col min="13333" max="13333" width="11.140625" style="2" customWidth="1"/>
    <col min="13334" max="13334" width="10.42578125" style="2" customWidth="1"/>
    <col min="13335" max="13344" width="11" style="2" customWidth="1"/>
    <col min="13345" max="13345" width="9.140625" style="2" customWidth="1"/>
    <col min="13346" max="13346" width="6.85546875" style="2" customWidth="1"/>
    <col min="13347" max="13347" width="15" style="2" bestFit="1" customWidth="1"/>
    <col min="13348" max="13572" width="9.140625" style="2"/>
    <col min="13573" max="13573" width="4" style="2" customWidth="1"/>
    <col min="13574" max="13574" width="24.42578125" style="2" customWidth="1"/>
    <col min="13575" max="13575" width="19.85546875" style="2" customWidth="1"/>
    <col min="13576" max="13576" width="9.28515625" style="2" customWidth="1"/>
    <col min="13577" max="13577" width="10" style="2" customWidth="1"/>
    <col min="13578" max="13578" width="8.42578125" style="2" customWidth="1"/>
    <col min="13579" max="13579" width="12.28515625" style="2" customWidth="1"/>
    <col min="13580" max="13580" width="7.5703125" style="2" customWidth="1"/>
    <col min="13581" max="13581" width="7.85546875" style="2" customWidth="1"/>
    <col min="13582" max="13582" width="8.28515625" style="2" customWidth="1"/>
    <col min="13583" max="13583" width="9.140625" style="2"/>
    <col min="13584" max="13586" width="7.5703125" style="2" customWidth="1"/>
    <col min="13587" max="13587" width="10.28515625" style="2" customWidth="1"/>
    <col min="13588" max="13588" width="10.5703125" style="2" customWidth="1"/>
    <col min="13589" max="13589" width="11.140625" style="2" customWidth="1"/>
    <col min="13590" max="13590" width="10.42578125" style="2" customWidth="1"/>
    <col min="13591" max="13600" width="11" style="2" customWidth="1"/>
    <col min="13601" max="13601" width="9.140625" style="2" customWidth="1"/>
    <col min="13602" max="13602" width="6.85546875" style="2" customWidth="1"/>
    <col min="13603" max="13603" width="15" style="2" bestFit="1" customWidth="1"/>
    <col min="13604" max="13828" width="9.140625" style="2"/>
    <col min="13829" max="13829" width="4" style="2" customWidth="1"/>
    <col min="13830" max="13830" width="24.42578125" style="2" customWidth="1"/>
    <col min="13831" max="13831" width="19.85546875" style="2" customWidth="1"/>
    <col min="13832" max="13832" width="9.28515625" style="2" customWidth="1"/>
    <col min="13833" max="13833" width="10" style="2" customWidth="1"/>
    <col min="13834" max="13834" width="8.42578125" style="2" customWidth="1"/>
    <col min="13835" max="13835" width="12.28515625" style="2" customWidth="1"/>
    <col min="13836" max="13836" width="7.5703125" style="2" customWidth="1"/>
    <col min="13837" max="13837" width="7.85546875" style="2" customWidth="1"/>
    <col min="13838" max="13838" width="8.28515625" style="2" customWidth="1"/>
    <col min="13839" max="13839" width="9.140625" style="2"/>
    <col min="13840" max="13842" width="7.5703125" style="2" customWidth="1"/>
    <col min="13843" max="13843" width="10.28515625" style="2" customWidth="1"/>
    <col min="13844" max="13844" width="10.5703125" style="2" customWidth="1"/>
    <col min="13845" max="13845" width="11.140625" style="2" customWidth="1"/>
    <col min="13846" max="13846" width="10.42578125" style="2" customWidth="1"/>
    <col min="13847" max="13856" width="11" style="2" customWidth="1"/>
    <col min="13857" max="13857" width="9.140625" style="2" customWidth="1"/>
    <col min="13858" max="13858" width="6.85546875" style="2" customWidth="1"/>
    <col min="13859" max="13859" width="15" style="2" bestFit="1" customWidth="1"/>
    <col min="13860" max="14084" width="9.140625" style="2"/>
    <col min="14085" max="14085" width="4" style="2" customWidth="1"/>
    <col min="14086" max="14086" width="24.42578125" style="2" customWidth="1"/>
    <col min="14087" max="14087" width="19.85546875" style="2" customWidth="1"/>
    <col min="14088" max="14088" width="9.28515625" style="2" customWidth="1"/>
    <col min="14089" max="14089" width="10" style="2" customWidth="1"/>
    <col min="14090" max="14090" width="8.42578125" style="2" customWidth="1"/>
    <col min="14091" max="14091" width="12.28515625" style="2" customWidth="1"/>
    <col min="14092" max="14092" width="7.5703125" style="2" customWidth="1"/>
    <col min="14093" max="14093" width="7.85546875" style="2" customWidth="1"/>
    <col min="14094" max="14094" width="8.28515625" style="2" customWidth="1"/>
    <col min="14095" max="14095" width="9.140625" style="2"/>
    <col min="14096" max="14098" width="7.5703125" style="2" customWidth="1"/>
    <col min="14099" max="14099" width="10.28515625" style="2" customWidth="1"/>
    <col min="14100" max="14100" width="10.5703125" style="2" customWidth="1"/>
    <col min="14101" max="14101" width="11.140625" style="2" customWidth="1"/>
    <col min="14102" max="14102" width="10.42578125" style="2" customWidth="1"/>
    <col min="14103" max="14112" width="11" style="2" customWidth="1"/>
    <col min="14113" max="14113" width="9.140625" style="2" customWidth="1"/>
    <col min="14114" max="14114" width="6.85546875" style="2" customWidth="1"/>
    <col min="14115" max="14115" width="15" style="2" bestFit="1" customWidth="1"/>
    <col min="14116" max="14340" width="9.140625" style="2"/>
    <col min="14341" max="14341" width="4" style="2" customWidth="1"/>
    <col min="14342" max="14342" width="24.42578125" style="2" customWidth="1"/>
    <col min="14343" max="14343" width="19.85546875" style="2" customWidth="1"/>
    <col min="14344" max="14344" width="9.28515625" style="2" customWidth="1"/>
    <col min="14345" max="14345" width="10" style="2" customWidth="1"/>
    <col min="14346" max="14346" width="8.42578125" style="2" customWidth="1"/>
    <col min="14347" max="14347" width="12.28515625" style="2" customWidth="1"/>
    <col min="14348" max="14348" width="7.5703125" style="2" customWidth="1"/>
    <col min="14349" max="14349" width="7.85546875" style="2" customWidth="1"/>
    <col min="14350" max="14350" width="8.28515625" style="2" customWidth="1"/>
    <col min="14351" max="14351" width="9.140625" style="2"/>
    <col min="14352" max="14354" width="7.5703125" style="2" customWidth="1"/>
    <col min="14355" max="14355" width="10.28515625" style="2" customWidth="1"/>
    <col min="14356" max="14356" width="10.5703125" style="2" customWidth="1"/>
    <col min="14357" max="14357" width="11.140625" style="2" customWidth="1"/>
    <col min="14358" max="14358" width="10.42578125" style="2" customWidth="1"/>
    <col min="14359" max="14368" width="11" style="2" customWidth="1"/>
    <col min="14369" max="14369" width="9.140625" style="2" customWidth="1"/>
    <col min="14370" max="14370" width="6.85546875" style="2" customWidth="1"/>
    <col min="14371" max="14371" width="15" style="2" bestFit="1" customWidth="1"/>
    <col min="14372" max="14596" width="9.140625" style="2"/>
    <col min="14597" max="14597" width="4" style="2" customWidth="1"/>
    <col min="14598" max="14598" width="24.42578125" style="2" customWidth="1"/>
    <col min="14599" max="14599" width="19.85546875" style="2" customWidth="1"/>
    <col min="14600" max="14600" width="9.28515625" style="2" customWidth="1"/>
    <col min="14601" max="14601" width="10" style="2" customWidth="1"/>
    <col min="14602" max="14602" width="8.42578125" style="2" customWidth="1"/>
    <col min="14603" max="14603" width="12.28515625" style="2" customWidth="1"/>
    <col min="14604" max="14604" width="7.5703125" style="2" customWidth="1"/>
    <col min="14605" max="14605" width="7.85546875" style="2" customWidth="1"/>
    <col min="14606" max="14606" width="8.28515625" style="2" customWidth="1"/>
    <col min="14607" max="14607" width="9.140625" style="2"/>
    <col min="14608" max="14610" width="7.5703125" style="2" customWidth="1"/>
    <col min="14611" max="14611" width="10.28515625" style="2" customWidth="1"/>
    <col min="14612" max="14612" width="10.5703125" style="2" customWidth="1"/>
    <col min="14613" max="14613" width="11.140625" style="2" customWidth="1"/>
    <col min="14614" max="14614" width="10.42578125" style="2" customWidth="1"/>
    <col min="14615" max="14624" width="11" style="2" customWidth="1"/>
    <col min="14625" max="14625" width="9.140625" style="2" customWidth="1"/>
    <col min="14626" max="14626" width="6.85546875" style="2" customWidth="1"/>
    <col min="14627" max="14627" width="15" style="2" bestFit="1" customWidth="1"/>
    <col min="14628" max="14852" width="9.140625" style="2"/>
    <col min="14853" max="14853" width="4" style="2" customWidth="1"/>
    <col min="14854" max="14854" width="24.42578125" style="2" customWidth="1"/>
    <col min="14855" max="14855" width="19.85546875" style="2" customWidth="1"/>
    <col min="14856" max="14856" width="9.28515625" style="2" customWidth="1"/>
    <col min="14857" max="14857" width="10" style="2" customWidth="1"/>
    <col min="14858" max="14858" width="8.42578125" style="2" customWidth="1"/>
    <col min="14859" max="14859" width="12.28515625" style="2" customWidth="1"/>
    <col min="14860" max="14860" width="7.5703125" style="2" customWidth="1"/>
    <col min="14861" max="14861" width="7.85546875" style="2" customWidth="1"/>
    <col min="14862" max="14862" width="8.28515625" style="2" customWidth="1"/>
    <col min="14863" max="14863" width="9.140625" style="2"/>
    <col min="14864" max="14866" width="7.5703125" style="2" customWidth="1"/>
    <col min="14867" max="14867" width="10.28515625" style="2" customWidth="1"/>
    <col min="14868" max="14868" width="10.5703125" style="2" customWidth="1"/>
    <col min="14869" max="14869" width="11.140625" style="2" customWidth="1"/>
    <col min="14870" max="14870" width="10.42578125" style="2" customWidth="1"/>
    <col min="14871" max="14880" width="11" style="2" customWidth="1"/>
    <col min="14881" max="14881" width="9.140625" style="2" customWidth="1"/>
    <col min="14882" max="14882" width="6.85546875" style="2" customWidth="1"/>
    <col min="14883" max="14883" width="15" style="2" bestFit="1" customWidth="1"/>
    <col min="14884" max="15108" width="9.140625" style="2"/>
    <col min="15109" max="15109" width="4" style="2" customWidth="1"/>
    <col min="15110" max="15110" width="24.42578125" style="2" customWidth="1"/>
    <col min="15111" max="15111" width="19.85546875" style="2" customWidth="1"/>
    <col min="15112" max="15112" width="9.28515625" style="2" customWidth="1"/>
    <col min="15113" max="15113" width="10" style="2" customWidth="1"/>
    <col min="15114" max="15114" width="8.42578125" style="2" customWidth="1"/>
    <col min="15115" max="15115" width="12.28515625" style="2" customWidth="1"/>
    <col min="15116" max="15116" width="7.5703125" style="2" customWidth="1"/>
    <col min="15117" max="15117" width="7.85546875" style="2" customWidth="1"/>
    <col min="15118" max="15118" width="8.28515625" style="2" customWidth="1"/>
    <col min="15119" max="15119" width="9.140625" style="2"/>
    <col min="15120" max="15122" width="7.5703125" style="2" customWidth="1"/>
    <col min="15123" max="15123" width="10.28515625" style="2" customWidth="1"/>
    <col min="15124" max="15124" width="10.5703125" style="2" customWidth="1"/>
    <col min="15125" max="15125" width="11.140625" style="2" customWidth="1"/>
    <col min="15126" max="15126" width="10.42578125" style="2" customWidth="1"/>
    <col min="15127" max="15136" width="11" style="2" customWidth="1"/>
    <col min="15137" max="15137" width="9.140625" style="2" customWidth="1"/>
    <col min="15138" max="15138" width="6.85546875" style="2" customWidth="1"/>
    <col min="15139" max="15139" width="15" style="2" bestFit="1" customWidth="1"/>
    <col min="15140" max="15364" width="9.140625" style="2"/>
    <col min="15365" max="15365" width="4" style="2" customWidth="1"/>
    <col min="15366" max="15366" width="24.42578125" style="2" customWidth="1"/>
    <col min="15367" max="15367" width="19.85546875" style="2" customWidth="1"/>
    <col min="15368" max="15368" width="9.28515625" style="2" customWidth="1"/>
    <col min="15369" max="15369" width="10" style="2" customWidth="1"/>
    <col min="15370" max="15370" width="8.42578125" style="2" customWidth="1"/>
    <col min="15371" max="15371" width="12.28515625" style="2" customWidth="1"/>
    <col min="15372" max="15372" width="7.5703125" style="2" customWidth="1"/>
    <col min="15373" max="15373" width="7.85546875" style="2" customWidth="1"/>
    <col min="15374" max="15374" width="8.28515625" style="2" customWidth="1"/>
    <col min="15375" max="15375" width="9.140625" style="2"/>
    <col min="15376" max="15378" width="7.5703125" style="2" customWidth="1"/>
    <col min="15379" max="15379" width="10.28515625" style="2" customWidth="1"/>
    <col min="15380" max="15380" width="10.5703125" style="2" customWidth="1"/>
    <col min="15381" max="15381" width="11.140625" style="2" customWidth="1"/>
    <col min="15382" max="15382" width="10.42578125" style="2" customWidth="1"/>
    <col min="15383" max="15392" width="11" style="2" customWidth="1"/>
    <col min="15393" max="15393" width="9.140625" style="2" customWidth="1"/>
    <col min="15394" max="15394" width="6.85546875" style="2" customWidth="1"/>
    <col min="15395" max="15395" width="15" style="2" bestFit="1" customWidth="1"/>
    <col min="15396" max="15620" width="9.140625" style="2"/>
    <col min="15621" max="15621" width="4" style="2" customWidth="1"/>
    <col min="15622" max="15622" width="24.42578125" style="2" customWidth="1"/>
    <col min="15623" max="15623" width="19.85546875" style="2" customWidth="1"/>
    <col min="15624" max="15624" width="9.28515625" style="2" customWidth="1"/>
    <col min="15625" max="15625" width="10" style="2" customWidth="1"/>
    <col min="15626" max="15626" width="8.42578125" style="2" customWidth="1"/>
    <col min="15627" max="15627" width="12.28515625" style="2" customWidth="1"/>
    <col min="15628" max="15628" width="7.5703125" style="2" customWidth="1"/>
    <col min="15629" max="15629" width="7.85546875" style="2" customWidth="1"/>
    <col min="15630" max="15630" width="8.28515625" style="2" customWidth="1"/>
    <col min="15631" max="15631" width="9.140625" style="2"/>
    <col min="15632" max="15634" width="7.5703125" style="2" customWidth="1"/>
    <col min="15635" max="15635" width="10.28515625" style="2" customWidth="1"/>
    <col min="15636" max="15636" width="10.5703125" style="2" customWidth="1"/>
    <col min="15637" max="15637" width="11.140625" style="2" customWidth="1"/>
    <col min="15638" max="15638" width="10.42578125" style="2" customWidth="1"/>
    <col min="15639" max="15648" width="11" style="2" customWidth="1"/>
    <col min="15649" max="15649" width="9.140625" style="2" customWidth="1"/>
    <col min="15650" max="15650" width="6.85546875" style="2" customWidth="1"/>
    <col min="15651" max="15651" width="15" style="2" bestFit="1" customWidth="1"/>
    <col min="15652" max="15876" width="9.140625" style="2"/>
    <col min="15877" max="15877" width="4" style="2" customWidth="1"/>
    <col min="15878" max="15878" width="24.42578125" style="2" customWidth="1"/>
    <col min="15879" max="15879" width="19.85546875" style="2" customWidth="1"/>
    <col min="15880" max="15880" width="9.28515625" style="2" customWidth="1"/>
    <col min="15881" max="15881" width="10" style="2" customWidth="1"/>
    <col min="15882" max="15882" width="8.42578125" style="2" customWidth="1"/>
    <col min="15883" max="15883" width="12.28515625" style="2" customWidth="1"/>
    <col min="15884" max="15884" width="7.5703125" style="2" customWidth="1"/>
    <col min="15885" max="15885" width="7.85546875" style="2" customWidth="1"/>
    <col min="15886" max="15886" width="8.28515625" style="2" customWidth="1"/>
    <col min="15887" max="15887" width="9.140625" style="2"/>
    <col min="15888" max="15890" width="7.5703125" style="2" customWidth="1"/>
    <col min="15891" max="15891" width="10.28515625" style="2" customWidth="1"/>
    <col min="15892" max="15892" width="10.5703125" style="2" customWidth="1"/>
    <col min="15893" max="15893" width="11.140625" style="2" customWidth="1"/>
    <col min="15894" max="15894" width="10.42578125" style="2" customWidth="1"/>
    <col min="15895" max="15904" width="11" style="2" customWidth="1"/>
    <col min="15905" max="15905" width="9.140625" style="2" customWidth="1"/>
    <col min="15906" max="15906" width="6.85546875" style="2" customWidth="1"/>
    <col min="15907" max="15907" width="15" style="2" bestFit="1" customWidth="1"/>
    <col min="15908" max="16132" width="9.140625" style="2"/>
    <col min="16133" max="16133" width="4" style="2" customWidth="1"/>
    <col min="16134" max="16134" width="24.42578125" style="2" customWidth="1"/>
    <col min="16135" max="16135" width="19.85546875" style="2" customWidth="1"/>
    <col min="16136" max="16136" width="9.28515625" style="2" customWidth="1"/>
    <col min="16137" max="16137" width="10" style="2" customWidth="1"/>
    <col min="16138" max="16138" width="8.42578125" style="2" customWidth="1"/>
    <col min="16139" max="16139" width="12.28515625" style="2" customWidth="1"/>
    <col min="16140" max="16140" width="7.5703125" style="2" customWidth="1"/>
    <col min="16141" max="16141" width="7.85546875" style="2" customWidth="1"/>
    <col min="16142" max="16142" width="8.28515625" style="2" customWidth="1"/>
    <col min="16143" max="16143" width="9.140625" style="2"/>
    <col min="16144" max="16146" width="7.5703125" style="2" customWidth="1"/>
    <col min="16147" max="16147" width="10.28515625" style="2" customWidth="1"/>
    <col min="16148" max="16148" width="10.5703125" style="2" customWidth="1"/>
    <col min="16149" max="16149" width="11.140625" style="2" customWidth="1"/>
    <col min="16150" max="16150" width="10.42578125" style="2" customWidth="1"/>
    <col min="16151" max="16160" width="11" style="2" customWidth="1"/>
    <col min="16161" max="16161" width="9.140625" style="2" customWidth="1"/>
    <col min="16162" max="16162" width="6.85546875" style="2" customWidth="1"/>
    <col min="16163" max="16163" width="15" style="2" bestFit="1" customWidth="1"/>
    <col min="16164" max="16384" width="9.140625" style="2"/>
  </cols>
  <sheetData>
    <row r="1" spans="1:48" ht="125.25">
      <c r="A1" s="10" t="s">
        <v>17</v>
      </c>
      <c r="B1" s="11"/>
      <c r="C1" s="11" t="s">
        <v>19</v>
      </c>
      <c r="D1" s="12" t="s">
        <v>20</v>
      </c>
      <c r="E1" s="81">
        <v>2017</v>
      </c>
      <c r="F1" s="77" t="s">
        <v>194</v>
      </c>
      <c r="G1" s="77" t="s">
        <v>195</v>
      </c>
      <c r="H1" s="81">
        <v>2019</v>
      </c>
      <c r="I1" s="13" t="s">
        <v>21</v>
      </c>
      <c r="J1" s="4" t="s">
        <v>22</v>
      </c>
      <c r="K1" s="4" t="s">
        <v>23</v>
      </c>
      <c r="L1" s="4" t="s">
        <v>24</v>
      </c>
      <c r="M1" s="4" t="s">
        <v>25</v>
      </c>
      <c r="N1" s="4" t="s">
        <v>26</v>
      </c>
      <c r="O1" s="4" t="s">
        <v>27</v>
      </c>
      <c r="P1" s="4" t="s">
        <v>28</v>
      </c>
      <c r="Q1" s="4" t="s">
        <v>29</v>
      </c>
      <c r="R1" s="4" t="s">
        <v>30</v>
      </c>
      <c r="S1" s="4" t="s">
        <v>31</v>
      </c>
      <c r="T1" s="4" t="s">
        <v>32</v>
      </c>
      <c r="U1" s="4" t="s">
        <v>33</v>
      </c>
      <c r="V1" s="4" t="s">
        <v>34</v>
      </c>
      <c r="W1" s="4" t="s">
        <v>35</v>
      </c>
      <c r="X1" s="4" t="s">
        <v>36</v>
      </c>
      <c r="Y1" s="4" t="s">
        <v>37</v>
      </c>
      <c r="Z1" s="5" t="s">
        <v>38</v>
      </c>
      <c r="AA1" s="5" t="s">
        <v>39</v>
      </c>
      <c r="AB1" s="26" t="s">
        <v>151</v>
      </c>
      <c r="AC1" s="26" t="s">
        <v>152</v>
      </c>
      <c r="AD1" s="26" t="s">
        <v>153</v>
      </c>
      <c r="AG1" s="34" t="s">
        <v>154</v>
      </c>
      <c r="AH1" s="46" t="s">
        <v>155</v>
      </c>
      <c r="AN1" s="47" t="s">
        <v>156</v>
      </c>
      <c r="AP1" s="73" t="s">
        <v>15</v>
      </c>
      <c r="AS1" s="2">
        <v>4</v>
      </c>
      <c r="AT1" s="2">
        <v>12</v>
      </c>
    </row>
    <row r="2" spans="1:48" ht="23.25" hidden="1" customHeight="1">
      <c r="A2" s="90">
        <v>1</v>
      </c>
      <c r="B2" s="14" t="s">
        <v>40</v>
      </c>
      <c r="C2" s="14" t="s">
        <v>40</v>
      </c>
      <c r="D2" s="15" t="s">
        <v>41</v>
      </c>
      <c r="E2" s="78">
        <f t="shared" ref="E2:E14" si="0">AVERAGE(J2:N2)</f>
        <v>43003</v>
      </c>
      <c r="F2" s="78">
        <f t="shared" ref="F2:F14" si="1">AVERAGE(O2:V2)</f>
        <v>46327.875</v>
      </c>
      <c r="G2" s="78">
        <f>AVERAGE(W2:Z2)</f>
        <v>78850.5</v>
      </c>
      <c r="H2" s="78">
        <f>AVERAGE(AA2:AD2)</f>
        <v>68161.5</v>
      </c>
      <c r="I2" s="6">
        <v>115454</v>
      </c>
      <c r="J2" s="6">
        <f>20953+34257</f>
        <v>55210</v>
      </c>
      <c r="K2" s="6">
        <f>11506+18872</f>
        <v>30378</v>
      </c>
      <c r="L2" s="6">
        <f>15483+33338</f>
        <v>48821</v>
      </c>
      <c r="M2" s="6">
        <v>46267</v>
      </c>
      <c r="N2" s="6">
        <f>11097+23242</f>
        <v>34339</v>
      </c>
      <c r="O2" s="6">
        <v>45068</v>
      </c>
      <c r="P2" s="6">
        <v>48843</v>
      </c>
      <c r="Q2" s="6">
        <v>42904</v>
      </c>
      <c r="R2" s="6">
        <v>47723</v>
      </c>
      <c r="S2" s="6">
        <v>55332</v>
      </c>
      <c r="T2" s="6">
        <v>37415</v>
      </c>
      <c r="U2" s="6">
        <v>47983</v>
      </c>
      <c r="V2" s="6">
        <v>45355</v>
      </c>
      <c r="W2" s="6">
        <v>67196</v>
      </c>
      <c r="X2" s="6">
        <v>82706</v>
      </c>
      <c r="Y2" s="6">
        <v>78158</v>
      </c>
      <c r="Z2" s="6">
        <v>87342</v>
      </c>
      <c r="AA2" s="6">
        <v>85341</v>
      </c>
      <c r="AB2" s="27">
        <v>76252</v>
      </c>
      <c r="AC2" s="27">
        <v>70654</v>
      </c>
      <c r="AD2" s="27">
        <v>40399</v>
      </c>
      <c r="AE2" s="33">
        <f>SUM(I2:AD2)</f>
        <v>1289140</v>
      </c>
      <c r="AF2" s="33"/>
      <c r="AG2" s="35">
        <v>5.8500000000000003E-2</v>
      </c>
      <c r="AH2" s="33">
        <f>AE2*AG2</f>
        <v>75414.69</v>
      </c>
      <c r="AI2" s="46">
        <f>AH2/$AH$44*100</f>
        <v>1.8157100298096203</v>
      </c>
      <c r="AJ2" s="46">
        <f>AI2*$AJ$44/100</f>
        <v>363142.00596192403</v>
      </c>
      <c r="AK2" s="46">
        <f>AJ2/AG2</f>
        <v>6207555.6574687865</v>
      </c>
      <c r="AL2" s="46">
        <f t="shared" ref="AL2:AL17" si="2">AK2/AS2</f>
        <v>290992.39936629747</v>
      </c>
      <c r="AM2" s="46">
        <f>AK2/AT2</f>
        <v>24249.366613858125</v>
      </c>
      <c r="AN2" s="48">
        <v>12852</v>
      </c>
      <c r="AP2" s="74">
        <f>საპენსიო!D2</f>
        <v>92.063670411985015</v>
      </c>
      <c r="AQ2" s="74">
        <f>შშმპ!D2</f>
        <v>78.595238095238102</v>
      </c>
      <c r="AR2" s="9">
        <f>AVERAGE(AP2:AQ2)</f>
        <v>85.329454253611559</v>
      </c>
      <c r="AS2" s="9">
        <f>AR2/$AS$1</f>
        <v>21.33236356340289</v>
      </c>
      <c r="AT2" s="9">
        <f>AS2*$AT$1</f>
        <v>255.98836276083466</v>
      </c>
      <c r="AU2" s="76">
        <f t="shared" ref="AU2:AU17" si="3">AN2/AR2</f>
        <v>150.61622170700852</v>
      </c>
      <c r="AV2" s="76">
        <f>AN2/AS2</f>
        <v>602.46488682803408</v>
      </c>
    </row>
    <row r="3" spans="1:48" hidden="1">
      <c r="A3" s="90"/>
      <c r="B3" s="16" t="s">
        <v>42</v>
      </c>
      <c r="C3" s="16" t="s">
        <v>43</v>
      </c>
      <c r="D3" s="15" t="s">
        <v>44</v>
      </c>
      <c r="E3" s="78">
        <f t="shared" si="0"/>
        <v>62600.6</v>
      </c>
      <c r="F3" s="78">
        <f t="shared" si="1"/>
        <v>82328.125</v>
      </c>
      <c r="G3" s="78">
        <f t="shared" ref="G3:G43" si="4">AVERAGE(W3:Z3)</f>
        <v>138558</v>
      </c>
      <c r="H3" s="78">
        <f t="shared" ref="H3:H43" si="5">AVERAGE(AA3:AD3)</f>
        <v>136314</v>
      </c>
      <c r="I3" s="6">
        <v>128708</v>
      </c>
      <c r="J3" s="6">
        <f>68841</f>
        <v>68841</v>
      </c>
      <c r="K3" s="6">
        <f>41674</f>
        <v>41674</v>
      </c>
      <c r="L3" s="6">
        <f>77476</f>
        <v>77476</v>
      </c>
      <c r="M3" s="6">
        <v>71438</v>
      </c>
      <c r="N3" s="6">
        <f>180+53394</f>
        <v>53574</v>
      </c>
      <c r="O3" s="6">
        <v>68830</v>
      </c>
      <c r="P3" s="6">
        <v>87699</v>
      </c>
      <c r="Q3" s="6">
        <v>79766</v>
      </c>
      <c r="R3" s="6">
        <v>76260</v>
      </c>
      <c r="S3" s="6">
        <v>95079</v>
      </c>
      <c r="T3" s="6">
        <v>75991</v>
      </c>
      <c r="U3" s="6">
        <v>86045</v>
      </c>
      <c r="V3" s="6">
        <v>88955</v>
      </c>
      <c r="W3" s="6">
        <v>117285</v>
      </c>
      <c r="X3" s="6">
        <v>156780</v>
      </c>
      <c r="Y3" s="6">
        <v>143245</v>
      </c>
      <c r="Z3" s="6">
        <v>136922</v>
      </c>
      <c r="AA3" s="6">
        <v>138365</v>
      </c>
      <c r="AB3" s="27">
        <v>134077</v>
      </c>
      <c r="AC3" s="27">
        <v>133218</v>
      </c>
      <c r="AD3" s="27">
        <v>139596</v>
      </c>
      <c r="AE3" s="33">
        <f t="shared" ref="AE3:AE43" si="6">SUM(I3:AD3)</f>
        <v>2199824</v>
      </c>
      <c r="AF3" s="33"/>
      <c r="AG3" s="36">
        <v>6.4500000000000002E-2</v>
      </c>
      <c r="AH3" s="33">
        <f t="shared" ref="AH3:AH43" si="7">AE3*AG3</f>
        <v>141888.64800000002</v>
      </c>
      <c r="AI3" s="46">
        <f t="shared" ref="AI3:AI43" si="8">AH3/$AH$44*100</f>
        <v>3.4161599191049747</v>
      </c>
      <c r="AJ3" s="46">
        <f t="shared" ref="AJ3:AJ43" si="9">AI3*$AJ$44/100</f>
        <v>683231.98382099497</v>
      </c>
      <c r="AK3" s="46">
        <f t="shared" ref="AK3:AK42" si="10">AJ3/AG3</f>
        <v>10592743.935209224</v>
      </c>
      <c r="AL3" s="46">
        <f t="shared" si="2"/>
        <v>461404.90161337459</v>
      </c>
      <c r="AM3" s="46">
        <f t="shared" ref="AM3:AM43" si="11">AK3/AT3</f>
        <v>38450.408467781221</v>
      </c>
      <c r="AN3" s="48">
        <v>970805</v>
      </c>
      <c r="AP3" s="74">
        <f>საპენსიო!D3</f>
        <v>87.473209249858996</v>
      </c>
      <c r="AQ3" s="74">
        <f>შშმპ!D3</f>
        <v>96.1875</v>
      </c>
      <c r="AR3" s="9">
        <f t="shared" ref="AR3:AR43" si="12">AVERAGE(AP3:AQ3)</f>
        <v>91.830354624929498</v>
      </c>
      <c r="AS3" s="9">
        <f t="shared" ref="AS3:AS43" si="13">AR3/$AS$1</f>
        <v>22.957588656232375</v>
      </c>
      <c r="AT3" s="9">
        <f t="shared" ref="AT3:AT43" si="14">AS3*$AT$1</f>
        <v>275.49106387478849</v>
      </c>
      <c r="AU3" s="76">
        <f t="shared" si="3"/>
        <v>10571.722215003319</v>
      </c>
      <c r="AV3" s="76">
        <f t="shared" ref="AV3:AV17" si="15">AN3/AS3</f>
        <v>42286.888860013278</v>
      </c>
    </row>
    <row r="4" spans="1:48" hidden="1">
      <c r="A4" s="16">
        <v>2</v>
      </c>
      <c r="B4" s="16" t="s">
        <v>45</v>
      </c>
      <c r="C4" s="16" t="s">
        <v>46</v>
      </c>
      <c r="D4" s="17" t="s">
        <v>47</v>
      </c>
      <c r="E4" s="78">
        <f t="shared" si="0"/>
        <v>44461.8</v>
      </c>
      <c r="F4" s="78">
        <f t="shared" si="1"/>
        <v>62495.625</v>
      </c>
      <c r="G4" s="78">
        <f t="shared" si="4"/>
        <v>127965.25</v>
      </c>
      <c r="H4" s="78">
        <f t="shared" si="5"/>
        <v>92294.25</v>
      </c>
      <c r="I4" s="6">
        <v>74656</v>
      </c>
      <c r="J4" s="6">
        <f>894+48877</f>
        <v>49771</v>
      </c>
      <c r="K4" s="6">
        <f>304+29577</f>
        <v>29881</v>
      </c>
      <c r="L4" s="6">
        <f>49670</f>
        <v>49670</v>
      </c>
      <c r="M4" s="6">
        <v>52667</v>
      </c>
      <c r="N4" s="6">
        <f>92+40228</f>
        <v>40320</v>
      </c>
      <c r="O4" s="6">
        <v>51024</v>
      </c>
      <c r="P4" s="6">
        <v>63258</v>
      </c>
      <c r="Q4" s="6">
        <v>59752</v>
      </c>
      <c r="R4" s="6">
        <v>57385</v>
      </c>
      <c r="S4" s="6">
        <v>78187</v>
      </c>
      <c r="T4" s="6">
        <v>57063</v>
      </c>
      <c r="U4" s="6">
        <v>65543</v>
      </c>
      <c r="V4" s="6">
        <v>67753</v>
      </c>
      <c r="W4" s="6">
        <v>107766</v>
      </c>
      <c r="X4" s="6">
        <v>143166</v>
      </c>
      <c r="Y4" s="6">
        <v>134239</v>
      </c>
      <c r="Z4" s="6">
        <v>126690</v>
      </c>
      <c r="AA4" s="6">
        <v>118049</v>
      </c>
      <c r="AB4" s="28">
        <f>2143+6105+111108</f>
        <v>119356</v>
      </c>
      <c r="AC4" s="28">
        <v>102458</v>
      </c>
      <c r="AD4" s="28">
        <v>29314</v>
      </c>
      <c r="AE4" s="33">
        <f t="shared" si="6"/>
        <v>1677968</v>
      </c>
      <c r="AF4" s="33"/>
      <c r="AG4" s="36">
        <v>0.21840000000000001</v>
      </c>
      <c r="AH4" s="33">
        <f t="shared" si="7"/>
        <v>366468.21120000002</v>
      </c>
      <c r="AI4" s="46">
        <f t="shared" si="8"/>
        <v>8.8232147699901748</v>
      </c>
      <c r="AJ4" s="46">
        <f t="shared" si="9"/>
        <v>1764642.9539980348</v>
      </c>
      <c r="AK4" s="46">
        <f t="shared" si="10"/>
        <v>8079867.0054855067</v>
      </c>
      <c r="AL4" s="46">
        <f t="shared" si="2"/>
        <v>518126.98224935157</v>
      </c>
      <c r="AM4" s="46">
        <f t="shared" si="11"/>
        <v>43177.2485207793</v>
      </c>
      <c r="AN4" s="48">
        <v>160907</v>
      </c>
      <c r="AP4" s="74">
        <f>საპენსიო!D4</f>
        <v>66.601855287569578</v>
      </c>
      <c r="AQ4" s="74">
        <f>შშმპ!D9</f>
        <v>58.153153153153156</v>
      </c>
      <c r="AR4" s="9">
        <f t="shared" si="12"/>
        <v>62.377504220361367</v>
      </c>
      <c r="AS4" s="9">
        <f t="shared" si="13"/>
        <v>15.594376055090342</v>
      </c>
      <c r="AT4" s="9">
        <f t="shared" si="14"/>
        <v>187.13251266108409</v>
      </c>
      <c r="AU4" s="76">
        <f t="shared" si="3"/>
        <v>2579.5677786588403</v>
      </c>
      <c r="AV4" s="76">
        <f t="shared" si="15"/>
        <v>10318.271114635361</v>
      </c>
    </row>
    <row r="5" spans="1:48" hidden="1">
      <c r="A5" s="16">
        <v>3</v>
      </c>
      <c r="B5" s="16" t="s">
        <v>48</v>
      </c>
      <c r="C5" s="16" t="s">
        <v>48</v>
      </c>
      <c r="D5" s="18" t="s">
        <v>49</v>
      </c>
      <c r="E5" s="78">
        <f t="shared" si="0"/>
        <v>55445</v>
      </c>
      <c r="F5" s="78">
        <f t="shared" si="1"/>
        <v>108836.625</v>
      </c>
      <c r="G5" s="78">
        <f t="shared" si="4"/>
        <v>216440.25</v>
      </c>
      <c r="H5" s="78">
        <f t="shared" si="5"/>
        <v>227824</v>
      </c>
      <c r="I5" s="6">
        <v>0</v>
      </c>
      <c r="J5" s="6">
        <v>0</v>
      </c>
      <c r="K5" s="6">
        <v>11654</v>
      </c>
      <c r="L5" s="6">
        <f>125527</f>
        <v>125527</v>
      </c>
      <c r="M5" s="6">
        <v>76906</v>
      </c>
      <c r="N5" s="6">
        <f>63138</f>
        <v>63138</v>
      </c>
      <c r="O5" s="6">
        <v>94802</v>
      </c>
      <c r="P5" s="6">
        <v>103039</v>
      </c>
      <c r="Q5" s="6">
        <v>106262</v>
      </c>
      <c r="R5" s="6">
        <v>109933</v>
      </c>
      <c r="S5" s="6">
        <v>124788</v>
      </c>
      <c r="T5" s="6">
        <v>101734</v>
      </c>
      <c r="U5" s="6">
        <v>117850</v>
      </c>
      <c r="V5" s="6">
        <v>112285</v>
      </c>
      <c r="W5" s="6">
        <v>174735</v>
      </c>
      <c r="X5" s="6">
        <v>241015</v>
      </c>
      <c r="Y5" s="6">
        <v>224504</v>
      </c>
      <c r="Z5" s="6">
        <v>225507</v>
      </c>
      <c r="AA5" s="6">
        <v>231313</v>
      </c>
      <c r="AB5" s="27">
        <v>231431</v>
      </c>
      <c r="AC5" s="27">
        <v>237975</v>
      </c>
      <c r="AD5" s="27">
        <v>210577</v>
      </c>
      <c r="AE5" s="33">
        <f t="shared" si="6"/>
        <v>2924975</v>
      </c>
      <c r="AF5" s="33"/>
      <c r="AG5" s="37">
        <v>4.1000000000000002E-2</v>
      </c>
      <c r="AH5" s="33">
        <f t="shared" si="7"/>
        <v>119923.97500000001</v>
      </c>
      <c r="AI5" s="46">
        <f t="shared" si="8"/>
        <v>2.8873308929883312</v>
      </c>
      <c r="AJ5" s="46">
        <f t="shared" si="9"/>
        <v>577466.17859766621</v>
      </c>
      <c r="AK5" s="46">
        <f t="shared" si="10"/>
        <v>14084540.941406492</v>
      </c>
      <c r="AL5" s="46">
        <f t="shared" si="2"/>
        <v>493655.95469381614</v>
      </c>
      <c r="AM5" s="46">
        <f t="shared" si="11"/>
        <v>41137.996224484676</v>
      </c>
      <c r="AN5" s="48">
        <v>1304050</v>
      </c>
      <c r="AP5" s="74">
        <f>საპენსიო!D17</f>
        <v>110.81858766233766</v>
      </c>
      <c r="AQ5" s="74">
        <f>შშმპ!D16</f>
        <v>117.43010752688173</v>
      </c>
      <c r="AR5" s="9">
        <f t="shared" si="12"/>
        <v>114.1243475946097</v>
      </c>
      <c r="AS5" s="9">
        <f t="shared" si="13"/>
        <v>28.531086898652426</v>
      </c>
      <c r="AT5" s="9">
        <f t="shared" si="14"/>
        <v>342.37304278382908</v>
      </c>
      <c r="AU5" s="76">
        <f t="shared" si="3"/>
        <v>11426.571345075472</v>
      </c>
      <c r="AV5" s="76">
        <f t="shared" si="15"/>
        <v>45706.285380301888</v>
      </c>
    </row>
    <row r="6" spans="1:48" ht="27" hidden="1" customHeight="1">
      <c r="A6" s="16">
        <v>4</v>
      </c>
      <c r="B6" s="16" t="s">
        <v>50</v>
      </c>
      <c r="C6" s="16" t="s">
        <v>51</v>
      </c>
      <c r="D6" s="19" t="s">
        <v>52</v>
      </c>
      <c r="E6" s="78">
        <f t="shared" si="0"/>
        <v>28665.599999999999</v>
      </c>
      <c r="F6" s="78">
        <f t="shared" si="1"/>
        <v>37865.25</v>
      </c>
      <c r="G6" s="78">
        <f t="shared" si="4"/>
        <v>71543.75</v>
      </c>
      <c r="H6" s="78">
        <f t="shared" si="5"/>
        <v>58414</v>
      </c>
      <c r="I6" s="6">
        <v>71359</v>
      </c>
      <c r="J6" s="6">
        <f>103+23+219+92+90+92+5463+17825+10070</f>
        <v>33977</v>
      </c>
      <c r="K6" s="6">
        <f>71+46+91+92+2667+9088+6961</f>
        <v>19016</v>
      </c>
      <c r="L6" s="6">
        <f>90+230+5697+14666+13155</f>
        <v>33838</v>
      </c>
      <c r="M6" s="6">
        <v>31458</v>
      </c>
      <c r="N6" s="6">
        <f>1+138+115+2448+8277+14060</f>
        <v>25039</v>
      </c>
      <c r="O6" s="6">
        <v>32180</v>
      </c>
      <c r="P6" s="6">
        <v>40242</v>
      </c>
      <c r="Q6" s="6">
        <v>34672</v>
      </c>
      <c r="R6" s="6">
        <v>37150</v>
      </c>
      <c r="S6" s="6">
        <v>44130</v>
      </c>
      <c r="T6" s="6">
        <v>33373</v>
      </c>
      <c r="U6" s="6">
        <v>39863</v>
      </c>
      <c r="V6" s="6">
        <v>41312</v>
      </c>
      <c r="W6" s="6">
        <v>62328</v>
      </c>
      <c r="X6" s="6">
        <v>81237</v>
      </c>
      <c r="Y6" s="6">
        <v>72170</v>
      </c>
      <c r="Z6" s="6">
        <v>70440</v>
      </c>
      <c r="AA6" s="6">
        <v>70692</v>
      </c>
      <c r="AB6" s="27">
        <v>71155</v>
      </c>
      <c r="AC6" s="27">
        <v>64086</v>
      </c>
      <c r="AD6" s="27">
        <v>27723</v>
      </c>
      <c r="AE6" s="33">
        <f t="shared" si="6"/>
        <v>1037440</v>
      </c>
      <c r="AF6" s="33"/>
      <c r="AG6" s="37">
        <v>4.7500000000000001E-2</v>
      </c>
      <c r="AH6" s="33">
        <f t="shared" si="7"/>
        <v>49278.400000000001</v>
      </c>
      <c r="AI6" s="46">
        <f t="shared" si="8"/>
        <v>1.1864437171719513</v>
      </c>
      <c r="AJ6" s="46">
        <f t="shared" si="9"/>
        <v>237288.74343439029</v>
      </c>
      <c r="AK6" s="46">
        <f t="shared" si="10"/>
        <v>4995552.4933555853</v>
      </c>
      <c r="AL6" s="46">
        <f t="shared" si="2"/>
        <v>333075.57899198943</v>
      </c>
      <c r="AM6" s="46">
        <f t="shared" si="11"/>
        <v>27756.298249332449</v>
      </c>
      <c r="AN6" s="48">
        <v>6776</v>
      </c>
      <c r="AP6" s="74">
        <f>საპენსიო!D6</f>
        <v>57.986040609137056</v>
      </c>
      <c r="AQ6" s="74">
        <f>შშმპ!D4</f>
        <v>62</v>
      </c>
      <c r="AR6" s="9">
        <f t="shared" si="12"/>
        <v>59.993020304568532</v>
      </c>
      <c r="AS6" s="9">
        <f t="shared" si="13"/>
        <v>14.998255076142133</v>
      </c>
      <c r="AT6" s="9">
        <f t="shared" si="14"/>
        <v>179.97906091370561</v>
      </c>
      <c r="AU6" s="76">
        <f t="shared" si="3"/>
        <v>112.94647219960019</v>
      </c>
      <c r="AV6" s="76">
        <f t="shared" si="15"/>
        <v>451.78588879840078</v>
      </c>
    </row>
    <row r="7" spans="1:48" ht="30" hidden="1" customHeight="1">
      <c r="A7" s="16">
        <v>5</v>
      </c>
      <c r="B7" s="14" t="s">
        <v>53</v>
      </c>
      <c r="C7" s="16" t="s">
        <v>54</v>
      </c>
      <c r="D7" s="18" t="s">
        <v>55</v>
      </c>
      <c r="E7" s="78">
        <f t="shared" si="0"/>
        <v>12809.8</v>
      </c>
      <c r="F7" s="78">
        <f t="shared" si="1"/>
        <v>16399.375</v>
      </c>
      <c r="G7" s="78">
        <f t="shared" si="4"/>
        <v>36643.75</v>
      </c>
      <c r="H7" s="78">
        <f t="shared" si="5"/>
        <v>40709</v>
      </c>
      <c r="I7" s="6">
        <v>35172</v>
      </c>
      <c r="J7" s="6">
        <f>14677+300</f>
        <v>14977</v>
      </c>
      <c r="K7" s="6">
        <f>7169</f>
        <v>7169</v>
      </c>
      <c r="L7" s="6">
        <f>16509</f>
        <v>16509</v>
      </c>
      <c r="M7" s="6">
        <v>14056</v>
      </c>
      <c r="N7" s="6">
        <f>11338</f>
        <v>11338</v>
      </c>
      <c r="O7" s="6">
        <v>15140</v>
      </c>
      <c r="P7" s="6">
        <v>16835</v>
      </c>
      <c r="Q7" s="6">
        <v>15104</v>
      </c>
      <c r="R7" s="6">
        <v>15293</v>
      </c>
      <c r="S7" s="6">
        <v>18158</v>
      </c>
      <c r="T7" s="6">
        <v>14011</v>
      </c>
      <c r="U7" s="6">
        <v>19170</v>
      </c>
      <c r="V7" s="6">
        <v>17484</v>
      </c>
      <c r="W7" s="6">
        <v>31052</v>
      </c>
      <c r="X7" s="6">
        <v>40073</v>
      </c>
      <c r="Y7" s="6">
        <v>38322</v>
      </c>
      <c r="Z7" s="6">
        <v>37128</v>
      </c>
      <c r="AA7" s="6">
        <v>38507</v>
      </c>
      <c r="AB7" s="27">
        <v>37090</v>
      </c>
      <c r="AC7" s="27">
        <v>43811</v>
      </c>
      <c r="AD7" s="27">
        <v>43428</v>
      </c>
      <c r="AE7" s="33">
        <f t="shared" si="6"/>
        <v>539827</v>
      </c>
      <c r="AF7" s="33"/>
      <c r="AG7" s="38">
        <v>0.1034559</v>
      </c>
      <c r="AH7" s="33">
        <f t="shared" si="7"/>
        <v>55848.288129300003</v>
      </c>
      <c r="AI7" s="46">
        <f t="shared" si="8"/>
        <v>1.3446226047480614</v>
      </c>
      <c r="AJ7" s="46">
        <f t="shared" si="9"/>
        <v>268924.52094961226</v>
      </c>
      <c r="AK7" s="46">
        <f t="shared" si="10"/>
        <v>2599412.1258392441</v>
      </c>
      <c r="AL7" s="46">
        <f t="shared" si="2"/>
        <v>120855.50166763978</v>
      </c>
      <c r="AM7" s="46">
        <f t="shared" si="11"/>
        <v>10071.291805636649</v>
      </c>
      <c r="AN7" s="48">
        <v>516988</v>
      </c>
      <c r="AP7" s="74">
        <f>საპენსიო!D7</f>
        <v>84.567441860465109</v>
      </c>
      <c r="AQ7" s="74">
        <f>შშმპ!D5</f>
        <v>87.5</v>
      </c>
      <c r="AR7" s="9">
        <f t="shared" si="12"/>
        <v>86.033720930232562</v>
      </c>
      <c r="AS7" s="9">
        <f t="shared" si="13"/>
        <v>21.50843023255814</v>
      </c>
      <c r="AT7" s="9">
        <f t="shared" si="14"/>
        <v>258.10116279069769</v>
      </c>
      <c r="AU7" s="76">
        <f t="shared" si="3"/>
        <v>6009.1321682952866</v>
      </c>
      <c r="AV7" s="76">
        <f t="shared" si="15"/>
        <v>24036.528673181147</v>
      </c>
    </row>
    <row r="8" spans="1:48" ht="25.5" hidden="1" customHeight="1">
      <c r="A8" s="16">
        <v>6</v>
      </c>
      <c r="B8" s="16" t="s">
        <v>56</v>
      </c>
      <c r="C8" s="16" t="s">
        <v>57</v>
      </c>
      <c r="D8" s="19" t="s">
        <v>52</v>
      </c>
      <c r="E8" s="78">
        <f t="shared" si="0"/>
        <v>3011.4</v>
      </c>
      <c r="F8" s="78">
        <f t="shared" si="1"/>
        <v>3165.375</v>
      </c>
      <c r="G8" s="78">
        <f t="shared" si="4"/>
        <v>8302.5</v>
      </c>
      <c r="H8" s="78">
        <f t="shared" si="5"/>
        <v>10258.5</v>
      </c>
      <c r="I8" s="6">
        <v>0</v>
      </c>
      <c r="J8" s="6">
        <v>2759</v>
      </c>
      <c r="K8" s="6">
        <v>3999</v>
      </c>
      <c r="L8" s="6">
        <f>2385</f>
        <v>2385</v>
      </c>
      <c r="M8" s="6">
        <v>2844</v>
      </c>
      <c r="N8" s="6">
        <f>3070</f>
        <v>3070</v>
      </c>
      <c r="O8" s="6">
        <v>2441</v>
      </c>
      <c r="P8" s="6">
        <v>2913</v>
      </c>
      <c r="Q8" s="6">
        <v>3614</v>
      </c>
      <c r="R8" s="6">
        <v>3529</v>
      </c>
      <c r="S8" s="6">
        <v>3254</v>
      </c>
      <c r="T8" s="6">
        <v>3147</v>
      </c>
      <c r="U8" s="6">
        <v>3592</v>
      </c>
      <c r="V8" s="6">
        <v>2833</v>
      </c>
      <c r="W8" s="6">
        <v>8669</v>
      </c>
      <c r="X8" s="6">
        <v>7654</v>
      </c>
      <c r="Y8" s="6">
        <v>7780</v>
      </c>
      <c r="Z8" s="6">
        <v>9107</v>
      </c>
      <c r="AA8" s="6">
        <v>9951</v>
      </c>
      <c r="AB8" s="27">
        <v>10209</v>
      </c>
      <c r="AC8" s="27">
        <v>10994</v>
      </c>
      <c r="AD8" s="27">
        <v>9880</v>
      </c>
      <c r="AE8" s="33">
        <f t="shared" si="6"/>
        <v>114624</v>
      </c>
      <c r="AF8" s="33"/>
      <c r="AG8" s="37">
        <v>0.188</v>
      </c>
      <c r="AH8" s="33">
        <f t="shared" si="7"/>
        <v>21549.312000000002</v>
      </c>
      <c r="AI8" s="46">
        <f t="shared" si="8"/>
        <v>0.51882865173743753</v>
      </c>
      <c r="AJ8" s="46">
        <f t="shared" si="9"/>
        <v>103765.73034748749</v>
      </c>
      <c r="AK8" s="46">
        <f t="shared" si="10"/>
        <v>551945.37418876321</v>
      </c>
      <c r="AL8" s="46">
        <f t="shared" si="2"/>
        <v>22825.255630135849</v>
      </c>
      <c r="AM8" s="46">
        <f t="shared" si="11"/>
        <v>1902.104635844654</v>
      </c>
      <c r="AN8" s="48">
        <v>27649</v>
      </c>
      <c r="AP8" s="74">
        <f>საპენსიო!D15</f>
        <v>77.575757575757578</v>
      </c>
      <c r="AQ8" s="74">
        <f>შშმპ!D15</f>
        <v>115.875</v>
      </c>
      <c r="AR8" s="9">
        <f t="shared" si="12"/>
        <v>96.725378787878782</v>
      </c>
      <c r="AS8" s="9">
        <f t="shared" si="13"/>
        <v>24.181344696969695</v>
      </c>
      <c r="AT8" s="9">
        <f t="shared" si="14"/>
        <v>290.17613636363637</v>
      </c>
      <c r="AU8" s="76">
        <f t="shared" si="3"/>
        <v>285.85052182256078</v>
      </c>
      <c r="AV8" s="76">
        <f t="shared" si="15"/>
        <v>1143.4020872902431</v>
      </c>
    </row>
    <row r="9" spans="1:48" ht="24.75" hidden="1" customHeight="1">
      <c r="A9" s="16">
        <v>7</v>
      </c>
      <c r="B9" s="16" t="s">
        <v>58</v>
      </c>
      <c r="C9" s="16" t="s">
        <v>59</v>
      </c>
      <c r="D9" s="19" t="s">
        <v>60</v>
      </c>
      <c r="E9" s="78">
        <f t="shared" si="0"/>
        <v>20840.8</v>
      </c>
      <c r="F9" s="78">
        <f t="shared" si="1"/>
        <v>29990.375</v>
      </c>
      <c r="G9" s="78">
        <f t="shared" si="4"/>
        <v>66727.75</v>
      </c>
      <c r="H9" s="78">
        <f t="shared" si="5"/>
        <v>75478</v>
      </c>
      <c r="I9" s="6">
        <v>56943</v>
      </c>
      <c r="J9" s="6">
        <v>22075</v>
      </c>
      <c r="K9" s="6">
        <v>12111</v>
      </c>
      <c r="L9" s="6">
        <f>26890</f>
        <v>26890</v>
      </c>
      <c r="M9" s="6">
        <v>24446</v>
      </c>
      <c r="N9" s="6">
        <f>18682</f>
        <v>18682</v>
      </c>
      <c r="O9" s="6">
        <v>27577</v>
      </c>
      <c r="P9" s="6">
        <v>31298</v>
      </c>
      <c r="Q9" s="6">
        <v>24233</v>
      </c>
      <c r="R9" s="6">
        <v>30732</v>
      </c>
      <c r="S9" s="6">
        <v>32988</v>
      </c>
      <c r="T9" s="6">
        <v>26408</v>
      </c>
      <c r="U9" s="6">
        <v>34308</v>
      </c>
      <c r="V9" s="6">
        <v>32379</v>
      </c>
      <c r="W9" s="6">
        <v>57431</v>
      </c>
      <c r="X9" s="6">
        <v>72802</v>
      </c>
      <c r="Y9" s="6">
        <v>68970</v>
      </c>
      <c r="Z9" s="6">
        <v>67708</v>
      </c>
      <c r="AA9" s="6">
        <v>74700</v>
      </c>
      <c r="AB9" s="28">
        <v>74139</v>
      </c>
      <c r="AC9" s="28">
        <v>76518</v>
      </c>
      <c r="AD9" s="28">
        <v>76555</v>
      </c>
      <c r="AE9" s="33">
        <f t="shared" si="6"/>
        <v>969893</v>
      </c>
      <c r="AF9" s="33"/>
      <c r="AG9" s="37">
        <v>6.6000000000000003E-2</v>
      </c>
      <c r="AH9" s="33">
        <f t="shared" si="7"/>
        <v>64012.938000000002</v>
      </c>
      <c r="AI9" s="46">
        <f t="shared" si="8"/>
        <v>1.5411975248347687</v>
      </c>
      <c r="AJ9" s="46">
        <f t="shared" si="9"/>
        <v>308239.50496695371</v>
      </c>
      <c r="AK9" s="46">
        <f t="shared" si="10"/>
        <v>4670295.5298023289</v>
      </c>
      <c r="AL9" s="46">
        <f t="shared" si="2"/>
        <v>152330.37571742694</v>
      </c>
      <c r="AM9" s="46">
        <f t="shared" si="11"/>
        <v>12694.197976452246</v>
      </c>
      <c r="AN9" s="48">
        <v>1682441</v>
      </c>
      <c r="AP9" s="74">
        <f>საპენსიო!D8</f>
        <v>117.69565217391305</v>
      </c>
      <c r="AQ9" s="74">
        <f>შშმპ!D11</f>
        <v>127.57627118644068</v>
      </c>
      <c r="AR9" s="9">
        <f t="shared" si="12"/>
        <v>122.63596168017686</v>
      </c>
      <c r="AS9" s="9">
        <f t="shared" si="13"/>
        <v>30.658990420044216</v>
      </c>
      <c r="AT9" s="9">
        <f t="shared" si="14"/>
        <v>367.90788504053057</v>
      </c>
      <c r="AU9" s="76">
        <f t="shared" si="3"/>
        <v>13718.985662522458</v>
      </c>
      <c r="AV9" s="76">
        <f t="shared" si="15"/>
        <v>54875.942650089833</v>
      </c>
    </row>
    <row r="10" spans="1:48" ht="25.5" hidden="1" customHeight="1">
      <c r="A10" s="16">
        <v>8</v>
      </c>
      <c r="B10" s="16" t="s">
        <v>61</v>
      </c>
      <c r="C10" s="16" t="s">
        <v>62</v>
      </c>
      <c r="D10" s="20" t="s">
        <v>63</v>
      </c>
      <c r="E10" s="78">
        <f t="shared" si="0"/>
        <v>32143.4</v>
      </c>
      <c r="F10" s="78">
        <f t="shared" si="1"/>
        <v>38286.375</v>
      </c>
      <c r="G10" s="78">
        <f t="shared" si="4"/>
        <v>70734.5</v>
      </c>
      <c r="H10" s="78">
        <f t="shared" si="5"/>
        <v>79779</v>
      </c>
      <c r="I10" s="6">
        <v>37254</v>
      </c>
      <c r="J10" s="6">
        <v>49150</v>
      </c>
      <c r="K10" s="6">
        <f>668+13686+92+5642</f>
        <v>20088</v>
      </c>
      <c r="L10" s="6">
        <f>1102+11045+1028+18908</f>
        <v>32083</v>
      </c>
      <c r="M10" s="6">
        <v>34438</v>
      </c>
      <c r="N10" s="6">
        <f>1174+18698+5086</f>
        <v>24958</v>
      </c>
      <c r="O10" s="6">
        <v>30837</v>
      </c>
      <c r="P10" s="6">
        <v>39593</v>
      </c>
      <c r="Q10" s="6">
        <v>35795</v>
      </c>
      <c r="R10" s="6">
        <v>32955</v>
      </c>
      <c r="S10" s="6">
        <v>48160</v>
      </c>
      <c r="T10" s="6">
        <v>37230</v>
      </c>
      <c r="U10" s="6">
        <v>39410</v>
      </c>
      <c r="V10" s="6">
        <v>42311</v>
      </c>
      <c r="W10" s="6">
        <v>66372</v>
      </c>
      <c r="X10" s="6">
        <v>80964</v>
      </c>
      <c r="Y10" s="6">
        <v>75701</v>
      </c>
      <c r="Z10" s="6">
        <v>59901</v>
      </c>
      <c r="AA10" s="6">
        <v>72905</v>
      </c>
      <c r="AB10" s="27">
        <v>81999</v>
      </c>
      <c r="AC10" s="27">
        <v>83146</v>
      </c>
      <c r="AD10" s="27">
        <v>81066</v>
      </c>
      <c r="AE10" s="33">
        <f t="shared" si="6"/>
        <v>1106316</v>
      </c>
      <c r="AF10" s="33"/>
      <c r="AG10" s="37">
        <v>0.155</v>
      </c>
      <c r="AH10" s="33">
        <f t="shared" si="7"/>
        <v>171478.98</v>
      </c>
      <c r="AI10" s="46">
        <f t="shared" si="8"/>
        <v>4.1285869356159033</v>
      </c>
      <c r="AJ10" s="46">
        <f t="shared" si="9"/>
        <v>825717.38712318067</v>
      </c>
      <c r="AK10" s="46">
        <f t="shared" si="10"/>
        <v>5327208.949181811</v>
      </c>
      <c r="AL10" s="46">
        <f t="shared" si="2"/>
        <v>267282.54940084589</v>
      </c>
      <c r="AM10" s="46">
        <f t="shared" si="11"/>
        <v>22273.545783403824</v>
      </c>
      <c r="AN10" s="48">
        <v>124143</v>
      </c>
      <c r="AP10" s="74">
        <f>საპენსიო!D14</f>
        <v>77.405156537753228</v>
      </c>
      <c r="AQ10" s="74">
        <f>შშმპ!D14</f>
        <v>82.042857142857144</v>
      </c>
      <c r="AR10" s="9">
        <f t="shared" si="12"/>
        <v>79.724006840305179</v>
      </c>
      <c r="AS10" s="9">
        <f t="shared" si="13"/>
        <v>19.931001710076295</v>
      </c>
      <c r="AT10" s="9">
        <f t="shared" si="14"/>
        <v>239.17202052091554</v>
      </c>
      <c r="AU10" s="76">
        <f t="shared" si="3"/>
        <v>1557.1595673643237</v>
      </c>
      <c r="AV10" s="76">
        <f t="shared" si="15"/>
        <v>6228.6382694572949</v>
      </c>
    </row>
    <row r="11" spans="1:48" ht="40.5" hidden="1" customHeight="1">
      <c r="A11" s="16">
        <v>9</v>
      </c>
      <c r="B11" s="16" t="s">
        <v>64</v>
      </c>
      <c r="C11" s="16" t="s">
        <v>65</v>
      </c>
      <c r="D11" s="20" t="s">
        <v>66</v>
      </c>
      <c r="E11" s="78">
        <f t="shared" si="0"/>
        <v>15407.6</v>
      </c>
      <c r="F11" s="78">
        <f t="shared" si="1"/>
        <v>17747.875</v>
      </c>
      <c r="G11" s="78">
        <f t="shared" si="4"/>
        <v>32779.25</v>
      </c>
      <c r="H11" s="78">
        <f t="shared" si="5"/>
        <v>34241.25</v>
      </c>
      <c r="I11" s="6">
        <v>39979</v>
      </c>
      <c r="J11" s="6">
        <f>2529+14404+837+2536</f>
        <v>20306</v>
      </c>
      <c r="K11" s="6">
        <f>1774+7298+1212+1147</f>
        <v>11431</v>
      </c>
      <c r="L11" s="6">
        <f>2120+11319+1962+1944</f>
        <v>17345</v>
      </c>
      <c r="M11" s="6">
        <v>15502</v>
      </c>
      <c r="N11" s="6">
        <f>1800+7254+2436+964</f>
        <v>12454</v>
      </c>
      <c r="O11" s="6">
        <v>17248</v>
      </c>
      <c r="P11" s="6">
        <v>20487</v>
      </c>
      <c r="Q11" s="6">
        <v>14079</v>
      </c>
      <c r="R11" s="6">
        <v>18864</v>
      </c>
      <c r="S11" s="6">
        <v>19832</v>
      </c>
      <c r="T11" s="6">
        <v>13412</v>
      </c>
      <c r="U11" s="6">
        <v>19005</v>
      </c>
      <c r="V11" s="6">
        <v>19056</v>
      </c>
      <c r="W11" s="6">
        <v>32198</v>
      </c>
      <c r="X11" s="6">
        <v>38592</v>
      </c>
      <c r="Y11" s="6">
        <v>33194</v>
      </c>
      <c r="Z11" s="6">
        <v>27133</v>
      </c>
      <c r="AA11" s="6">
        <v>34869</v>
      </c>
      <c r="AB11" s="27">
        <v>37403</v>
      </c>
      <c r="AC11" s="27">
        <v>32044</v>
      </c>
      <c r="AD11" s="27">
        <v>32649</v>
      </c>
      <c r="AE11" s="33">
        <f t="shared" si="6"/>
        <v>527082</v>
      </c>
      <c r="AF11" s="33"/>
      <c r="AG11" s="37">
        <v>2.9399999999999999E-2</v>
      </c>
      <c r="AH11" s="33">
        <f t="shared" si="7"/>
        <v>15496.210799999999</v>
      </c>
      <c r="AI11" s="46">
        <f t="shared" si="8"/>
        <v>0.37309210411929239</v>
      </c>
      <c r="AJ11" s="46">
        <f t="shared" si="9"/>
        <v>74618.420823858469</v>
      </c>
      <c r="AK11" s="46">
        <f t="shared" si="10"/>
        <v>2538041.5246210364</v>
      </c>
      <c r="AL11" s="46">
        <f t="shared" si="2"/>
        <v>134337.65085347873</v>
      </c>
      <c r="AM11" s="46">
        <f t="shared" si="11"/>
        <v>11194.804237789895</v>
      </c>
      <c r="AN11" s="48">
        <v>121039</v>
      </c>
      <c r="AP11" s="74">
        <f>საპენსიო!D9</f>
        <v>70.788461538461533</v>
      </c>
      <c r="AQ11" s="74">
        <f>შშმპ!D17</f>
        <v>80.355555555555554</v>
      </c>
      <c r="AR11" s="9">
        <f t="shared" si="12"/>
        <v>75.572008547008551</v>
      </c>
      <c r="AS11" s="9">
        <f t="shared" si="13"/>
        <v>18.893002136752138</v>
      </c>
      <c r="AT11" s="9">
        <f t="shared" si="14"/>
        <v>226.71602564102565</v>
      </c>
      <c r="AU11" s="76">
        <f t="shared" si="3"/>
        <v>1601.6379917269146</v>
      </c>
      <c r="AV11" s="76">
        <f t="shared" si="15"/>
        <v>6406.5519669076584</v>
      </c>
    </row>
    <row r="12" spans="1:48" ht="37.5" hidden="1" customHeight="1">
      <c r="A12" s="16">
        <v>10</v>
      </c>
      <c r="B12" s="16" t="s">
        <v>67</v>
      </c>
      <c r="C12" s="16" t="s">
        <v>67</v>
      </c>
      <c r="D12" s="15" t="s">
        <v>68</v>
      </c>
      <c r="E12" s="78">
        <f t="shared" si="0"/>
        <v>8689.4</v>
      </c>
      <c r="F12" s="78">
        <f t="shared" si="1"/>
        <v>13555.5</v>
      </c>
      <c r="G12" s="78">
        <f t="shared" si="4"/>
        <v>24737.25</v>
      </c>
      <c r="H12" s="78">
        <f t="shared" si="5"/>
        <v>28414</v>
      </c>
      <c r="I12" s="6">
        <v>0</v>
      </c>
      <c r="J12" s="6">
        <v>0</v>
      </c>
      <c r="K12" s="6">
        <v>7868</v>
      </c>
      <c r="L12" s="6">
        <f>14375</f>
        <v>14375</v>
      </c>
      <c r="M12" s="6">
        <v>11156</v>
      </c>
      <c r="N12" s="6">
        <f>10048</f>
        <v>10048</v>
      </c>
      <c r="O12" s="6">
        <v>12392</v>
      </c>
      <c r="P12" s="6">
        <v>14103</v>
      </c>
      <c r="Q12" s="6">
        <v>13297</v>
      </c>
      <c r="R12" s="6">
        <v>12604</v>
      </c>
      <c r="S12" s="6">
        <v>14359</v>
      </c>
      <c r="T12" s="6">
        <v>12716</v>
      </c>
      <c r="U12" s="6">
        <v>14051</v>
      </c>
      <c r="V12" s="6">
        <v>14922</v>
      </c>
      <c r="W12" s="6">
        <v>22164</v>
      </c>
      <c r="X12" s="6">
        <v>27374</v>
      </c>
      <c r="Y12" s="6">
        <v>25245</v>
      </c>
      <c r="Z12" s="6">
        <v>24166</v>
      </c>
      <c r="AA12" s="6">
        <v>27361</v>
      </c>
      <c r="AB12" s="27">
        <v>28311</v>
      </c>
      <c r="AC12" s="27">
        <v>29744</v>
      </c>
      <c r="AD12" s="27">
        <v>28240</v>
      </c>
      <c r="AE12" s="33">
        <f t="shared" si="6"/>
        <v>364496</v>
      </c>
      <c r="AF12" s="33"/>
      <c r="AG12" s="36">
        <v>6.1499999999999999E-2</v>
      </c>
      <c r="AH12" s="33">
        <f t="shared" si="7"/>
        <v>22416.504000000001</v>
      </c>
      <c r="AI12" s="46">
        <f t="shared" si="8"/>
        <v>0.5397074647667115</v>
      </c>
      <c r="AJ12" s="46">
        <f t="shared" si="9"/>
        <v>107941.4929533423</v>
      </c>
      <c r="AK12" s="46">
        <f t="shared" si="10"/>
        <v>1755146.2268836147</v>
      </c>
      <c r="AL12" s="46">
        <f t="shared" si="2"/>
        <v>177680.03416618693</v>
      </c>
      <c r="AM12" s="46">
        <f t="shared" si="11"/>
        <v>14806.669513848912</v>
      </c>
      <c r="AN12" s="48">
        <v>845871</v>
      </c>
      <c r="AP12" s="74">
        <f>საპენსიო!D16</f>
        <v>39.715504978662871</v>
      </c>
      <c r="AQ12" s="74">
        <f>შშმპ!D13</f>
        <v>39.30952380952381</v>
      </c>
      <c r="AR12" s="9">
        <f t="shared" si="12"/>
        <v>39.512514394093344</v>
      </c>
      <c r="AS12" s="9">
        <f t="shared" si="13"/>
        <v>9.878128598523336</v>
      </c>
      <c r="AT12" s="9">
        <f t="shared" si="14"/>
        <v>118.53754318228003</v>
      </c>
      <c r="AU12" s="76">
        <f t="shared" si="3"/>
        <v>21407.673314924443</v>
      </c>
      <c r="AV12" s="76">
        <f t="shared" si="15"/>
        <v>85630.693259697771</v>
      </c>
    </row>
    <row r="13" spans="1:48" ht="51" hidden="1" customHeight="1">
      <c r="A13" s="16">
        <v>11</v>
      </c>
      <c r="B13" s="16" t="s">
        <v>69</v>
      </c>
      <c r="C13" s="16" t="s">
        <v>70</v>
      </c>
      <c r="D13" s="15" t="s">
        <v>71</v>
      </c>
      <c r="E13" s="78">
        <f t="shared" si="0"/>
        <v>44384.4</v>
      </c>
      <c r="F13" s="78">
        <f t="shared" si="1"/>
        <v>58376</v>
      </c>
      <c r="G13" s="78">
        <f t="shared" si="4"/>
        <v>107546.25</v>
      </c>
      <c r="H13" s="78">
        <f t="shared" si="5"/>
        <v>119633.25</v>
      </c>
      <c r="I13" s="6">
        <v>116872</v>
      </c>
      <c r="J13" s="6">
        <v>54518</v>
      </c>
      <c r="K13" s="6">
        <f>368+9138+18725</f>
        <v>28231</v>
      </c>
      <c r="L13" s="6">
        <f>504+13261+39087</f>
        <v>52852</v>
      </c>
      <c r="M13" s="6">
        <v>49931</v>
      </c>
      <c r="N13" s="6">
        <f>10476+25914</f>
        <v>36390</v>
      </c>
      <c r="O13" s="6">
        <v>53175</v>
      </c>
      <c r="P13" s="6">
        <v>16046</v>
      </c>
      <c r="Q13" s="6">
        <v>97151</v>
      </c>
      <c r="R13" s="6">
        <v>57469</v>
      </c>
      <c r="S13" s="6">
        <v>66296</v>
      </c>
      <c r="T13" s="6">
        <v>51563</v>
      </c>
      <c r="U13" s="6">
        <v>64649</v>
      </c>
      <c r="V13" s="6">
        <v>60659</v>
      </c>
      <c r="W13" s="6">
        <v>97657</v>
      </c>
      <c r="X13" s="6">
        <v>118246</v>
      </c>
      <c r="Y13" s="6">
        <v>107252</v>
      </c>
      <c r="Z13" s="6">
        <v>107030</v>
      </c>
      <c r="AA13" s="6">
        <v>117604</v>
      </c>
      <c r="AB13" s="27">
        <v>114148</v>
      </c>
      <c r="AC13" s="27">
        <v>124387</v>
      </c>
      <c r="AD13" s="27">
        <v>122394</v>
      </c>
      <c r="AE13" s="33">
        <f t="shared" si="6"/>
        <v>1714520</v>
      </c>
      <c r="AF13" s="33"/>
      <c r="AG13" s="36">
        <v>0.1205</v>
      </c>
      <c r="AH13" s="33">
        <f t="shared" si="7"/>
        <v>206599.66</v>
      </c>
      <c r="AI13" s="46">
        <f t="shared" si="8"/>
        <v>4.9741645138003934</v>
      </c>
      <c r="AJ13" s="46">
        <f t="shared" si="9"/>
        <v>994832.90276007866</v>
      </c>
      <c r="AK13" s="46">
        <f t="shared" si="10"/>
        <v>8255874.7117018979</v>
      </c>
      <c r="AL13" s="46">
        <f t="shared" si="2"/>
        <v>335127.09448478837</v>
      </c>
      <c r="AM13" s="46">
        <f t="shared" si="11"/>
        <v>27927.257873732367</v>
      </c>
      <c r="AN13" s="48">
        <v>759525</v>
      </c>
      <c r="AP13" s="74">
        <f>საპენსიო!D10</f>
        <v>93.378066378066379</v>
      </c>
      <c r="AQ13" s="74">
        <f>შშმპ!D12</f>
        <v>103.70238095238095</v>
      </c>
      <c r="AR13" s="9">
        <f t="shared" si="12"/>
        <v>98.540223665223664</v>
      </c>
      <c r="AS13" s="9">
        <f t="shared" si="13"/>
        <v>24.635055916305916</v>
      </c>
      <c r="AT13" s="9">
        <f t="shared" si="14"/>
        <v>295.62067099567099</v>
      </c>
      <c r="AU13" s="76">
        <f t="shared" si="3"/>
        <v>7707.7661461412727</v>
      </c>
      <c r="AV13" s="76">
        <f t="shared" si="15"/>
        <v>30831.064584565091</v>
      </c>
    </row>
    <row r="14" spans="1:48" ht="46.5" hidden="1" customHeight="1">
      <c r="A14" s="16">
        <v>12</v>
      </c>
      <c r="B14" s="16" t="s">
        <v>72</v>
      </c>
      <c r="C14" s="16" t="s">
        <v>73</v>
      </c>
      <c r="D14" s="20" t="s">
        <v>74</v>
      </c>
      <c r="E14" s="78">
        <f t="shared" si="0"/>
        <v>48634.2</v>
      </c>
      <c r="F14" s="78">
        <f t="shared" si="1"/>
        <v>66894.25</v>
      </c>
      <c r="G14" s="78">
        <f t="shared" si="4"/>
        <v>100176.75</v>
      </c>
      <c r="H14" s="78">
        <f t="shared" si="5"/>
        <v>128898.75</v>
      </c>
      <c r="I14" s="6">
        <v>70352</v>
      </c>
      <c r="J14" s="6">
        <f>57648</f>
        <v>57648</v>
      </c>
      <c r="K14" s="6">
        <f>32988</f>
        <v>32988</v>
      </c>
      <c r="L14" s="6">
        <f>52491</f>
        <v>52491</v>
      </c>
      <c r="M14" s="6">
        <v>57398</v>
      </c>
      <c r="N14" s="6">
        <f>42646</f>
        <v>42646</v>
      </c>
      <c r="O14" s="6">
        <v>55777</v>
      </c>
      <c r="P14" s="6">
        <v>67473</v>
      </c>
      <c r="Q14" s="6">
        <v>63449</v>
      </c>
      <c r="R14" s="6">
        <v>61564</v>
      </c>
      <c r="S14" s="6">
        <v>82603</v>
      </c>
      <c r="T14" s="6">
        <v>62189</v>
      </c>
      <c r="U14" s="6">
        <v>68137</v>
      </c>
      <c r="V14" s="6">
        <v>73962</v>
      </c>
      <c r="W14" s="6">
        <v>131382</v>
      </c>
      <c r="X14" s="6">
        <v>164451</v>
      </c>
      <c r="Y14" s="6">
        <v>89377</v>
      </c>
      <c r="Z14" s="6">
        <v>15497</v>
      </c>
      <c r="AA14" s="6">
        <v>88710</v>
      </c>
      <c r="AB14" s="27">
        <v>128733</v>
      </c>
      <c r="AC14" s="27">
        <v>149378</v>
      </c>
      <c r="AD14" s="27">
        <v>148774</v>
      </c>
      <c r="AE14" s="33">
        <f t="shared" si="6"/>
        <v>1764979</v>
      </c>
      <c r="AF14" s="33"/>
      <c r="AG14" s="39">
        <v>0.09</v>
      </c>
      <c r="AH14" s="33">
        <f t="shared" si="7"/>
        <v>158848.10999999999</v>
      </c>
      <c r="AI14" s="46">
        <f t="shared" si="8"/>
        <v>3.8244817626818044</v>
      </c>
      <c r="AJ14" s="46">
        <f t="shared" si="9"/>
        <v>764896.35253636097</v>
      </c>
      <c r="AK14" s="46">
        <f t="shared" si="10"/>
        <v>8498848.3615151215</v>
      </c>
      <c r="AL14" s="46">
        <f t="shared" si="2"/>
        <v>467190.50322795869</v>
      </c>
      <c r="AM14" s="46">
        <f t="shared" si="11"/>
        <v>38932.541935663226</v>
      </c>
      <c r="AN14" s="48">
        <v>156923</v>
      </c>
      <c r="AP14" s="74">
        <f>საპენსიო!D12</f>
        <v>70.693345742205679</v>
      </c>
      <c r="AQ14" s="74">
        <f>შშმპ!D7</f>
        <v>74.837837837837839</v>
      </c>
      <c r="AR14" s="9">
        <f t="shared" si="12"/>
        <v>72.765591790021759</v>
      </c>
      <c r="AS14" s="9">
        <f t="shared" si="13"/>
        <v>18.19139794750544</v>
      </c>
      <c r="AT14" s="9">
        <f t="shared" si="14"/>
        <v>218.29677537006529</v>
      </c>
      <c r="AU14" s="76">
        <f t="shared" si="3"/>
        <v>2156.5549889682698</v>
      </c>
      <c r="AV14" s="76">
        <f t="shared" si="15"/>
        <v>8626.219955873079</v>
      </c>
    </row>
    <row r="15" spans="1:48" ht="46.5" hidden="1" customHeight="1">
      <c r="A15" s="16">
        <v>13</v>
      </c>
      <c r="B15" s="16" t="s">
        <v>75</v>
      </c>
      <c r="C15" s="16" t="s">
        <v>75</v>
      </c>
      <c r="D15" s="20" t="s">
        <v>76</v>
      </c>
      <c r="E15" s="78"/>
      <c r="F15" s="78"/>
      <c r="G15" s="78">
        <f t="shared" si="4"/>
        <v>99656.5</v>
      </c>
      <c r="H15" s="78">
        <f t="shared" si="5"/>
        <v>67065.75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>
        <v>0</v>
      </c>
      <c r="Z15" s="6">
        <v>199313</v>
      </c>
      <c r="AA15" s="6">
        <v>138489</v>
      </c>
      <c r="AB15" s="27">
        <v>43957</v>
      </c>
      <c r="AC15" s="27">
        <v>53947</v>
      </c>
      <c r="AD15" s="27">
        <v>31870</v>
      </c>
      <c r="AE15" s="33">
        <f t="shared" si="6"/>
        <v>467576</v>
      </c>
      <c r="AF15" s="33"/>
      <c r="AG15" s="39">
        <v>0.105</v>
      </c>
      <c r="AH15" s="33">
        <f t="shared" si="7"/>
        <v>49095.479999999996</v>
      </c>
      <c r="AI15" s="46">
        <f t="shared" si="8"/>
        <v>1.1820396723014788</v>
      </c>
      <c r="AJ15" s="46">
        <f t="shared" si="9"/>
        <v>236407.93446029574</v>
      </c>
      <c r="AK15" s="46">
        <f t="shared" si="10"/>
        <v>2251504.1377171022</v>
      </c>
      <c r="AL15" s="46">
        <f t="shared" si="2"/>
        <v>91686.631625454684</v>
      </c>
      <c r="AM15" s="46">
        <f t="shared" si="11"/>
        <v>7640.5526354545582</v>
      </c>
      <c r="AN15" s="48">
        <v>1735389</v>
      </c>
      <c r="AP15" s="74">
        <f>საპენსიო!D11</f>
        <v>97.300604229607245</v>
      </c>
      <c r="AQ15" s="74">
        <f>შშმპ!D6</f>
        <v>99.151515151515156</v>
      </c>
      <c r="AR15" s="9">
        <f t="shared" si="12"/>
        <v>98.2260596905612</v>
      </c>
      <c r="AS15" s="9">
        <f t="shared" si="13"/>
        <v>24.5565149226403</v>
      </c>
      <c r="AT15" s="9">
        <f t="shared" si="14"/>
        <v>294.67817907168359</v>
      </c>
      <c r="AU15" s="76">
        <f t="shared" si="3"/>
        <v>17667.297308544668</v>
      </c>
      <c r="AV15" s="76">
        <f t="shared" si="15"/>
        <v>70669.189234178673</v>
      </c>
    </row>
    <row r="16" spans="1:48" ht="46.5" hidden="1" customHeight="1">
      <c r="A16" s="16">
        <v>14</v>
      </c>
      <c r="B16" s="16" t="s">
        <v>77</v>
      </c>
      <c r="C16" s="16" t="s">
        <v>78</v>
      </c>
      <c r="D16" s="20" t="s">
        <v>79</v>
      </c>
      <c r="E16" s="78"/>
      <c r="F16" s="78"/>
      <c r="G16" s="78">
        <f t="shared" si="4"/>
        <v>5203.5</v>
      </c>
      <c r="H16" s="78">
        <f t="shared" si="5"/>
        <v>13615.75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>
        <v>0</v>
      </c>
      <c r="Z16" s="6">
        <v>10407</v>
      </c>
      <c r="AA16" s="6">
        <v>11936</v>
      </c>
      <c r="AB16" s="27">
        <v>13690</v>
      </c>
      <c r="AC16" s="27">
        <v>14570</v>
      </c>
      <c r="AD16" s="27">
        <v>14267</v>
      </c>
      <c r="AE16" s="33">
        <f t="shared" si="6"/>
        <v>64870</v>
      </c>
      <c r="AF16" s="33"/>
      <c r="AG16" s="40">
        <v>0.23400000000000001</v>
      </c>
      <c r="AH16" s="33">
        <f t="shared" si="7"/>
        <v>15179.580000000002</v>
      </c>
      <c r="AI16" s="46">
        <f t="shared" si="8"/>
        <v>0.36546879201250471</v>
      </c>
      <c r="AJ16" s="46">
        <f t="shared" si="9"/>
        <v>73093.758402500942</v>
      </c>
      <c r="AK16" s="46">
        <f t="shared" si="10"/>
        <v>312366.48889957665</v>
      </c>
      <c r="AL16" s="46">
        <f t="shared" si="2"/>
        <v>35627.122790332658</v>
      </c>
      <c r="AM16" s="46">
        <f t="shared" si="11"/>
        <v>2968.9268991943882</v>
      </c>
      <c r="AN16" s="48">
        <v>408402</v>
      </c>
      <c r="AP16" s="74">
        <f>საპენსიო!D13</f>
        <v>37.95945945945946</v>
      </c>
      <c r="AQ16" s="74">
        <f>შშმპ!D8</f>
        <v>32.18181818181818</v>
      </c>
      <c r="AR16" s="9">
        <f t="shared" si="12"/>
        <v>35.07063882063882</v>
      </c>
      <c r="AS16" s="9">
        <f t="shared" si="13"/>
        <v>8.7676597051597049</v>
      </c>
      <c r="AT16" s="9">
        <f t="shared" si="14"/>
        <v>105.21191646191646</v>
      </c>
      <c r="AU16" s="76">
        <f t="shared" si="3"/>
        <v>11645.12577283475</v>
      </c>
      <c r="AV16" s="76">
        <f t="shared" si="15"/>
        <v>46580.503091339</v>
      </c>
    </row>
    <row r="17" spans="1:48" ht="46.5" hidden="1" customHeight="1">
      <c r="A17" s="16">
        <v>15</v>
      </c>
      <c r="B17" s="21" t="s">
        <v>80</v>
      </c>
      <c r="C17" s="16" t="s">
        <v>81</v>
      </c>
      <c r="D17" s="20" t="s">
        <v>68</v>
      </c>
      <c r="E17" s="78"/>
      <c r="F17" s="78"/>
      <c r="G17" s="78">
        <f t="shared" si="4"/>
        <v>0</v>
      </c>
      <c r="H17" s="78">
        <f t="shared" si="5"/>
        <v>22701.5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>
        <v>0</v>
      </c>
      <c r="AA17" s="6">
        <v>9963</v>
      </c>
      <c r="AB17" s="27">
        <v>21402</v>
      </c>
      <c r="AC17" s="27">
        <v>23577</v>
      </c>
      <c r="AD17" s="27">
        <v>35864</v>
      </c>
      <c r="AE17" s="33">
        <f t="shared" si="6"/>
        <v>90806</v>
      </c>
      <c r="AF17" s="33"/>
      <c r="AG17" s="39">
        <v>0.316</v>
      </c>
      <c r="AH17" s="33">
        <f t="shared" si="7"/>
        <v>28694.696</v>
      </c>
      <c r="AI17" s="46">
        <f t="shared" si="8"/>
        <v>0.6908633759488767</v>
      </c>
      <c r="AJ17" s="46">
        <f t="shared" si="9"/>
        <v>138172.67518977533</v>
      </c>
      <c r="AK17" s="46">
        <f t="shared" si="10"/>
        <v>437255.30123346625</v>
      </c>
      <c r="AL17" s="46">
        <f t="shared" si="2"/>
        <v>58300.706831128831</v>
      </c>
      <c r="AM17" s="46">
        <f t="shared" si="11"/>
        <v>4858.3922359274029</v>
      </c>
      <c r="AN17" s="48">
        <v>743338</v>
      </c>
      <c r="AP17" s="74"/>
      <c r="AQ17" s="74">
        <f>შშმპ!D28</f>
        <v>30</v>
      </c>
      <c r="AR17" s="9">
        <f t="shared" si="12"/>
        <v>30</v>
      </c>
      <c r="AS17" s="9">
        <f t="shared" si="13"/>
        <v>7.5</v>
      </c>
      <c r="AT17" s="9">
        <f t="shared" si="14"/>
        <v>90</v>
      </c>
      <c r="AU17" s="76">
        <f t="shared" si="3"/>
        <v>24777.933333333334</v>
      </c>
      <c r="AV17" s="76">
        <f t="shared" si="15"/>
        <v>99111.733333333337</v>
      </c>
    </row>
    <row r="18" spans="1:48" ht="46.5" hidden="1" customHeight="1">
      <c r="A18" s="16">
        <v>16</v>
      </c>
      <c r="B18" s="21" t="s">
        <v>82</v>
      </c>
      <c r="C18" s="16" t="s">
        <v>83</v>
      </c>
      <c r="D18" s="20" t="s">
        <v>68</v>
      </c>
      <c r="E18" s="78"/>
      <c r="F18" s="78"/>
      <c r="G18" s="78">
        <f t="shared" si="4"/>
        <v>92</v>
      </c>
      <c r="H18" s="78">
        <f t="shared" si="5"/>
        <v>41466.75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>
        <v>92</v>
      </c>
      <c r="AA18" s="6">
        <v>18621</v>
      </c>
      <c r="AB18" s="27">
        <v>37794</v>
      </c>
      <c r="AC18" s="27">
        <v>50309</v>
      </c>
      <c r="AD18" s="27">
        <v>59143</v>
      </c>
      <c r="AE18" s="33">
        <f t="shared" si="6"/>
        <v>165959</v>
      </c>
      <c r="AF18" s="33"/>
      <c r="AG18" s="39">
        <v>0.38</v>
      </c>
      <c r="AH18" s="33">
        <f t="shared" si="7"/>
        <v>63064.42</v>
      </c>
      <c r="AI18" s="46">
        <f t="shared" si="8"/>
        <v>1.5183606790417943</v>
      </c>
      <c r="AJ18" s="46">
        <f t="shared" si="9"/>
        <v>303672.13580835884</v>
      </c>
      <c r="AK18" s="46">
        <f t="shared" si="10"/>
        <v>799137.1994956811</v>
      </c>
      <c r="AN18" s="48">
        <v>851106</v>
      </c>
      <c r="AP18" s="74"/>
      <c r="AQ18" s="74"/>
      <c r="AR18" s="9"/>
      <c r="AS18" s="9">
        <f t="shared" si="13"/>
        <v>0</v>
      </c>
      <c r="AT18" s="9">
        <f t="shared" si="14"/>
        <v>0</v>
      </c>
      <c r="AU18" s="76"/>
    </row>
    <row r="19" spans="1:48" ht="46.5" hidden="1" customHeight="1">
      <c r="A19" s="16">
        <v>18</v>
      </c>
      <c r="B19" s="21" t="s">
        <v>84</v>
      </c>
      <c r="C19" s="16" t="s">
        <v>85</v>
      </c>
      <c r="D19" s="20" t="s">
        <v>86</v>
      </c>
      <c r="E19" s="78"/>
      <c r="F19" s="78"/>
      <c r="G19" s="78">
        <f t="shared" si="4"/>
        <v>14476</v>
      </c>
      <c r="H19" s="78">
        <f t="shared" si="5"/>
        <v>83265.75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>
        <v>14476</v>
      </c>
      <c r="AA19" s="6">
        <v>64466</v>
      </c>
      <c r="AB19" s="27">
        <v>102410</v>
      </c>
      <c r="AC19" s="27">
        <v>128627</v>
      </c>
      <c r="AD19" s="27">
        <v>37560</v>
      </c>
      <c r="AE19" s="33">
        <f t="shared" si="6"/>
        <v>347539</v>
      </c>
      <c r="AF19" s="33"/>
      <c r="AG19" s="36">
        <v>6.7500000000000004E-2</v>
      </c>
      <c r="AH19" s="33">
        <f t="shared" si="7"/>
        <v>23458.882500000003</v>
      </c>
      <c r="AI19" s="46">
        <f t="shared" si="8"/>
        <v>0.56480412825903525</v>
      </c>
      <c r="AJ19" s="46">
        <f t="shared" si="9"/>
        <v>112960.82565180706</v>
      </c>
      <c r="AK19" s="46">
        <f t="shared" si="10"/>
        <v>1673493.7133601045</v>
      </c>
      <c r="AN19" s="48">
        <v>1812679</v>
      </c>
      <c r="AP19" s="74"/>
      <c r="AQ19" s="74"/>
      <c r="AR19" s="9"/>
      <c r="AS19" s="9">
        <f t="shared" si="13"/>
        <v>0</v>
      </c>
      <c r="AT19" s="9">
        <f t="shared" si="14"/>
        <v>0</v>
      </c>
      <c r="AU19" s="76"/>
    </row>
    <row r="20" spans="1:48" ht="46.5" hidden="1" customHeight="1">
      <c r="A20" s="16">
        <v>19</v>
      </c>
      <c r="B20" s="21" t="s">
        <v>87</v>
      </c>
      <c r="C20" s="16" t="s">
        <v>88</v>
      </c>
      <c r="D20" s="20" t="s">
        <v>89</v>
      </c>
      <c r="E20" s="78"/>
      <c r="F20" s="78"/>
      <c r="G20" s="78">
        <f t="shared" si="4"/>
        <v>152</v>
      </c>
      <c r="H20" s="78">
        <f t="shared" si="5"/>
        <v>34770.75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>
        <v>152</v>
      </c>
      <c r="AA20" s="6">
        <v>19619</v>
      </c>
      <c r="AB20" s="27">
        <v>36603</v>
      </c>
      <c r="AC20" s="27">
        <v>40167</v>
      </c>
      <c r="AD20" s="27">
        <v>42694</v>
      </c>
      <c r="AE20" s="33">
        <f t="shared" si="6"/>
        <v>139235</v>
      </c>
      <c r="AF20" s="33"/>
      <c r="AG20" s="39">
        <v>0.06</v>
      </c>
      <c r="AH20" s="33">
        <f t="shared" si="7"/>
        <v>8354.1</v>
      </c>
      <c r="AI20" s="46">
        <f t="shared" si="8"/>
        <v>0.2011361865974991</v>
      </c>
      <c r="AJ20" s="46">
        <f t="shared" si="9"/>
        <v>40227.237319499822</v>
      </c>
      <c r="AK20" s="46">
        <f t="shared" si="10"/>
        <v>670453.95532499708</v>
      </c>
      <c r="AL20" s="46">
        <f t="shared" ref="AL20:AL31" si="16">AK20/AS20</f>
        <v>43964.193791803089</v>
      </c>
      <c r="AM20" s="46">
        <f t="shared" si="11"/>
        <v>3663.6828159835904</v>
      </c>
      <c r="AN20" s="48">
        <v>1501133</v>
      </c>
      <c r="AP20" s="74">
        <f>საპენსიო!D29</f>
        <v>61</v>
      </c>
      <c r="AQ20" s="74"/>
      <c r="AR20" s="9">
        <f t="shared" si="12"/>
        <v>61</v>
      </c>
      <c r="AS20" s="9">
        <f t="shared" si="13"/>
        <v>15.25</v>
      </c>
      <c r="AT20" s="9">
        <f t="shared" si="14"/>
        <v>183</v>
      </c>
      <c r="AU20" s="76">
        <f t="shared" ref="AU20:AU31" si="17">AN20/AR20</f>
        <v>24608.737704918032</v>
      </c>
    </row>
    <row r="21" spans="1:48" ht="46.5" hidden="1" customHeight="1">
      <c r="A21" s="16">
        <v>20</v>
      </c>
      <c r="B21" s="21" t="s">
        <v>90</v>
      </c>
      <c r="C21" s="21" t="s">
        <v>91</v>
      </c>
      <c r="D21" s="20" t="s">
        <v>86</v>
      </c>
      <c r="E21" s="78"/>
      <c r="F21" s="78"/>
      <c r="G21" s="78">
        <f t="shared" si="4"/>
        <v>5620</v>
      </c>
      <c r="H21" s="78">
        <f t="shared" si="5"/>
        <v>35194.75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>
        <v>5620</v>
      </c>
      <c r="AA21" s="6">
        <v>23666</v>
      </c>
      <c r="AB21" s="27">
        <v>35141</v>
      </c>
      <c r="AC21" s="27">
        <v>40081</v>
      </c>
      <c r="AD21" s="27">
        <v>41891</v>
      </c>
      <c r="AE21" s="33">
        <f t="shared" si="6"/>
        <v>146399</v>
      </c>
      <c r="AF21" s="33"/>
      <c r="AG21" s="40">
        <v>0.14899999999999999</v>
      </c>
      <c r="AH21" s="33">
        <f t="shared" si="7"/>
        <v>21813.450999999997</v>
      </c>
      <c r="AI21" s="46">
        <f t="shared" si="8"/>
        <v>0.525188153202787</v>
      </c>
      <c r="AJ21" s="46">
        <f t="shared" si="9"/>
        <v>105037.63064055741</v>
      </c>
      <c r="AK21" s="46">
        <f t="shared" si="10"/>
        <v>704950.54121179471</v>
      </c>
      <c r="AL21" s="46">
        <f t="shared" si="16"/>
        <v>60842.20438674411</v>
      </c>
      <c r="AM21" s="46">
        <f t="shared" si="11"/>
        <v>5070.1836988953419</v>
      </c>
      <c r="AN21" s="48">
        <v>1800628</v>
      </c>
      <c r="AP21" s="74">
        <f>საპენსიო!D35</f>
        <v>54.692307692307693</v>
      </c>
      <c r="AQ21" s="74">
        <f>შშმპ!D36</f>
        <v>38</v>
      </c>
      <c r="AR21" s="9">
        <f t="shared" si="12"/>
        <v>46.346153846153847</v>
      </c>
      <c r="AS21" s="9">
        <f t="shared" si="13"/>
        <v>11.586538461538462</v>
      </c>
      <c r="AT21" s="9">
        <f t="shared" si="14"/>
        <v>139.03846153846155</v>
      </c>
      <c r="AU21" s="76">
        <f t="shared" si="17"/>
        <v>38851.724481327801</v>
      </c>
    </row>
    <row r="22" spans="1:48" ht="46.5" hidden="1" customHeight="1">
      <c r="A22" s="16">
        <v>22</v>
      </c>
      <c r="B22" s="21" t="s">
        <v>92</v>
      </c>
      <c r="C22" s="16" t="s">
        <v>93</v>
      </c>
      <c r="D22" s="20" t="s">
        <v>94</v>
      </c>
      <c r="E22" s="78"/>
      <c r="F22" s="78"/>
      <c r="G22" s="78">
        <f t="shared" si="4"/>
        <v>16901</v>
      </c>
      <c r="H22" s="78">
        <f t="shared" si="5"/>
        <v>132485.75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>
        <v>16901</v>
      </c>
      <c r="AA22" s="6">
        <v>84884</v>
      </c>
      <c r="AB22" s="27">
        <v>131581</v>
      </c>
      <c r="AC22" s="27">
        <v>153370</v>
      </c>
      <c r="AD22" s="27">
        <v>160108</v>
      </c>
      <c r="AE22" s="33">
        <f t="shared" si="6"/>
        <v>546844</v>
      </c>
      <c r="AF22" s="33"/>
      <c r="AG22" s="39">
        <v>7.2099999999999997E-2</v>
      </c>
      <c r="AH22" s="33">
        <f t="shared" si="7"/>
        <v>39427.452400000002</v>
      </c>
      <c r="AI22" s="46">
        <f t="shared" si="8"/>
        <v>0.94926891262857926</v>
      </c>
      <c r="AJ22" s="46">
        <f t="shared" si="9"/>
        <v>189853.78252571585</v>
      </c>
      <c r="AK22" s="46">
        <f t="shared" si="10"/>
        <v>2633200.8672082643</v>
      </c>
      <c r="AL22" s="46">
        <f t="shared" si="16"/>
        <v>152883.9464895417</v>
      </c>
      <c r="AM22" s="46">
        <f t="shared" si="11"/>
        <v>12740.328874128476</v>
      </c>
      <c r="AN22" s="48">
        <v>20329792</v>
      </c>
      <c r="AP22" s="74">
        <f>საპენსიო!D31</f>
        <v>72.359649122807014</v>
      </c>
      <c r="AQ22" s="74">
        <f>შშმპ!D31</f>
        <v>65.428571428571431</v>
      </c>
      <c r="AR22" s="9">
        <f t="shared" si="12"/>
        <v>68.894110275689229</v>
      </c>
      <c r="AS22" s="9">
        <f t="shared" si="13"/>
        <v>17.223527568922307</v>
      </c>
      <c r="AT22" s="9">
        <f t="shared" si="14"/>
        <v>206.68233082706769</v>
      </c>
      <c r="AU22" s="76">
        <f t="shared" si="17"/>
        <v>295087.517911873</v>
      </c>
    </row>
    <row r="23" spans="1:48" ht="46.5" hidden="1" customHeight="1">
      <c r="A23" s="16">
        <v>23</v>
      </c>
      <c r="B23" s="21" t="s">
        <v>95</v>
      </c>
      <c r="C23" s="16" t="s">
        <v>96</v>
      </c>
      <c r="D23" s="20" t="s">
        <v>97</v>
      </c>
      <c r="E23" s="78"/>
      <c r="F23" s="78"/>
      <c r="G23" s="78">
        <f t="shared" si="4"/>
        <v>2114</v>
      </c>
      <c r="H23" s="78">
        <f t="shared" si="5"/>
        <v>21529.5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>
        <v>2114</v>
      </c>
      <c r="AA23" s="6">
        <v>15922</v>
      </c>
      <c r="AB23" s="27">
        <v>19185</v>
      </c>
      <c r="AC23" s="27">
        <v>23726</v>
      </c>
      <c r="AD23" s="27">
        <v>27285</v>
      </c>
      <c r="AE23" s="33">
        <f t="shared" si="6"/>
        <v>88232</v>
      </c>
      <c r="AF23" s="33"/>
      <c r="AG23" s="39">
        <v>0.08</v>
      </c>
      <c r="AH23" s="33">
        <f t="shared" si="7"/>
        <v>7058.56</v>
      </c>
      <c r="AI23" s="46">
        <f t="shared" si="8"/>
        <v>0.16994431970764576</v>
      </c>
      <c r="AJ23" s="46">
        <f t="shared" si="9"/>
        <v>33988.863941529155</v>
      </c>
      <c r="AK23" s="46">
        <f t="shared" si="10"/>
        <v>424860.79926911445</v>
      </c>
      <c r="AL23" s="46">
        <f t="shared" si="16"/>
        <v>28448.82884973806</v>
      </c>
      <c r="AM23" s="46">
        <f t="shared" si="11"/>
        <v>2370.7357374781714</v>
      </c>
      <c r="AN23" s="48">
        <v>4642341</v>
      </c>
      <c r="AP23" s="74">
        <f>საპენსიო!D30</f>
        <v>59.736842105263158</v>
      </c>
      <c r="AQ23" s="74"/>
      <c r="AR23" s="9">
        <f t="shared" si="12"/>
        <v>59.736842105263158</v>
      </c>
      <c r="AS23" s="9">
        <f t="shared" si="13"/>
        <v>14.934210526315789</v>
      </c>
      <c r="AT23" s="9">
        <f t="shared" si="14"/>
        <v>179.21052631578948</v>
      </c>
      <c r="AU23" s="76">
        <f t="shared" si="17"/>
        <v>77713.197356828197</v>
      </c>
    </row>
    <row r="24" spans="1:48" ht="33.75" hidden="1" customHeight="1">
      <c r="A24" s="16">
        <v>24</v>
      </c>
      <c r="B24" s="16" t="s">
        <v>98</v>
      </c>
      <c r="C24" s="16" t="s">
        <v>99</v>
      </c>
      <c r="D24" s="19" t="s">
        <v>100</v>
      </c>
      <c r="E24" s="78">
        <f t="shared" ref="E24:E31" si="18">AVERAGE(J24:N24)</f>
        <v>111386.8</v>
      </c>
      <c r="F24" s="78">
        <f t="shared" ref="F24:F31" si="19">AVERAGE(O24:V24)</f>
        <v>170083.625</v>
      </c>
      <c r="G24" s="78">
        <f t="shared" si="4"/>
        <v>340627</v>
      </c>
      <c r="H24" s="78">
        <f t="shared" si="5"/>
        <v>413211</v>
      </c>
      <c r="I24" s="6">
        <v>255662</v>
      </c>
      <c r="J24" s="6">
        <v>103969</v>
      </c>
      <c r="K24" s="6">
        <f>14393+31795+12615+6244+1102</f>
        <v>66149</v>
      </c>
      <c r="L24" s="6">
        <f>31487+100998+25728+1020</f>
        <v>159233</v>
      </c>
      <c r="M24" s="6">
        <v>129089</v>
      </c>
      <c r="N24" s="22">
        <f>6352+51394+39920+828</f>
        <v>98494</v>
      </c>
      <c r="O24" s="22">
        <v>168080</v>
      </c>
      <c r="P24" s="22">
        <v>168944</v>
      </c>
      <c r="Q24" s="22">
        <v>137425</v>
      </c>
      <c r="R24" s="22">
        <v>172936</v>
      </c>
      <c r="S24" s="22">
        <v>195246</v>
      </c>
      <c r="T24" s="22">
        <v>141714</v>
      </c>
      <c r="U24" s="22">
        <v>185410</v>
      </c>
      <c r="V24" s="22">
        <v>190914</v>
      </c>
      <c r="W24" s="22">
        <v>277656</v>
      </c>
      <c r="X24" s="22">
        <v>352098</v>
      </c>
      <c r="Y24" s="22">
        <v>363351</v>
      </c>
      <c r="Z24" s="22">
        <v>369403</v>
      </c>
      <c r="AA24" s="22">
        <v>398024</v>
      </c>
      <c r="AB24" s="29">
        <v>426880</v>
      </c>
      <c r="AC24" s="29">
        <v>422016</v>
      </c>
      <c r="AD24" s="29">
        <v>405924</v>
      </c>
      <c r="AE24" s="33">
        <f t="shared" si="6"/>
        <v>5188617</v>
      </c>
      <c r="AF24" s="33"/>
      <c r="AG24" s="40">
        <v>8.4500000000000006E-2</v>
      </c>
      <c r="AH24" s="33">
        <f t="shared" si="7"/>
        <v>438438.13650000002</v>
      </c>
      <c r="AI24" s="46">
        <f t="shared" si="8"/>
        <v>10.555987459394043</v>
      </c>
      <c r="AJ24" s="46">
        <f t="shared" si="9"/>
        <v>2111197.4918788085</v>
      </c>
      <c r="AK24" s="46">
        <f t="shared" si="10"/>
        <v>24984585.70270779</v>
      </c>
      <c r="AL24" s="46">
        <f t="shared" si="16"/>
        <v>690732.3753495625</v>
      </c>
      <c r="AM24" s="46">
        <f t="shared" si="11"/>
        <v>57561.031279130213</v>
      </c>
      <c r="AN24" s="48">
        <v>823420</v>
      </c>
      <c r="AP24" s="74">
        <f>საპენსიო!D18</f>
        <v>143.02982162764772</v>
      </c>
      <c r="AQ24" s="74">
        <f>შშმპ!D19</f>
        <v>146.33939393939394</v>
      </c>
      <c r="AR24" s="9">
        <f t="shared" si="12"/>
        <v>144.68460778352085</v>
      </c>
      <c r="AS24" s="9">
        <f t="shared" si="13"/>
        <v>36.171151945880212</v>
      </c>
      <c r="AT24" s="9">
        <f t="shared" si="14"/>
        <v>434.05382335056254</v>
      </c>
      <c r="AU24" s="76">
        <f t="shared" si="17"/>
        <v>5691.1375205302602</v>
      </c>
    </row>
    <row r="25" spans="1:48" ht="51.75" hidden="1" customHeight="1">
      <c r="A25" s="16">
        <v>25</v>
      </c>
      <c r="B25" s="16" t="s">
        <v>101</v>
      </c>
      <c r="C25" s="16" t="s">
        <v>102</v>
      </c>
      <c r="D25" s="20" t="s">
        <v>103</v>
      </c>
      <c r="E25" s="78">
        <f t="shared" si="18"/>
        <v>29537.8</v>
      </c>
      <c r="F25" s="78">
        <f t="shared" si="19"/>
        <v>59391.375</v>
      </c>
      <c r="G25" s="78">
        <f t="shared" si="4"/>
        <v>107459.75</v>
      </c>
      <c r="H25" s="78">
        <f t="shared" si="5"/>
        <v>148344.75</v>
      </c>
      <c r="I25" s="6">
        <v>22614</v>
      </c>
      <c r="J25" s="6">
        <f>3092+8803</f>
        <v>11895</v>
      </c>
      <c r="K25" s="6">
        <v>700</v>
      </c>
      <c r="L25" s="6">
        <f>562+329+28856</f>
        <v>29747</v>
      </c>
      <c r="M25" s="6">
        <v>79226</v>
      </c>
      <c r="N25" s="6">
        <f>26120+1</f>
        <v>26121</v>
      </c>
      <c r="O25" s="6">
        <v>51767</v>
      </c>
      <c r="P25" s="6">
        <v>64413</v>
      </c>
      <c r="Q25" s="6">
        <v>45245</v>
      </c>
      <c r="R25" s="6">
        <v>53493</v>
      </c>
      <c r="S25" s="6">
        <v>75130</v>
      </c>
      <c r="T25" s="6">
        <v>47604</v>
      </c>
      <c r="U25" s="6">
        <v>60976</v>
      </c>
      <c r="V25" s="6">
        <v>76503</v>
      </c>
      <c r="W25" s="6">
        <v>99668</v>
      </c>
      <c r="X25" s="6">
        <v>130154</v>
      </c>
      <c r="Y25" s="6">
        <v>97303</v>
      </c>
      <c r="Z25" s="6">
        <v>102714</v>
      </c>
      <c r="AA25" s="6">
        <v>167394</v>
      </c>
      <c r="AB25" s="27">
        <v>142531</v>
      </c>
      <c r="AC25" s="27">
        <v>138106</v>
      </c>
      <c r="AD25" s="27">
        <v>145348</v>
      </c>
      <c r="AE25" s="33">
        <f t="shared" si="6"/>
        <v>1668652</v>
      </c>
      <c r="AF25" s="33"/>
      <c r="AG25" s="41">
        <v>0.1119</v>
      </c>
      <c r="AH25" s="33">
        <f t="shared" si="7"/>
        <v>186722.1588</v>
      </c>
      <c r="AI25" s="46">
        <f t="shared" si="8"/>
        <v>4.4955869542242324</v>
      </c>
      <c r="AJ25" s="46">
        <f t="shared" si="9"/>
        <v>899117.39084484649</v>
      </c>
      <c r="AK25" s="46">
        <f t="shared" si="10"/>
        <v>8035007.9610799504</v>
      </c>
      <c r="AL25" s="46">
        <f t="shared" si="16"/>
        <v>380995.92534833838</v>
      </c>
      <c r="AM25" s="46">
        <f t="shared" si="11"/>
        <v>31749.660445694863</v>
      </c>
      <c r="AN25" s="48">
        <v>610238</v>
      </c>
      <c r="AP25" s="74">
        <f>საპენსიო!D20</f>
        <v>83.653382275825905</v>
      </c>
      <c r="AQ25" s="74">
        <f>შშმპ!D20</f>
        <v>85.0625</v>
      </c>
      <c r="AR25" s="9">
        <f t="shared" si="12"/>
        <v>84.357941137912945</v>
      </c>
      <c r="AS25" s="9">
        <f t="shared" si="13"/>
        <v>21.089485284478236</v>
      </c>
      <c r="AT25" s="9">
        <f t="shared" si="14"/>
        <v>253.07382341373884</v>
      </c>
      <c r="AU25" s="76">
        <f t="shared" si="17"/>
        <v>7233.9129164182632</v>
      </c>
    </row>
    <row r="26" spans="1:48" hidden="1">
      <c r="A26" s="16">
        <v>26</v>
      </c>
      <c r="B26" s="16" t="s">
        <v>104</v>
      </c>
      <c r="C26" s="16" t="s">
        <v>105</v>
      </c>
      <c r="D26" s="23" t="s">
        <v>106</v>
      </c>
      <c r="E26" s="78">
        <f t="shared" si="18"/>
        <v>32737.8</v>
      </c>
      <c r="F26" s="78">
        <f t="shared" si="19"/>
        <v>54173.125</v>
      </c>
      <c r="G26" s="78">
        <f t="shared" si="4"/>
        <v>105344.25</v>
      </c>
      <c r="H26" s="78">
        <f t="shared" si="5"/>
        <v>131738.25</v>
      </c>
      <c r="I26" s="6">
        <v>35404</v>
      </c>
      <c r="J26" s="6">
        <f>630+300</f>
        <v>930</v>
      </c>
      <c r="K26" s="6">
        <v>24</v>
      </c>
      <c r="L26" s="6">
        <f>2+18170+30+84119</f>
        <v>102321</v>
      </c>
      <c r="M26" s="6">
        <v>38566</v>
      </c>
      <c r="N26" s="6">
        <f>3538+30+18280</f>
        <v>21848</v>
      </c>
      <c r="O26" s="6">
        <v>72462</v>
      </c>
      <c r="P26" s="6">
        <v>48945</v>
      </c>
      <c r="Q26" s="6">
        <v>33097</v>
      </c>
      <c r="R26" s="6">
        <v>65867</v>
      </c>
      <c r="S26" s="6">
        <v>59457</v>
      </c>
      <c r="T26" s="6">
        <v>34447</v>
      </c>
      <c r="U26" s="6">
        <v>64628</v>
      </c>
      <c r="V26" s="6">
        <v>54482</v>
      </c>
      <c r="W26" s="6">
        <v>84344</v>
      </c>
      <c r="X26" s="6">
        <v>130224</v>
      </c>
      <c r="Y26" s="6">
        <v>103094</v>
      </c>
      <c r="Z26" s="6">
        <v>103715</v>
      </c>
      <c r="AA26" s="6">
        <v>136114</v>
      </c>
      <c r="AB26" s="27">
        <v>128423</v>
      </c>
      <c r="AC26" s="27">
        <v>130971</v>
      </c>
      <c r="AD26" s="27">
        <v>131445</v>
      </c>
      <c r="AE26" s="33">
        <f t="shared" si="6"/>
        <v>1580808</v>
      </c>
      <c r="AF26" s="33"/>
      <c r="AG26" s="42">
        <v>0.109</v>
      </c>
      <c r="AH26" s="33">
        <f t="shared" si="7"/>
        <v>172308.07199999999</v>
      </c>
      <c r="AI26" s="46">
        <f t="shared" si="8"/>
        <v>4.1485484399333625</v>
      </c>
      <c r="AJ26" s="46">
        <f t="shared" si="9"/>
        <v>829709.68798667251</v>
      </c>
      <c r="AK26" s="46">
        <f t="shared" si="10"/>
        <v>7612015.4861162612</v>
      </c>
      <c r="AL26" s="46">
        <f t="shared" si="16"/>
        <v>259106.61317650956</v>
      </c>
      <c r="AM26" s="46">
        <f t="shared" si="11"/>
        <v>21592.21776470913</v>
      </c>
      <c r="AN26" s="48">
        <v>304248</v>
      </c>
      <c r="AP26" s="74">
        <f>საპენსიო!D19</f>
        <v>119.85441176470589</v>
      </c>
      <c r="AQ26" s="74">
        <f>შშმპ!D18</f>
        <v>115.16901408450704</v>
      </c>
      <c r="AR26" s="9">
        <f t="shared" si="12"/>
        <v>117.51171292460646</v>
      </c>
      <c r="AS26" s="9">
        <f t="shared" si="13"/>
        <v>29.377928231151614</v>
      </c>
      <c r="AT26" s="9">
        <f t="shared" si="14"/>
        <v>352.53513877381937</v>
      </c>
      <c r="AU26" s="76">
        <f t="shared" si="17"/>
        <v>2589.0865891402709</v>
      </c>
    </row>
    <row r="27" spans="1:48" hidden="1">
      <c r="A27" s="16">
        <v>27</v>
      </c>
      <c r="B27" s="16" t="s">
        <v>107</v>
      </c>
      <c r="C27" s="16" t="s">
        <v>108</v>
      </c>
      <c r="D27" s="20" t="s">
        <v>109</v>
      </c>
      <c r="E27" s="78">
        <f t="shared" si="18"/>
        <v>3042.2</v>
      </c>
      <c r="F27" s="78">
        <f t="shared" si="19"/>
        <v>3862.625</v>
      </c>
      <c r="G27" s="78">
        <f t="shared" si="4"/>
        <v>8559.25</v>
      </c>
      <c r="H27" s="78">
        <f t="shared" si="5"/>
        <v>7996.333333333333</v>
      </c>
      <c r="I27" s="6">
        <v>2774</v>
      </c>
      <c r="J27" s="6">
        <v>3424</v>
      </c>
      <c r="K27" s="6">
        <v>2384</v>
      </c>
      <c r="L27" s="6">
        <f>2117</f>
        <v>2117</v>
      </c>
      <c r="M27" s="6">
        <v>4162</v>
      </c>
      <c r="N27" s="6">
        <f>2480+644</f>
        <v>3124</v>
      </c>
      <c r="O27" s="6">
        <v>2678</v>
      </c>
      <c r="P27" s="6">
        <v>2208</v>
      </c>
      <c r="Q27" s="6">
        <v>5712</v>
      </c>
      <c r="R27" s="6">
        <v>2577</v>
      </c>
      <c r="S27" s="6">
        <v>4044</v>
      </c>
      <c r="T27" s="6">
        <v>5261</v>
      </c>
      <c r="U27" s="6">
        <v>4810</v>
      </c>
      <c r="V27" s="6">
        <v>3611</v>
      </c>
      <c r="W27" s="6">
        <v>6970</v>
      </c>
      <c r="X27" s="6">
        <v>10729</v>
      </c>
      <c r="Y27" s="6">
        <v>7133</v>
      </c>
      <c r="Z27" s="6">
        <v>9405</v>
      </c>
      <c r="AA27" s="6">
        <v>6884</v>
      </c>
      <c r="AB27" s="27">
        <v>10015</v>
      </c>
      <c r="AC27" s="27">
        <v>7090</v>
      </c>
      <c r="AD27" s="27"/>
      <c r="AE27" s="33">
        <f t="shared" si="6"/>
        <v>107112</v>
      </c>
      <c r="AF27" s="33"/>
      <c r="AG27" s="36">
        <v>0.16520000000000001</v>
      </c>
      <c r="AH27" s="33">
        <f t="shared" si="7"/>
        <v>17694.902400000003</v>
      </c>
      <c r="AI27" s="46">
        <f t="shared" si="8"/>
        <v>0.42602855974323206</v>
      </c>
      <c r="AJ27" s="46">
        <f t="shared" si="9"/>
        <v>85205.711948646422</v>
      </c>
      <c r="AK27" s="46">
        <f t="shared" si="10"/>
        <v>515773.07474967564</v>
      </c>
      <c r="AL27" s="46">
        <f t="shared" si="16"/>
        <v>15842.754968978164</v>
      </c>
      <c r="AM27" s="46">
        <f t="shared" si="11"/>
        <v>1320.2295807481803</v>
      </c>
      <c r="AN27" s="48">
        <v>21710</v>
      </c>
      <c r="AP27" s="74">
        <f>საპენსიო!D27</f>
        <v>189.44615384615383</v>
      </c>
      <c r="AQ27" s="74">
        <f>შშმპ!D26</f>
        <v>71</v>
      </c>
      <c r="AR27" s="9">
        <f t="shared" si="12"/>
        <v>130.22307692307692</v>
      </c>
      <c r="AS27" s="9">
        <f t="shared" si="13"/>
        <v>32.555769230769229</v>
      </c>
      <c r="AT27" s="9">
        <f t="shared" si="14"/>
        <v>390.66923076923075</v>
      </c>
      <c r="AU27" s="76">
        <f t="shared" si="17"/>
        <v>166.71392285427373</v>
      </c>
    </row>
    <row r="28" spans="1:48" ht="27.75" hidden="1" customHeight="1">
      <c r="A28" s="16">
        <v>28</v>
      </c>
      <c r="B28" s="16" t="s">
        <v>110</v>
      </c>
      <c r="C28" s="16" t="s">
        <v>111</v>
      </c>
      <c r="D28" s="20" t="s">
        <v>112</v>
      </c>
      <c r="E28" s="78">
        <f t="shared" si="18"/>
        <v>28454.799999999999</v>
      </c>
      <c r="F28" s="78">
        <f t="shared" si="19"/>
        <v>36332.375</v>
      </c>
      <c r="G28" s="78">
        <f t="shared" si="4"/>
        <v>89779</v>
      </c>
      <c r="H28" s="78">
        <f t="shared" si="5"/>
        <v>101791.75</v>
      </c>
      <c r="I28" s="6">
        <v>0</v>
      </c>
      <c r="J28" s="6">
        <v>21555</v>
      </c>
      <c r="K28" s="6">
        <v>35764</v>
      </c>
      <c r="L28" s="6">
        <f>21573</f>
        <v>21573</v>
      </c>
      <c r="M28" s="6">
        <v>28139</v>
      </c>
      <c r="N28" s="6">
        <f>35243</f>
        <v>35243</v>
      </c>
      <c r="O28" s="6">
        <v>25652</v>
      </c>
      <c r="P28" s="6">
        <v>31840</v>
      </c>
      <c r="Q28" s="6">
        <v>43499</v>
      </c>
      <c r="R28" s="6">
        <v>34555</v>
      </c>
      <c r="S28" s="6">
        <v>39389</v>
      </c>
      <c r="T28" s="6">
        <v>38730</v>
      </c>
      <c r="U28" s="6">
        <v>38749</v>
      </c>
      <c r="V28" s="6">
        <v>38245</v>
      </c>
      <c r="W28" s="6">
        <v>74463</v>
      </c>
      <c r="X28" s="6">
        <v>85375</v>
      </c>
      <c r="Y28" s="6">
        <v>97444</v>
      </c>
      <c r="Z28" s="6">
        <v>101834</v>
      </c>
      <c r="AA28" s="6">
        <v>85627</v>
      </c>
      <c r="AB28" s="27">
        <v>103526</v>
      </c>
      <c r="AC28" s="27">
        <v>127741</v>
      </c>
      <c r="AD28" s="27">
        <v>90273</v>
      </c>
      <c r="AE28" s="33">
        <f t="shared" si="6"/>
        <v>1199216</v>
      </c>
      <c r="AF28" s="33"/>
      <c r="AG28" s="40">
        <v>4.4999999999999998E-2</v>
      </c>
      <c r="AH28" s="33">
        <f t="shared" si="7"/>
        <v>53964.72</v>
      </c>
      <c r="AI28" s="46">
        <f t="shared" si="8"/>
        <v>1.2992731702519471</v>
      </c>
      <c r="AJ28" s="46">
        <f t="shared" si="9"/>
        <v>259854.6340503894</v>
      </c>
      <c r="AK28" s="46">
        <f t="shared" si="10"/>
        <v>5774547.4233419867</v>
      </c>
      <c r="AL28" s="46">
        <f t="shared" si="16"/>
        <v>183394.43311081282</v>
      </c>
      <c r="AM28" s="46">
        <f t="shared" si="11"/>
        <v>15282.86942590107</v>
      </c>
      <c r="AN28" s="48">
        <v>46718</v>
      </c>
      <c r="AP28" s="74">
        <f>საპენსიო!D28</f>
        <v>118.71681415929204</v>
      </c>
      <c r="AQ28" s="74">
        <f>შშმპ!D27</f>
        <v>133.17948717948718</v>
      </c>
      <c r="AR28" s="9">
        <f t="shared" si="12"/>
        <v>125.94815066938961</v>
      </c>
      <c r="AS28" s="9">
        <f t="shared" si="13"/>
        <v>31.487037667347401</v>
      </c>
      <c r="AT28" s="9">
        <f t="shared" si="14"/>
        <v>377.84445200816879</v>
      </c>
      <c r="AU28" s="76">
        <f t="shared" si="17"/>
        <v>370.93041661749726</v>
      </c>
    </row>
    <row r="29" spans="1:48" ht="26.25" customHeight="1">
      <c r="A29" s="16">
        <v>29</v>
      </c>
      <c r="B29" s="16" t="s">
        <v>113</v>
      </c>
      <c r="C29" s="16" t="s">
        <v>114</v>
      </c>
      <c r="D29" s="20" t="s">
        <v>79</v>
      </c>
      <c r="E29" s="78">
        <f t="shared" si="18"/>
        <v>754.2</v>
      </c>
      <c r="F29" s="78">
        <f t="shared" si="19"/>
        <v>1018.25</v>
      </c>
      <c r="G29" s="78">
        <f t="shared" si="4"/>
        <v>1003.75</v>
      </c>
      <c r="H29" s="78">
        <f t="shared" si="5"/>
        <v>1529</v>
      </c>
      <c r="I29" s="6">
        <v>547</v>
      </c>
      <c r="J29" s="6">
        <v>464</v>
      </c>
      <c r="K29" s="6">
        <v>356</v>
      </c>
      <c r="L29" s="6">
        <v>1050</v>
      </c>
      <c r="M29" s="6">
        <v>1342</v>
      </c>
      <c r="N29" s="6">
        <f>559</f>
        <v>559</v>
      </c>
      <c r="O29" s="6">
        <v>776</v>
      </c>
      <c r="P29" s="6">
        <v>1012</v>
      </c>
      <c r="Q29" s="6">
        <v>664</v>
      </c>
      <c r="R29" s="6">
        <v>926</v>
      </c>
      <c r="S29" s="6">
        <v>1161</v>
      </c>
      <c r="T29" s="6">
        <v>918</v>
      </c>
      <c r="U29" s="6">
        <v>1668</v>
      </c>
      <c r="V29" s="6">
        <v>1021</v>
      </c>
      <c r="W29" s="6">
        <v>513</v>
      </c>
      <c r="X29" s="6">
        <v>1320</v>
      </c>
      <c r="Y29" s="6">
        <v>1348</v>
      </c>
      <c r="Z29" s="6">
        <v>834</v>
      </c>
      <c r="AA29" s="6">
        <f>1971+1640</f>
        <v>3611</v>
      </c>
      <c r="AB29" s="27">
        <v>1204</v>
      </c>
      <c r="AC29" s="27">
        <v>898</v>
      </c>
      <c r="AD29" s="27">
        <v>403</v>
      </c>
      <c r="AE29" s="33">
        <f t="shared" si="6"/>
        <v>22595</v>
      </c>
      <c r="AF29" s="33"/>
      <c r="AG29" s="50">
        <v>3.2294999999999998</v>
      </c>
      <c r="AH29" s="33">
        <f t="shared" si="7"/>
        <v>72970.552499999991</v>
      </c>
      <c r="AI29" s="46">
        <f t="shared" si="8"/>
        <v>1.7568641342290137</v>
      </c>
      <c r="AJ29" s="46">
        <f t="shared" si="9"/>
        <v>351372.82684580272</v>
      </c>
      <c r="AK29" s="46">
        <f t="shared" si="10"/>
        <v>108800.99917813987</v>
      </c>
      <c r="AL29" s="46">
        <f t="shared" si="16"/>
        <v>36571.764429626848</v>
      </c>
      <c r="AM29" s="46">
        <f t="shared" si="11"/>
        <v>3047.647035802237</v>
      </c>
      <c r="AN29" s="51">
        <v>2687</v>
      </c>
      <c r="AP29" s="74">
        <f>საპენსიო!D25</f>
        <v>14.3</v>
      </c>
      <c r="AQ29" s="74">
        <f>შშმპ!D25</f>
        <v>9.5</v>
      </c>
      <c r="AR29" s="9">
        <f t="shared" si="12"/>
        <v>11.9</v>
      </c>
      <c r="AS29" s="9">
        <f t="shared" si="13"/>
        <v>2.9750000000000001</v>
      </c>
      <c r="AT29" s="9">
        <f t="shared" si="14"/>
        <v>35.700000000000003</v>
      </c>
      <c r="AU29" s="76">
        <f t="shared" si="17"/>
        <v>225.79831932773109</v>
      </c>
    </row>
    <row r="30" spans="1:48" ht="39.75" customHeight="1">
      <c r="A30" s="16">
        <v>30</v>
      </c>
      <c r="B30" s="16" t="s">
        <v>115</v>
      </c>
      <c r="C30" s="16" t="s">
        <v>116</v>
      </c>
      <c r="D30" s="20" t="s">
        <v>117</v>
      </c>
      <c r="E30" s="78">
        <f t="shared" si="18"/>
        <v>105.2</v>
      </c>
      <c r="F30" s="78">
        <f t="shared" si="19"/>
        <v>119.375</v>
      </c>
      <c r="G30" s="78">
        <f t="shared" si="4"/>
        <v>107.5</v>
      </c>
      <c r="H30" s="78">
        <f t="shared" si="5"/>
        <v>1125</v>
      </c>
      <c r="I30" s="6">
        <v>290</v>
      </c>
      <c r="J30" s="6">
        <v>46</v>
      </c>
      <c r="K30" s="6">
        <v>110</v>
      </c>
      <c r="L30" s="6">
        <v>131</v>
      </c>
      <c r="M30" s="6">
        <v>165</v>
      </c>
      <c r="N30" s="6">
        <f>74</f>
        <v>74</v>
      </c>
      <c r="O30" s="6">
        <v>0</v>
      </c>
      <c r="P30" s="6">
        <v>55</v>
      </c>
      <c r="Q30" s="6">
        <v>100</v>
      </c>
      <c r="R30" s="6">
        <v>400</v>
      </c>
      <c r="S30" s="6">
        <v>80</v>
      </c>
      <c r="T30" s="6">
        <v>90</v>
      </c>
      <c r="U30" s="6">
        <v>184</v>
      </c>
      <c r="V30" s="6">
        <v>46</v>
      </c>
      <c r="W30" s="6">
        <v>40</v>
      </c>
      <c r="X30" s="6">
        <v>120</v>
      </c>
      <c r="Y30" s="6">
        <v>203</v>
      </c>
      <c r="Z30" s="6">
        <v>67</v>
      </c>
      <c r="AA30" s="6">
        <v>1125</v>
      </c>
      <c r="AB30" s="32"/>
      <c r="AC30" s="32"/>
      <c r="AD30" s="32"/>
      <c r="AE30" s="54">
        <f t="shared" si="6"/>
        <v>3326</v>
      </c>
      <c r="AF30" s="54"/>
      <c r="AG30" s="32"/>
      <c r="AH30" s="54">
        <f t="shared" si="7"/>
        <v>0</v>
      </c>
      <c r="AI30" s="46">
        <f t="shared" si="8"/>
        <v>0</v>
      </c>
      <c r="AJ30" s="46">
        <f t="shared" si="9"/>
        <v>0</v>
      </c>
      <c r="AL30" s="46">
        <f t="shared" si="16"/>
        <v>0</v>
      </c>
      <c r="AM30" s="46">
        <f t="shared" si="11"/>
        <v>0</v>
      </c>
      <c r="AN30" s="32"/>
      <c r="AP30" s="74">
        <f>საპენსიო!D21</f>
        <v>30</v>
      </c>
      <c r="AQ30" s="74"/>
      <c r="AR30" s="9">
        <f t="shared" si="12"/>
        <v>30</v>
      </c>
      <c r="AS30" s="9">
        <f t="shared" si="13"/>
        <v>7.5</v>
      </c>
      <c r="AT30" s="9">
        <f t="shared" si="14"/>
        <v>90</v>
      </c>
      <c r="AU30" s="76">
        <f t="shared" si="17"/>
        <v>0</v>
      </c>
    </row>
    <row r="31" spans="1:48" ht="60.75" customHeight="1">
      <c r="A31" s="16">
        <v>31</v>
      </c>
      <c r="B31" s="16" t="s">
        <v>118</v>
      </c>
      <c r="C31" s="16" t="s">
        <v>119</v>
      </c>
      <c r="D31" s="20" t="s">
        <v>120</v>
      </c>
      <c r="E31" s="78">
        <f t="shared" si="18"/>
        <v>952.6</v>
      </c>
      <c r="F31" s="78">
        <f t="shared" si="19"/>
        <v>1313.125</v>
      </c>
      <c r="G31" s="78">
        <f t="shared" si="4"/>
        <v>1168.5</v>
      </c>
      <c r="H31" s="78">
        <f t="shared" si="5"/>
        <v>1485.5</v>
      </c>
      <c r="I31" s="6">
        <v>2050</v>
      </c>
      <c r="J31" s="6">
        <f>40+3+752</f>
        <v>795</v>
      </c>
      <c r="K31" s="6">
        <v>579</v>
      </c>
      <c r="L31" s="6">
        <f>52+45+1091+191</f>
        <v>1379</v>
      </c>
      <c r="M31" s="6">
        <v>1075</v>
      </c>
      <c r="N31" s="6">
        <f>12+393+530</f>
        <v>935</v>
      </c>
      <c r="O31" s="6">
        <v>1306</v>
      </c>
      <c r="P31" s="6">
        <v>1200</v>
      </c>
      <c r="Q31" s="6">
        <v>1273</v>
      </c>
      <c r="R31" s="6">
        <v>684</v>
      </c>
      <c r="S31" s="6">
        <v>1911</v>
      </c>
      <c r="T31" s="6">
        <v>1457</v>
      </c>
      <c r="U31" s="6">
        <v>1090</v>
      </c>
      <c r="V31" s="6">
        <v>1584</v>
      </c>
      <c r="W31" s="6">
        <v>2118</v>
      </c>
      <c r="X31" s="6">
        <v>1484</v>
      </c>
      <c r="Y31" s="6">
        <v>916</v>
      </c>
      <c r="Z31" s="6">
        <v>156</v>
      </c>
      <c r="AA31" s="6">
        <v>2685</v>
      </c>
      <c r="AB31" s="27">
        <v>854</v>
      </c>
      <c r="AC31" s="27">
        <v>1062</v>
      </c>
      <c r="AD31" s="27">
        <v>1341</v>
      </c>
      <c r="AE31" s="33">
        <f t="shared" si="6"/>
        <v>27934</v>
      </c>
      <c r="AF31" s="33"/>
      <c r="AG31" s="52">
        <v>30.998999999999999</v>
      </c>
      <c r="AH31" s="33">
        <f t="shared" si="7"/>
        <v>865926.06599999999</v>
      </c>
      <c r="AI31" s="46">
        <f t="shared" si="8"/>
        <v>20.848333966628878</v>
      </c>
      <c r="AJ31" s="46">
        <f t="shared" si="9"/>
        <v>4169666.7933257758</v>
      </c>
      <c r="AK31" s="46">
        <f t="shared" si="10"/>
        <v>134509.71945307191</v>
      </c>
      <c r="AL31" s="46">
        <f t="shared" si="16"/>
        <v>291234.75565687951</v>
      </c>
      <c r="AM31" s="46">
        <f t="shared" si="11"/>
        <v>24269.562971406627</v>
      </c>
      <c r="AN31" s="48">
        <v>5045</v>
      </c>
      <c r="AP31" s="74">
        <f>საპენსიო!D22</f>
        <v>1.9014925373134328</v>
      </c>
      <c r="AQ31" s="74">
        <f>შშმპ!D22</f>
        <v>1.7933884297520661</v>
      </c>
      <c r="AR31" s="9">
        <f t="shared" si="12"/>
        <v>1.8474404835327496</v>
      </c>
      <c r="AS31" s="9">
        <f t="shared" si="13"/>
        <v>0.4618601208831874</v>
      </c>
      <c r="AT31" s="9">
        <f t="shared" si="14"/>
        <v>5.5423214505982488</v>
      </c>
      <c r="AU31" s="76">
        <f t="shared" si="17"/>
        <v>2730.8051571722349</v>
      </c>
    </row>
    <row r="32" spans="1:48" ht="60.75" customHeight="1">
      <c r="A32" s="16">
        <v>32</v>
      </c>
      <c r="B32" s="16" t="s">
        <v>121</v>
      </c>
      <c r="C32" s="16" t="s">
        <v>122</v>
      </c>
      <c r="D32" s="20" t="s">
        <v>68</v>
      </c>
      <c r="E32" s="78"/>
      <c r="F32" s="78"/>
      <c r="G32" s="78"/>
      <c r="H32" s="78">
        <f t="shared" si="5"/>
        <v>642.5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>
        <v>168</v>
      </c>
      <c r="AB32" s="27">
        <v>1752</v>
      </c>
      <c r="AC32" s="27">
        <v>472</v>
      </c>
      <c r="AD32" s="27">
        <v>178</v>
      </c>
      <c r="AE32" s="33">
        <f t="shared" si="6"/>
        <v>2570</v>
      </c>
      <c r="AF32" s="33"/>
      <c r="AG32" s="40">
        <v>25.76</v>
      </c>
      <c r="AH32" s="33">
        <f t="shared" si="7"/>
        <v>66203.199999999997</v>
      </c>
      <c r="AI32" s="46">
        <f t="shared" si="8"/>
        <v>1.5939310265081279</v>
      </c>
      <c r="AJ32" s="46">
        <f t="shared" si="9"/>
        <v>318786.2053016256</v>
      </c>
      <c r="AK32" s="46">
        <f t="shared" si="10"/>
        <v>12375.240889038259</v>
      </c>
      <c r="AN32" s="53">
        <v>4750</v>
      </c>
      <c r="AP32" s="74"/>
      <c r="AQ32" s="74"/>
      <c r="AR32" s="9"/>
      <c r="AS32" s="9">
        <f t="shared" si="13"/>
        <v>0</v>
      </c>
      <c r="AT32" s="9">
        <f t="shared" si="14"/>
        <v>0</v>
      </c>
      <c r="AU32" s="76"/>
    </row>
    <row r="33" spans="1:47" ht="48.75" customHeight="1">
      <c r="A33" s="16">
        <v>33</v>
      </c>
      <c r="B33" s="14" t="s">
        <v>123</v>
      </c>
      <c r="C33" s="14" t="s">
        <v>124</v>
      </c>
      <c r="D33" s="20" t="s">
        <v>47</v>
      </c>
      <c r="E33" s="78">
        <f>AVERAGE(J33:N33)</f>
        <v>401.4</v>
      </c>
      <c r="F33" s="78">
        <f>AVERAGE(O33:V33)</f>
        <v>514.5</v>
      </c>
      <c r="G33" s="78">
        <f t="shared" si="4"/>
        <v>882.75</v>
      </c>
      <c r="H33" s="78">
        <f t="shared" si="5"/>
        <v>838.25</v>
      </c>
      <c r="I33" s="6">
        <v>647</v>
      </c>
      <c r="J33" s="6">
        <f>118+269</f>
        <v>387</v>
      </c>
      <c r="K33" s="6">
        <f>20+54+196</f>
        <v>270</v>
      </c>
      <c r="L33" s="6">
        <f>254+23+229</f>
        <v>506</v>
      </c>
      <c r="M33" s="6">
        <f>90+362</f>
        <v>452</v>
      </c>
      <c r="N33" s="6">
        <f>215+143+8+26</f>
        <v>392</v>
      </c>
      <c r="O33" s="6">
        <v>422</v>
      </c>
      <c r="P33" s="6">
        <v>557</v>
      </c>
      <c r="Q33" s="6">
        <v>504</v>
      </c>
      <c r="R33" s="6">
        <v>431</v>
      </c>
      <c r="S33" s="6">
        <v>653</v>
      </c>
      <c r="T33" s="6">
        <v>459</v>
      </c>
      <c r="U33" s="6">
        <v>534</v>
      </c>
      <c r="V33" s="6">
        <v>556</v>
      </c>
      <c r="W33" s="6">
        <v>849</v>
      </c>
      <c r="X33" s="6">
        <v>896</v>
      </c>
      <c r="Y33" s="6">
        <v>844</v>
      </c>
      <c r="Z33" s="6">
        <v>942</v>
      </c>
      <c r="AA33" s="6">
        <v>956</v>
      </c>
      <c r="AB33" s="27">
        <v>888</v>
      </c>
      <c r="AC33" s="27">
        <v>844</v>
      </c>
      <c r="AD33" s="27">
        <v>665</v>
      </c>
      <c r="AE33" s="33">
        <f t="shared" si="6"/>
        <v>13654</v>
      </c>
      <c r="AF33" s="33"/>
      <c r="AG33" s="43">
        <v>4.8</v>
      </c>
      <c r="AH33" s="33">
        <f t="shared" si="7"/>
        <v>65539.199999999997</v>
      </c>
      <c r="AI33" s="46">
        <f t="shared" si="8"/>
        <v>1.5779443339977752</v>
      </c>
      <c r="AJ33" s="46">
        <f t="shared" si="9"/>
        <v>315588.86679955502</v>
      </c>
      <c r="AK33" s="46">
        <f>AJ33/AG33</f>
        <v>65747.680583240639</v>
      </c>
      <c r="AL33" s="46">
        <f t="shared" ref="AL33:AL41" si="20">AK33/AS33</f>
        <v>131494.49337641359</v>
      </c>
      <c r="AM33" s="46">
        <f t="shared" si="11"/>
        <v>10957.874448034465</v>
      </c>
      <c r="AN33" s="48">
        <v>2015</v>
      </c>
      <c r="AP33" s="74">
        <f>საპენსიო!D23</f>
        <v>1.9255583126550868</v>
      </c>
      <c r="AQ33" s="74">
        <f>შშმპ!D23</f>
        <v>2.0744680851063828</v>
      </c>
      <c r="AR33" s="9">
        <f t="shared" si="12"/>
        <v>2.000013198880735</v>
      </c>
      <c r="AS33" s="9">
        <f t="shared" si="13"/>
        <v>0.50000329972018376</v>
      </c>
      <c r="AT33" s="9">
        <f t="shared" si="14"/>
        <v>6.0000395966422051</v>
      </c>
      <c r="AU33" s="76">
        <f t="shared" ref="AU33:AU41" si="21">AN33/AR33</f>
        <v>1007.4933511077087</v>
      </c>
    </row>
    <row r="34" spans="1:47" ht="85.5" customHeight="1">
      <c r="A34" s="16">
        <v>34</v>
      </c>
      <c r="B34" s="16" t="s">
        <v>125</v>
      </c>
      <c r="C34" s="16" t="s">
        <v>126</v>
      </c>
      <c r="D34" s="20" t="s">
        <v>106</v>
      </c>
      <c r="E34" s="78">
        <f>AVERAGE(J34:N34)</f>
        <v>53.2</v>
      </c>
      <c r="F34" s="78">
        <f>AVERAGE(O34:V34)</f>
        <v>113.75</v>
      </c>
      <c r="G34" s="78">
        <f t="shared" si="4"/>
        <v>252.5</v>
      </c>
      <c r="H34" s="78">
        <f t="shared" si="5"/>
        <v>310.5</v>
      </c>
      <c r="I34" s="6">
        <v>0</v>
      </c>
      <c r="J34" s="6">
        <v>10</v>
      </c>
      <c r="K34" s="6">
        <v>41</v>
      </c>
      <c r="L34" s="6">
        <v>62</v>
      </c>
      <c r="M34" s="6">
        <v>65</v>
      </c>
      <c r="N34" s="6">
        <v>88</v>
      </c>
      <c r="O34" s="6">
        <v>84</v>
      </c>
      <c r="P34" s="6">
        <v>83</v>
      </c>
      <c r="Q34" s="6">
        <v>104</v>
      </c>
      <c r="R34" s="6">
        <v>114</v>
      </c>
      <c r="S34" s="6">
        <v>141</v>
      </c>
      <c r="T34" s="6">
        <v>142</v>
      </c>
      <c r="U34" s="6">
        <v>104</v>
      </c>
      <c r="V34" s="6">
        <v>138</v>
      </c>
      <c r="W34" s="6">
        <v>190</v>
      </c>
      <c r="X34" s="6">
        <v>242</v>
      </c>
      <c r="Y34" s="6">
        <v>258</v>
      </c>
      <c r="Z34" s="6">
        <v>320</v>
      </c>
      <c r="AA34" s="6">
        <v>340</v>
      </c>
      <c r="AB34" s="27">
        <v>282</v>
      </c>
      <c r="AC34" s="27">
        <v>338</v>
      </c>
      <c r="AD34" s="27">
        <v>282</v>
      </c>
      <c r="AE34" s="33">
        <f t="shared" si="6"/>
        <v>3428</v>
      </c>
      <c r="AF34" s="33"/>
      <c r="AG34" s="40">
        <v>79.558000000000007</v>
      </c>
      <c r="AH34" s="33">
        <f t="shared" si="7"/>
        <v>272724.82400000002</v>
      </c>
      <c r="AI34" s="46">
        <f t="shared" si="8"/>
        <v>6.5662167187170493</v>
      </c>
      <c r="AJ34" s="46">
        <f t="shared" si="9"/>
        <v>1313243.3437434097</v>
      </c>
      <c r="AK34" s="46">
        <f t="shared" si="10"/>
        <v>16506.741543822238</v>
      </c>
      <c r="AL34" s="46">
        <f t="shared" si="20"/>
        <v>31818.9425198024</v>
      </c>
      <c r="AM34" s="46">
        <f t="shared" si="11"/>
        <v>2651.5785433168667</v>
      </c>
      <c r="AN34" s="48">
        <v>2530</v>
      </c>
      <c r="AP34" s="74">
        <f>საპენსიო!D26</f>
        <v>2.034782608695652</v>
      </c>
      <c r="AQ34" s="74">
        <f>შშმპ!D24</f>
        <v>2.1153846153846154</v>
      </c>
      <c r="AR34" s="9">
        <f t="shared" si="12"/>
        <v>2.0750836120401335</v>
      </c>
      <c r="AS34" s="9">
        <f t="shared" si="13"/>
        <v>0.51877090301003337</v>
      </c>
      <c r="AT34" s="9">
        <f t="shared" si="14"/>
        <v>6.2252508361204004</v>
      </c>
      <c r="AU34" s="76">
        <f t="shared" si="21"/>
        <v>1219.2279796921591</v>
      </c>
    </row>
    <row r="35" spans="1:47" ht="45" customHeight="1">
      <c r="A35" s="16">
        <v>35</v>
      </c>
      <c r="B35" s="16" t="s">
        <v>127</v>
      </c>
      <c r="C35" s="16" t="s">
        <v>128</v>
      </c>
      <c r="D35" s="20" t="s">
        <v>129</v>
      </c>
      <c r="E35" s="78">
        <f>AVERAGE(J35:N35)</f>
        <v>458.2</v>
      </c>
      <c r="F35" s="78">
        <f>AVERAGE(O35:V35)</f>
        <v>496.5</v>
      </c>
      <c r="G35" s="78">
        <f t="shared" si="4"/>
        <v>733</v>
      </c>
      <c r="H35" s="78">
        <f t="shared" si="5"/>
        <v>713</v>
      </c>
      <c r="I35" s="6">
        <v>401</v>
      </c>
      <c r="J35" s="6">
        <f>101+62</f>
        <v>163</v>
      </c>
      <c r="K35" s="6">
        <f>18+30+176</f>
        <v>224</v>
      </c>
      <c r="L35" s="6">
        <f>25+8+1017</f>
        <v>1050</v>
      </c>
      <c r="M35" s="6">
        <v>539</v>
      </c>
      <c r="N35" s="6">
        <v>315</v>
      </c>
      <c r="O35" s="6">
        <v>419</v>
      </c>
      <c r="P35" s="6">
        <v>564</v>
      </c>
      <c r="Q35" s="6">
        <v>377</v>
      </c>
      <c r="R35" s="6">
        <v>511</v>
      </c>
      <c r="S35" s="6">
        <v>477</v>
      </c>
      <c r="T35" s="6">
        <v>435</v>
      </c>
      <c r="U35" s="6">
        <v>530</v>
      </c>
      <c r="V35" s="6">
        <v>659</v>
      </c>
      <c r="W35" s="6">
        <v>515</v>
      </c>
      <c r="X35" s="6">
        <v>837</v>
      </c>
      <c r="Y35" s="6">
        <v>827</v>
      </c>
      <c r="Z35" s="6">
        <v>753</v>
      </c>
      <c r="AA35" s="6">
        <v>1084</v>
      </c>
      <c r="AB35" s="27">
        <v>482</v>
      </c>
      <c r="AC35" s="27">
        <v>611</v>
      </c>
      <c r="AD35" s="27">
        <v>675</v>
      </c>
      <c r="AE35" s="33">
        <f t="shared" si="6"/>
        <v>12448</v>
      </c>
      <c r="AF35" s="33"/>
      <c r="AG35" s="41">
        <v>0.36980000000000002</v>
      </c>
      <c r="AH35" s="33">
        <f t="shared" si="7"/>
        <v>4603.2704000000003</v>
      </c>
      <c r="AI35" s="46">
        <f t="shared" si="8"/>
        <v>0.11082992232953214</v>
      </c>
      <c r="AJ35" s="46">
        <f t="shared" si="9"/>
        <v>22165.984465906429</v>
      </c>
      <c r="AK35" s="46">
        <f t="shared" si="10"/>
        <v>59940.466376166652</v>
      </c>
      <c r="AL35" s="46">
        <f t="shared" si="20"/>
        <v>16836.977818572112</v>
      </c>
      <c r="AM35" s="46">
        <f t="shared" si="11"/>
        <v>1403.0814848810094</v>
      </c>
      <c r="AN35" s="48">
        <v>8533</v>
      </c>
      <c r="AP35" s="74">
        <f>საპენსიო!D24</f>
        <v>14.980392156862745</v>
      </c>
      <c r="AQ35" s="74">
        <f>შშმპ!D21</f>
        <v>13.5</v>
      </c>
      <c r="AR35" s="9">
        <f t="shared" si="12"/>
        <v>14.240196078431373</v>
      </c>
      <c r="AS35" s="9">
        <f t="shared" si="13"/>
        <v>3.5600490196078431</v>
      </c>
      <c r="AT35" s="9">
        <f t="shared" si="14"/>
        <v>42.720588235294116</v>
      </c>
      <c r="AU35" s="76">
        <f t="shared" si="21"/>
        <v>599.21927710843374</v>
      </c>
    </row>
    <row r="36" spans="1:47" ht="24.75" hidden="1">
      <c r="A36" s="16">
        <v>36</v>
      </c>
      <c r="B36" s="24" t="s">
        <v>130</v>
      </c>
      <c r="C36" s="7" t="s">
        <v>131</v>
      </c>
      <c r="D36" s="8" t="s">
        <v>89</v>
      </c>
      <c r="E36" s="78"/>
      <c r="F36" s="78"/>
      <c r="G36" s="78">
        <f t="shared" si="4"/>
        <v>12111</v>
      </c>
      <c r="H36" s="78">
        <f t="shared" si="5"/>
        <v>40549.5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6">
        <v>12111</v>
      </c>
      <c r="AA36" s="6">
        <v>37545</v>
      </c>
      <c r="AB36" s="27">
        <v>37213</v>
      </c>
      <c r="AC36" s="27">
        <v>44342</v>
      </c>
      <c r="AD36" s="27">
        <v>43098</v>
      </c>
      <c r="AE36" s="33">
        <f t="shared" si="6"/>
        <v>174309</v>
      </c>
      <c r="AF36" s="33"/>
      <c r="AG36" s="43">
        <v>0.57999999999999996</v>
      </c>
      <c r="AH36" s="33">
        <f t="shared" si="7"/>
        <v>101099.21999999999</v>
      </c>
      <c r="AI36" s="46">
        <f t="shared" si="8"/>
        <v>2.4340996132176547</v>
      </c>
      <c r="AJ36" s="46">
        <f t="shared" si="9"/>
        <v>486819.92264353094</v>
      </c>
      <c r="AK36" s="46">
        <f t="shared" si="10"/>
        <v>839344.69421298441</v>
      </c>
      <c r="AL36" s="46">
        <f t="shared" si="20"/>
        <v>28187.520302096942</v>
      </c>
      <c r="AM36" s="46">
        <f t="shared" si="11"/>
        <v>2348.9600251747447</v>
      </c>
      <c r="AN36" s="48">
        <v>310319</v>
      </c>
      <c r="AP36" s="74">
        <f>საპენსიო!D34</f>
        <v>128.21739130434781</v>
      </c>
      <c r="AQ36" s="74">
        <f>შშმპ!D35</f>
        <v>110</v>
      </c>
      <c r="AR36" s="9">
        <f t="shared" si="12"/>
        <v>119.10869565217391</v>
      </c>
      <c r="AS36" s="9">
        <f t="shared" si="13"/>
        <v>29.777173913043477</v>
      </c>
      <c r="AT36" s="9">
        <f t="shared" si="14"/>
        <v>357.32608695652175</v>
      </c>
      <c r="AU36" s="76">
        <f t="shared" si="21"/>
        <v>2605.3429457930279</v>
      </c>
    </row>
    <row r="37" spans="1:47" ht="36.75" hidden="1">
      <c r="A37" s="16">
        <v>37</v>
      </c>
      <c r="B37" s="24" t="s">
        <v>132</v>
      </c>
      <c r="C37" s="7" t="s">
        <v>133</v>
      </c>
      <c r="D37" s="8" t="s">
        <v>106</v>
      </c>
      <c r="E37" s="78"/>
      <c r="F37" s="78"/>
      <c r="G37" s="78">
        <f t="shared" si="4"/>
        <v>2522</v>
      </c>
      <c r="H37" s="78">
        <f t="shared" si="5"/>
        <v>13491.75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6">
        <v>2522</v>
      </c>
      <c r="AA37" s="6">
        <v>11386</v>
      </c>
      <c r="AB37" s="27">
        <v>12128</v>
      </c>
      <c r="AC37" s="27">
        <v>16396</v>
      </c>
      <c r="AD37" s="27">
        <v>14057</v>
      </c>
      <c r="AE37" s="33">
        <f t="shared" si="6"/>
        <v>56489</v>
      </c>
      <c r="AF37" s="33"/>
      <c r="AG37" s="43">
        <v>0.39</v>
      </c>
      <c r="AH37" s="33">
        <f t="shared" si="7"/>
        <v>22030.71</v>
      </c>
      <c r="AI37" s="46">
        <f t="shared" si="8"/>
        <v>0.53041895565475505</v>
      </c>
      <c r="AJ37" s="46">
        <f t="shared" si="9"/>
        <v>106083.79113095101</v>
      </c>
      <c r="AK37" s="46">
        <f t="shared" si="10"/>
        <v>272009.72084859235</v>
      </c>
      <c r="AL37" s="46">
        <f t="shared" si="20"/>
        <v>8053.5816683521052</v>
      </c>
      <c r="AM37" s="46">
        <f t="shared" si="11"/>
        <v>671.13180569600888</v>
      </c>
      <c r="AN37" s="48">
        <v>194503</v>
      </c>
      <c r="AP37" s="74">
        <f>საპენსიო!D33</f>
        <v>170.2</v>
      </c>
      <c r="AQ37" s="74">
        <f>შშმპ!D34</f>
        <v>100</v>
      </c>
      <c r="AR37" s="9">
        <f t="shared" si="12"/>
        <v>135.1</v>
      </c>
      <c r="AS37" s="9">
        <f t="shared" si="13"/>
        <v>33.774999999999999</v>
      </c>
      <c r="AT37" s="9">
        <f t="shared" si="14"/>
        <v>405.29999999999995</v>
      </c>
      <c r="AU37" s="76">
        <f t="shared" si="21"/>
        <v>1439.696521095485</v>
      </c>
    </row>
    <row r="38" spans="1:47" ht="24.75" hidden="1">
      <c r="A38" s="16">
        <v>38</v>
      </c>
      <c r="B38" s="25" t="s">
        <v>134</v>
      </c>
      <c r="C38" s="7" t="s">
        <v>135</v>
      </c>
      <c r="D38" s="8" t="s">
        <v>136</v>
      </c>
      <c r="E38" s="78"/>
      <c r="F38" s="78"/>
      <c r="G38" s="78">
        <f t="shared" si="4"/>
        <v>2254</v>
      </c>
      <c r="H38" s="78">
        <f t="shared" si="5"/>
        <v>13798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6">
        <v>2254</v>
      </c>
      <c r="AA38" s="6">
        <v>9669</v>
      </c>
      <c r="AB38" s="27">
        <v>16679</v>
      </c>
      <c r="AC38" s="27">
        <v>15229</v>
      </c>
      <c r="AD38" s="27">
        <v>13615</v>
      </c>
      <c r="AE38" s="33">
        <f t="shared" si="6"/>
        <v>57446</v>
      </c>
      <c r="AF38" s="33"/>
      <c r="AG38" s="44">
        <v>0.70299999999999996</v>
      </c>
      <c r="AH38" s="33">
        <f t="shared" si="7"/>
        <v>40384.538</v>
      </c>
      <c r="AI38" s="46">
        <f t="shared" si="8"/>
        <v>0.97231203490762541</v>
      </c>
      <c r="AJ38" s="46">
        <f t="shared" si="9"/>
        <v>194462.4069815251</v>
      </c>
      <c r="AK38" s="46">
        <f t="shared" si="10"/>
        <v>276617.93311738991</v>
      </c>
      <c r="AL38" s="46">
        <f t="shared" si="20"/>
        <v>9069.4404300783572</v>
      </c>
      <c r="AM38" s="46">
        <f t="shared" si="11"/>
        <v>755.78670250652976</v>
      </c>
      <c r="AN38" s="48">
        <v>1841431</v>
      </c>
      <c r="AP38" s="74">
        <f>საპენსიო!D32</f>
        <v>30</v>
      </c>
      <c r="AQ38" s="74">
        <f>შშმპ!D33</f>
        <v>214</v>
      </c>
      <c r="AR38" s="9">
        <f t="shared" si="12"/>
        <v>122</v>
      </c>
      <c r="AS38" s="9">
        <f t="shared" si="13"/>
        <v>30.5</v>
      </c>
      <c r="AT38" s="9">
        <f t="shared" si="14"/>
        <v>366</v>
      </c>
      <c r="AU38" s="76">
        <f t="shared" si="21"/>
        <v>15093.696721311475</v>
      </c>
    </row>
    <row r="39" spans="1:47" hidden="1">
      <c r="A39" s="16">
        <v>39</v>
      </c>
      <c r="B39" s="25" t="s">
        <v>137</v>
      </c>
      <c r="C39" s="7" t="s">
        <v>138</v>
      </c>
      <c r="D39" s="8" t="s">
        <v>139</v>
      </c>
      <c r="E39" s="78"/>
      <c r="F39" s="78"/>
      <c r="G39" s="78">
        <f t="shared" si="4"/>
        <v>3581</v>
      </c>
      <c r="H39" s="78">
        <f t="shared" si="5"/>
        <v>34071.75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6">
        <v>3581</v>
      </c>
      <c r="AA39" s="6">
        <v>29394</v>
      </c>
      <c r="AB39" s="27">
        <v>42380</v>
      </c>
      <c r="AC39" s="27">
        <v>29080</v>
      </c>
      <c r="AD39" s="27">
        <v>35433</v>
      </c>
      <c r="AE39" s="33">
        <f t="shared" si="6"/>
        <v>139868</v>
      </c>
      <c r="AF39" s="33"/>
      <c r="AG39" s="41">
        <v>6.9599999999999995E-2</v>
      </c>
      <c r="AH39" s="33">
        <f t="shared" si="7"/>
        <v>9734.8127999999997</v>
      </c>
      <c r="AI39" s="46">
        <f t="shared" si="8"/>
        <v>0.23437870313169851</v>
      </c>
      <c r="AJ39" s="46">
        <f t="shared" si="9"/>
        <v>46875.740626339699</v>
      </c>
      <c r="AK39" s="46">
        <f t="shared" si="10"/>
        <v>673502.02049338655</v>
      </c>
      <c r="AL39" s="46">
        <f t="shared" si="20"/>
        <v>8379.4963669472672</v>
      </c>
      <c r="AM39" s="46">
        <f t="shared" si="11"/>
        <v>698.29136391227223</v>
      </c>
      <c r="AN39" s="48">
        <v>948766</v>
      </c>
      <c r="AP39" s="74">
        <f>საპენსიო!D36</f>
        <v>275</v>
      </c>
      <c r="AQ39" s="74">
        <f>შშმპ!D37</f>
        <v>368</v>
      </c>
      <c r="AR39" s="9">
        <f t="shared" si="12"/>
        <v>321.5</v>
      </c>
      <c r="AS39" s="9">
        <f t="shared" si="13"/>
        <v>80.375</v>
      </c>
      <c r="AT39" s="9">
        <f t="shared" si="14"/>
        <v>964.5</v>
      </c>
      <c r="AU39" s="76">
        <f t="shared" si="21"/>
        <v>2951.0606531881804</v>
      </c>
    </row>
    <row r="40" spans="1:47" ht="24.75" hidden="1">
      <c r="A40" s="16">
        <v>40</v>
      </c>
      <c r="B40" s="24" t="s">
        <v>140</v>
      </c>
      <c r="C40" s="7" t="s">
        <v>141</v>
      </c>
      <c r="D40" s="8" t="s">
        <v>142</v>
      </c>
      <c r="E40" s="78"/>
      <c r="F40" s="78"/>
      <c r="G40" s="78">
        <f t="shared" si="4"/>
        <v>92</v>
      </c>
      <c r="H40" s="78">
        <f t="shared" si="5"/>
        <v>5311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6">
        <v>92</v>
      </c>
      <c r="AA40" s="6">
        <v>5662</v>
      </c>
      <c r="AB40" s="27">
        <v>3330</v>
      </c>
      <c r="AC40" s="27">
        <v>4580</v>
      </c>
      <c r="AD40" s="27">
        <v>7672</v>
      </c>
      <c r="AE40" s="33">
        <f t="shared" si="6"/>
        <v>21336</v>
      </c>
      <c r="AF40" s="33"/>
      <c r="AG40" s="41">
        <f>0.0653*3.0274</f>
        <v>0.19768922</v>
      </c>
      <c r="AH40" s="33">
        <f t="shared" si="7"/>
        <v>4217.8971979199996</v>
      </c>
      <c r="AI40" s="46">
        <f t="shared" si="8"/>
        <v>0.10155154449311185</v>
      </c>
      <c r="AJ40" s="46">
        <f t="shared" si="9"/>
        <v>20310.30889862237</v>
      </c>
      <c r="AK40" s="46">
        <f t="shared" si="10"/>
        <v>102738.57572315967</v>
      </c>
      <c r="AL40" s="46">
        <f t="shared" si="20"/>
        <v>4466.8945966591155</v>
      </c>
      <c r="AM40" s="46">
        <f t="shared" si="11"/>
        <v>372.24121638825966</v>
      </c>
      <c r="AN40" s="48">
        <v>235752</v>
      </c>
      <c r="AP40" s="74"/>
      <c r="AQ40" s="74">
        <f>შშმპ!D29</f>
        <v>92</v>
      </c>
      <c r="AR40" s="9">
        <f t="shared" si="12"/>
        <v>92</v>
      </c>
      <c r="AS40" s="9">
        <f t="shared" si="13"/>
        <v>23</v>
      </c>
      <c r="AT40" s="9">
        <f t="shared" si="14"/>
        <v>276</v>
      </c>
      <c r="AU40" s="76">
        <f t="shared" si="21"/>
        <v>2562.521739130435</v>
      </c>
    </row>
    <row r="41" spans="1:47" ht="24.75" hidden="1">
      <c r="A41" s="16">
        <v>41</v>
      </c>
      <c r="B41" s="24" t="s">
        <v>143</v>
      </c>
      <c r="C41" s="7" t="s">
        <v>144</v>
      </c>
      <c r="D41" s="8" t="s">
        <v>106</v>
      </c>
      <c r="E41" s="78"/>
      <c r="F41" s="78"/>
      <c r="G41" s="78">
        <f t="shared" si="4"/>
        <v>276</v>
      </c>
      <c r="H41" s="78">
        <f t="shared" si="5"/>
        <v>13475.5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6">
        <v>276</v>
      </c>
      <c r="AA41" s="6">
        <v>11673</v>
      </c>
      <c r="AB41" s="27">
        <v>12009</v>
      </c>
      <c r="AC41" s="27">
        <v>11266</v>
      </c>
      <c r="AD41" s="27">
        <v>18954</v>
      </c>
      <c r="AE41" s="33">
        <f t="shared" si="6"/>
        <v>54178</v>
      </c>
      <c r="AF41" s="33"/>
      <c r="AG41" s="41">
        <f>0.0911*3.0274</f>
        <v>0.27579614000000002</v>
      </c>
      <c r="AH41" s="33">
        <f t="shared" si="7"/>
        <v>14942.083272920001</v>
      </c>
      <c r="AI41" s="46">
        <f t="shared" si="8"/>
        <v>0.35975073907870475</v>
      </c>
      <c r="AJ41" s="46">
        <f t="shared" si="9"/>
        <v>71950.147815740944</v>
      </c>
      <c r="AK41" s="46">
        <f t="shared" si="10"/>
        <v>260881.63458611473</v>
      </c>
      <c r="AL41" s="46">
        <f t="shared" si="20"/>
        <v>11594.739314938432</v>
      </c>
      <c r="AM41" s="46">
        <f t="shared" si="11"/>
        <v>966.22827624486933</v>
      </c>
      <c r="AN41" s="48">
        <v>1175322</v>
      </c>
      <c r="AP41" s="74"/>
      <c r="AQ41" s="74">
        <f>შშმპ!D30</f>
        <v>90</v>
      </c>
      <c r="AR41" s="9">
        <f t="shared" si="12"/>
        <v>90</v>
      </c>
      <c r="AS41" s="9">
        <f t="shared" si="13"/>
        <v>22.5</v>
      </c>
      <c r="AT41" s="9">
        <f t="shared" si="14"/>
        <v>270</v>
      </c>
      <c r="AU41" s="76">
        <f t="shared" si="21"/>
        <v>13059.133333333333</v>
      </c>
    </row>
    <row r="42" spans="1:47" hidden="1">
      <c r="A42" s="16">
        <v>42</v>
      </c>
      <c r="B42" s="25" t="s">
        <v>145</v>
      </c>
      <c r="C42" s="7" t="s">
        <v>146</v>
      </c>
      <c r="D42" s="8" t="s">
        <v>147</v>
      </c>
      <c r="E42" s="78"/>
      <c r="F42" s="78"/>
      <c r="G42" s="78"/>
      <c r="H42" s="78">
        <f t="shared" si="5"/>
        <v>2032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6"/>
      <c r="AA42" s="6">
        <v>1803</v>
      </c>
      <c r="AB42" s="27">
        <v>1784</v>
      </c>
      <c r="AC42" s="27">
        <v>1724</v>
      </c>
      <c r="AD42" s="27">
        <v>2817</v>
      </c>
      <c r="AE42" s="33">
        <f t="shared" si="6"/>
        <v>8128</v>
      </c>
      <c r="AF42" s="33"/>
      <c r="AG42" s="41">
        <v>1.0943000000000001</v>
      </c>
      <c r="AH42" s="33">
        <f t="shared" si="7"/>
        <v>8894.4704000000002</v>
      </c>
      <c r="AI42" s="46">
        <f t="shared" si="8"/>
        <v>0.21414633031210215</v>
      </c>
      <c r="AJ42" s="46">
        <f t="shared" si="9"/>
        <v>42829.266062420429</v>
      </c>
      <c r="AK42" s="46">
        <f t="shared" si="10"/>
        <v>39138.505037394156</v>
      </c>
      <c r="AN42" s="48">
        <v>449555</v>
      </c>
      <c r="AP42" s="74"/>
      <c r="AQ42" s="74"/>
      <c r="AR42" s="9"/>
      <c r="AS42" s="9">
        <f t="shared" si="13"/>
        <v>0</v>
      </c>
      <c r="AT42" s="9">
        <f t="shared" si="14"/>
        <v>0</v>
      </c>
      <c r="AU42" s="76"/>
    </row>
    <row r="43" spans="1:47" hidden="1">
      <c r="A43" s="16">
        <v>43</v>
      </c>
      <c r="B43" s="25" t="s">
        <v>148</v>
      </c>
      <c r="C43" s="7" t="s">
        <v>149</v>
      </c>
      <c r="D43" s="8" t="s">
        <v>150</v>
      </c>
      <c r="E43" s="78"/>
      <c r="F43" s="78"/>
      <c r="G43" s="78">
        <f t="shared" si="4"/>
        <v>990</v>
      </c>
      <c r="H43" s="78">
        <f t="shared" si="5"/>
        <v>6296.5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6">
        <v>990</v>
      </c>
      <c r="AA43" s="6">
        <v>2878</v>
      </c>
      <c r="AB43" s="27">
        <v>5373</v>
      </c>
      <c r="AC43" s="27">
        <v>6512</v>
      </c>
      <c r="AD43" s="27">
        <v>10423</v>
      </c>
      <c r="AE43" s="33">
        <f t="shared" si="6"/>
        <v>26176</v>
      </c>
      <c r="AF43" s="33"/>
      <c r="AG43" s="43">
        <v>0.37</v>
      </c>
      <c r="AH43" s="33">
        <f t="shared" si="7"/>
        <v>9685.119999999999</v>
      </c>
      <c r="AI43" s="46">
        <f t="shared" si="8"/>
        <v>0.23318228217751405</v>
      </c>
      <c r="AJ43" s="46">
        <f t="shared" si="9"/>
        <v>46636.456435502812</v>
      </c>
      <c r="AK43" s="46">
        <f>AJ43/AG43</f>
        <v>126044.4768527103</v>
      </c>
      <c r="AL43" s="46">
        <f>AK43/AS43</f>
        <v>3734.6511660062311</v>
      </c>
      <c r="AM43" s="46">
        <f t="shared" si="11"/>
        <v>311.22093050051927</v>
      </c>
      <c r="AN43" s="48">
        <v>165836</v>
      </c>
      <c r="AP43" s="74"/>
      <c r="AQ43" s="74">
        <f>შშმპ!D32</f>
        <v>135</v>
      </c>
      <c r="AR43" s="9">
        <f t="shared" si="12"/>
        <v>135</v>
      </c>
      <c r="AS43" s="9">
        <f t="shared" si="13"/>
        <v>33.75</v>
      </c>
      <c r="AT43" s="9">
        <f t="shared" si="14"/>
        <v>405</v>
      </c>
      <c r="AU43" s="76">
        <f>AN43/AR43</f>
        <v>1228.4148148148149</v>
      </c>
    </row>
    <row r="44" spans="1:47" hidden="1">
      <c r="E44" s="78"/>
      <c r="F44" s="80"/>
      <c r="G44" s="80"/>
      <c r="H44" s="80"/>
      <c r="AB44" s="30"/>
      <c r="AC44" s="30"/>
      <c r="AD44" s="30"/>
      <c r="AE44" s="76">
        <f>SUM(AE2:AE43)</f>
        <v>28656834</v>
      </c>
      <c r="AH44" s="33">
        <f>SUM(AH2:AH43)</f>
        <v>4153454.5033001406</v>
      </c>
      <c r="AJ44" s="46">
        <v>20000000</v>
      </c>
      <c r="AM44" s="46">
        <f>SUM(AM2:AM43)</f>
        <v>529846.14803571731</v>
      </c>
    </row>
    <row r="45" spans="1:47" hidden="1"/>
    <row r="46" spans="1:47" hidden="1"/>
    <row r="47" spans="1:47" hidden="1"/>
    <row r="48" spans="1:47" hidden="1"/>
    <row r="49" hidden="1"/>
    <row r="50" hidden="1"/>
    <row r="51" hidden="1"/>
  </sheetData>
  <mergeCells count="1">
    <mergeCell ref="A2:A3"/>
  </mergeCells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46"/>
  <sheetViews>
    <sheetView workbookViewId="0">
      <selection activeCell="G1" sqref="G1:H1"/>
    </sheetView>
  </sheetViews>
  <sheetFormatPr defaultRowHeight="15"/>
  <cols>
    <col min="1" max="1" width="4" style="2" customWidth="1"/>
    <col min="2" max="2" width="24.42578125" style="2" customWidth="1"/>
    <col min="3" max="3" width="19.85546875" style="2" hidden="1" customWidth="1"/>
    <col min="4" max="4" width="9.28515625" style="2" hidden="1" customWidth="1"/>
    <col min="5" max="6" width="11.85546875" style="79" hidden="1" customWidth="1"/>
    <col min="7" max="8" width="11.85546875" style="79" customWidth="1"/>
    <col min="9" max="9" width="8.28515625" style="2" hidden="1" customWidth="1"/>
    <col min="10" max="10" width="0" style="2" hidden="1" customWidth="1"/>
    <col min="11" max="13" width="7.5703125" style="2" hidden="1" customWidth="1"/>
    <col min="14" max="14" width="10.28515625" style="2" hidden="1" customWidth="1"/>
    <col min="15" max="15" width="10.5703125" style="2" hidden="1" customWidth="1"/>
    <col min="16" max="16" width="11.140625" style="2" hidden="1" customWidth="1"/>
    <col min="17" max="17" width="10.42578125" style="2" hidden="1" customWidth="1"/>
    <col min="18" max="25" width="11" style="2" hidden="1" customWidth="1"/>
    <col min="26" max="27" width="11" style="3" hidden="1" customWidth="1"/>
    <col min="28" max="28" width="8.28515625" style="31" hidden="1" customWidth="1"/>
    <col min="29" max="29" width="9.85546875" style="31" hidden="1" customWidth="1"/>
    <col min="30" max="30" width="9.28515625" style="31" hidden="1" customWidth="1"/>
    <col min="31" max="32" width="15.28515625" style="2" hidden="1" customWidth="1"/>
    <col min="33" max="33" width="12.5703125" style="45" hidden="1" customWidth="1"/>
    <col min="34" max="34" width="20.7109375" style="33" hidden="1" customWidth="1"/>
    <col min="35" max="39" width="20.7109375" style="46" hidden="1" customWidth="1"/>
    <col min="40" max="40" width="12.42578125" style="49" hidden="1" customWidth="1"/>
    <col min="41" max="41" width="38.5703125" style="2" hidden="1" customWidth="1"/>
    <col min="42" max="42" width="0" style="73" hidden="1" customWidth="1"/>
    <col min="43" max="46" width="0" style="2" hidden="1" customWidth="1"/>
    <col min="47" max="47" width="13.140625" style="2" hidden="1" customWidth="1"/>
    <col min="48" max="48" width="16.7109375" style="2" hidden="1" customWidth="1"/>
    <col min="49" max="66" width="0" style="2" hidden="1" customWidth="1"/>
    <col min="67" max="260" width="9.140625" style="2"/>
    <col min="261" max="261" width="4" style="2" customWidth="1"/>
    <col min="262" max="262" width="24.42578125" style="2" customWidth="1"/>
    <col min="263" max="263" width="19.85546875" style="2" customWidth="1"/>
    <col min="264" max="264" width="9.28515625" style="2" customWidth="1"/>
    <col min="265" max="265" width="10" style="2" customWidth="1"/>
    <col min="266" max="266" width="8.42578125" style="2" customWidth="1"/>
    <col min="267" max="267" width="12.28515625" style="2" customWidth="1"/>
    <col min="268" max="268" width="7.5703125" style="2" customWidth="1"/>
    <col min="269" max="269" width="7.85546875" style="2" customWidth="1"/>
    <col min="270" max="270" width="8.28515625" style="2" customWidth="1"/>
    <col min="271" max="271" width="9.140625" style="2"/>
    <col min="272" max="274" width="7.5703125" style="2" customWidth="1"/>
    <col min="275" max="275" width="10.28515625" style="2" customWidth="1"/>
    <col min="276" max="276" width="10.5703125" style="2" customWidth="1"/>
    <col min="277" max="277" width="11.140625" style="2" customWidth="1"/>
    <col min="278" max="278" width="10.42578125" style="2" customWidth="1"/>
    <col min="279" max="288" width="11" style="2" customWidth="1"/>
    <col min="289" max="289" width="9.140625" style="2" customWidth="1"/>
    <col min="290" max="290" width="6.85546875" style="2" customWidth="1"/>
    <col min="291" max="291" width="15" style="2" bestFit="1" customWidth="1"/>
    <col min="292" max="516" width="9.140625" style="2"/>
    <col min="517" max="517" width="4" style="2" customWidth="1"/>
    <col min="518" max="518" width="24.42578125" style="2" customWidth="1"/>
    <col min="519" max="519" width="19.85546875" style="2" customWidth="1"/>
    <col min="520" max="520" width="9.28515625" style="2" customWidth="1"/>
    <col min="521" max="521" width="10" style="2" customWidth="1"/>
    <col min="522" max="522" width="8.42578125" style="2" customWidth="1"/>
    <col min="523" max="523" width="12.28515625" style="2" customWidth="1"/>
    <col min="524" max="524" width="7.5703125" style="2" customWidth="1"/>
    <col min="525" max="525" width="7.85546875" style="2" customWidth="1"/>
    <col min="526" max="526" width="8.28515625" style="2" customWidth="1"/>
    <col min="527" max="527" width="9.140625" style="2"/>
    <col min="528" max="530" width="7.5703125" style="2" customWidth="1"/>
    <col min="531" max="531" width="10.28515625" style="2" customWidth="1"/>
    <col min="532" max="532" width="10.5703125" style="2" customWidth="1"/>
    <col min="533" max="533" width="11.140625" style="2" customWidth="1"/>
    <col min="534" max="534" width="10.42578125" style="2" customWidth="1"/>
    <col min="535" max="544" width="11" style="2" customWidth="1"/>
    <col min="545" max="545" width="9.140625" style="2" customWidth="1"/>
    <col min="546" max="546" width="6.85546875" style="2" customWidth="1"/>
    <col min="547" max="547" width="15" style="2" bestFit="1" customWidth="1"/>
    <col min="548" max="772" width="9.140625" style="2"/>
    <col min="773" max="773" width="4" style="2" customWidth="1"/>
    <col min="774" max="774" width="24.42578125" style="2" customWidth="1"/>
    <col min="775" max="775" width="19.85546875" style="2" customWidth="1"/>
    <col min="776" max="776" width="9.28515625" style="2" customWidth="1"/>
    <col min="777" max="777" width="10" style="2" customWidth="1"/>
    <col min="778" max="778" width="8.42578125" style="2" customWidth="1"/>
    <col min="779" max="779" width="12.28515625" style="2" customWidth="1"/>
    <col min="780" max="780" width="7.5703125" style="2" customWidth="1"/>
    <col min="781" max="781" width="7.85546875" style="2" customWidth="1"/>
    <col min="782" max="782" width="8.28515625" style="2" customWidth="1"/>
    <col min="783" max="783" width="9.140625" style="2"/>
    <col min="784" max="786" width="7.5703125" style="2" customWidth="1"/>
    <col min="787" max="787" width="10.28515625" style="2" customWidth="1"/>
    <col min="788" max="788" width="10.5703125" style="2" customWidth="1"/>
    <col min="789" max="789" width="11.140625" style="2" customWidth="1"/>
    <col min="790" max="790" width="10.42578125" style="2" customWidth="1"/>
    <col min="791" max="800" width="11" style="2" customWidth="1"/>
    <col min="801" max="801" width="9.140625" style="2" customWidth="1"/>
    <col min="802" max="802" width="6.85546875" style="2" customWidth="1"/>
    <col min="803" max="803" width="15" style="2" bestFit="1" customWidth="1"/>
    <col min="804" max="1028" width="9.140625" style="2"/>
    <col min="1029" max="1029" width="4" style="2" customWidth="1"/>
    <col min="1030" max="1030" width="24.42578125" style="2" customWidth="1"/>
    <col min="1031" max="1031" width="19.85546875" style="2" customWidth="1"/>
    <col min="1032" max="1032" width="9.28515625" style="2" customWidth="1"/>
    <col min="1033" max="1033" width="10" style="2" customWidth="1"/>
    <col min="1034" max="1034" width="8.42578125" style="2" customWidth="1"/>
    <col min="1035" max="1035" width="12.28515625" style="2" customWidth="1"/>
    <col min="1036" max="1036" width="7.5703125" style="2" customWidth="1"/>
    <col min="1037" max="1037" width="7.85546875" style="2" customWidth="1"/>
    <col min="1038" max="1038" width="8.28515625" style="2" customWidth="1"/>
    <col min="1039" max="1039" width="9.140625" style="2"/>
    <col min="1040" max="1042" width="7.5703125" style="2" customWidth="1"/>
    <col min="1043" max="1043" width="10.28515625" style="2" customWidth="1"/>
    <col min="1044" max="1044" width="10.5703125" style="2" customWidth="1"/>
    <col min="1045" max="1045" width="11.140625" style="2" customWidth="1"/>
    <col min="1046" max="1046" width="10.42578125" style="2" customWidth="1"/>
    <col min="1047" max="1056" width="11" style="2" customWidth="1"/>
    <col min="1057" max="1057" width="9.140625" style="2" customWidth="1"/>
    <col min="1058" max="1058" width="6.85546875" style="2" customWidth="1"/>
    <col min="1059" max="1059" width="15" style="2" bestFit="1" customWidth="1"/>
    <col min="1060" max="1284" width="9.140625" style="2"/>
    <col min="1285" max="1285" width="4" style="2" customWidth="1"/>
    <col min="1286" max="1286" width="24.42578125" style="2" customWidth="1"/>
    <col min="1287" max="1287" width="19.85546875" style="2" customWidth="1"/>
    <col min="1288" max="1288" width="9.28515625" style="2" customWidth="1"/>
    <col min="1289" max="1289" width="10" style="2" customWidth="1"/>
    <col min="1290" max="1290" width="8.42578125" style="2" customWidth="1"/>
    <col min="1291" max="1291" width="12.28515625" style="2" customWidth="1"/>
    <col min="1292" max="1292" width="7.5703125" style="2" customWidth="1"/>
    <col min="1293" max="1293" width="7.85546875" style="2" customWidth="1"/>
    <col min="1294" max="1294" width="8.28515625" style="2" customWidth="1"/>
    <col min="1295" max="1295" width="9.140625" style="2"/>
    <col min="1296" max="1298" width="7.5703125" style="2" customWidth="1"/>
    <col min="1299" max="1299" width="10.28515625" style="2" customWidth="1"/>
    <col min="1300" max="1300" width="10.5703125" style="2" customWidth="1"/>
    <col min="1301" max="1301" width="11.140625" style="2" customWidth="1"/>
    <col min="1302" max="1302" width="10.42578125" style="2" customWidth="1"/>
    <col min="1303" max="1312" width="11" style="2" customWidth="1"/>
    <col min="1313" max="1313" width="9.140625" style="2" customWidth="1"/>
    <col min="1314" max="1314" width="6.85546875" style="2" customWidth="1"/>
    <col min="1315" max="1315" width="15" style="2" bestFit="1" customWidth="1"/>
    <col min="1316" max="1540" width="9.140625" style="2"/>
    <col min="1541" max="1541" width="4" style="2" customWidth="1"/>
    <col min="1542" max="1542" width="24.42578125" style="2" customWidth="1"/>
    <col min="1543" max="1543" width="19.85546875" style="2" customWidth="1"/>
    <col min="1544" max="1544" width="9.28515625" style="2" customWidth="1"/>
    <col min="1545" max="1545" width="10" style="2" customWidth="1"/>
    <col min="1546" max="1546" width="8.42578125" style="2" customWidth="1"/>
    <col min="1547" max="1547" width="12.28515625" style="2" customWidth="1"/>
    <col min="1548" max="1548" width="7.5703125" style="2" customWidth="1"/>
    <col min="1549" max="1549" width="7.85546875" style="2" customWidth="1"/>
    <col min="1550" max="1550" width="8.28515625" style="2" customWidth="1"/>
    <col min="1551" max="1551" width="9.140625" style="2"/>
    <col min="1552" max="1554" width="7.5703125" style="2" customWidth="1"/>
    <col min="1555" max="1555" width="10.28515625" style="2" customWidth="1"/>
    <col min="1556" max="1556" width="10.5703125" style="2" customWidth="1"/>
    <col min="1557" max="1557" width="11.140625" style="2" customWidth="1"/>
    <col min="1558" max="1558" width="10.42578125" style="2" customWidth="1"/>
    <col min="1559" max="1568" width="11" style="2" customWidth="1"/>
    <col min="1569" max="1569" width="9.140625" style="2" customWidth="1"/>
    <col min="1570" max="1570" width="6.85546875" style="2" customWidth="1"/>
    <col min="1571" max="1571" width="15" style="2" bestFit="1" customWidth="1"/>
    <col min="1572" max="1796" width="9.140625" style="2"/>
    <col min="1797" max="1797" width="4" style="2" customWidth="1"/>
    <col min="1798" max="1798" width="24.42578125" style="2" customWidth="1"/>
    <col min="1799" max="1799" width="19.85546875" style="2" customWidth="1"/>
    <col min="1800" max="1800" width="9.28515625" style="2" customWidth="1"/>
    <col min="1801" max="1801" width="10" style="2" customWidth="1"/>
    <col min="1802" max="1802" width="8.42578125" style="2" customWidth="1"/>
    <col min="1803" max="1803" width="12.28515625" style="2" customWidth="1"/>
    <col min="1804" max="1804" width="7.5703125" style="2" customWidth="1"/>
    <col min="1805" max="1805" width="7.85546875" style="2" customWidth="1"/>
    <col min="1806" max="1806" width="8.28515625" style="2" customWidth="1"/>
    <col min="1807" max="1807" width="9.140625" style="2"/>
    <col min="1808" max="1810" width="7.5703125" style="2" customWidth="1"/>
    <col min="1811" max="1811" width="10.28515625" style="2" customWidth="1"/>
    <col min="1812" max="1812" width="10.5703125" style="2" customWidth="1"/>
    <col min="1813" max="1813" width="11.140625" style="2" customWidth="1"/>
    <col min="1814" max="1814" width="10.42578125" style="2" customWidth="1"/>
    <col min="1815" max="1824" width="11" style="2" customWidth="1"/>
    <col min="1825" max="1825" width="9.140625" style="2" customWidth="1"/>
    <col min="1826" max="1826" width="6.85546875" style="2" customWidth="1"/>
    <col min="1827" max="1827" width="15" style="2" bestFit="1" customWidth="1"/>
    <col min="1828" max="2052" width="9.140625" style="2"/>
    <col min="2053" max="2053" width="4" style="2" customWidth="1"/>
    <col min="2054" max="2054" width="24.42578125" style="2" customWidth="1"/>
    <col min="2055" max="2055" width="19.85546875" style="2" customWidth="1"/>
    <col min="2056" max="2056" width="9.28515625" style="2" customWidth="1"/>
    <col min="2057" max="2057" width="10" style="2" customWidth="1"/>
    <col min="2058" max="2058" width="8.42578125" style="2" customWidth="1"/>
    <col min="2059" max="2059" width="12.28515625" style="2" customWidth="1"/>
    <col min="2060" max="2060" width="7.5703125" style="2" customWidth="1"/>
    <col min="2061" max="2061" width="7.85546875" style="2" customWidth="1"/>
    <col min="2062" max="2062" width="8.28515625" style="2" customWidth="1"/>
    <col min="2063" max="2063" width="9.140625" style="2"/>
    <col min="2064" max="2066" width="7.5703125" style="2" customWidth="1"/>
    <col min="2067" max="2067" width="10.28515625" style="2" customWidth="1"/>
    <col min="2068" max="2068" width="10.5703125" style="2" customWidth="1"/>
    <col min="2069" max="2069" width="11.140625" style="2" customWidth="1"/>
    <col min="2070" max="2070" width="10.42578125" style="2" customWidth="1"/>
    <col min="2071" max="2080" width="11" style="2" customWidth="1"/>
    <col min="2081" max="2081" width="9.140625" style="2" customWidth="1"/>
    <col min="2082" max="2082" width="6.85546875" style="2" customWidth="1"/>
    <col min="2083" max="2083" width="15" style="2" bestFit="1" customWidth="1"/>
    <col min="2084" max="2308" width="9.140625" style="2"/>
    <col min="2309" max="2309" width="4" style="2" customWidth="1"/>
    <col min="2310" max="2310" width="24.42578125" style="2" customWidth="1"/>
    <col min="2311" max="2311" width="19.85546875" style="2" customWidth="1"/>
    <col min="2312" max="2312" width="9.28515625" style="2" customWidth="1"/>
    <col min="2313" max="2313" width="10" style="2" customWidth="1"/>
    <col min="2314" max="2314" width="8.42578125" style="2" customWidth="1"/>
    <col min="2315" max="2315" width="12.28515625" style="2" customWidth="1"/>
    <col min="2316" max="2316" width="7.5703125" style="2" customWidth="1"/>
    <col min="2317" max="2317" width="7.85546875" style="2" customWidth="1"/>
    <col min="2318" max="2318" width="8.28515625" style="2" customWidth="1"/>
    <col min="2319" max="2319" width="9.140625" style="2"/>
    <col min="2320" max="2322" width="7.5703125" style="2" customWidth="1"/>
    <col min="2323" max="2323" width="10.28515625" style="2" customWidth="1"/>
    <col min="2324" max="2324" width="10.5703125" style="2" customWidth="1"/>
    <col min="2325" max="2325" width="11.140625" style="2" customWidth="1"/>
    <col min="2326" max="2326" width="10.42578125" style="2" customWidth="1"/>
    <col min="2327" max="2336" width="11" style="2" customWidth="1"/>
    <col min="2337" max="2337" width="9.140625" style="2" customWidth="1"/>
    <col min="2338" max="2338" width="6.85546875" style="2" customWidth="1"/>
    <col min="2339" max="2339" width="15" style="2" bestFit="1" customWidth="1"/>
    <col min="2340" max="2564" width="9.140625" style="2"/>
    <col min="2565" max="2565" width="4" style="2" customWidth="1"/>
    <col min="2566" max="2566" width="24.42578125" style="2" customWidth="1"/>
    <col min="2567" max="2567" width="19.85546875" style="2" customWidth="1"/>
    <col min="2568" max="2568" width="9.28515625" style="2" customWidth="1"/>
    <col min="2569" max="2569" width="10" style="2" customWidth="1"/>
    <col min="2570" max="2570" width="8.42578125" style="2" customWidth="1"/>
    <col min="2571" max="2571" width="12.28515625" style="2" customWidth="1"/>
    <col min="2572" max="2572" width="7.5703125" style="2" customWidth="1"/>
    <col min="2573" max="2573" width="7.85546875" style="2" customWidth="1"/>
    <col min="2574" max="2574" width="8.28515625" style="2" customWidth="1"/>
    <col min="2575" max="2575" width="9.140625" style="2"/>
    <col min="2576" max="2578" width="7.5703125" style="2" customWidth="1"/>
    <col min="2579" max="2579" width="10.28515625" style="2" customWidth="1"/>
    <col min="2580" max="2580" width="10.5703125" style="2" customWidth="1"/>
    <col min="2581" max="2581" width="11.140625" style="2" customWidth="1"/>
    <col min="2582" max="2582" width="10.42578125" style="2" customWidth="1"/>
    <col min="2583" max="2592" width="11" style="2" customWidth="1"/>
    <col min="2593" max="2593" width="9.140625" style="2" customWidth="1"/>
    <col min="2594" max="2594" width="6.85546875" style="2" customWidth="1"/>
    <col min="2595" max="2595" width="15" style="2" bestFit="1" customWidth="1"/>
    <col min="2596" max="2820" width="9.140625" style="2"/>
    <col min="2821" max="2821" width="4" style="2" customWidth="1"/>
    <col min="2822" max="2822" width="24.42578125" style="2" customWidth="1"/>
    <col min="2823" max="2823" width="19.85546875" style="2" customWidth="1"/>
    <col min="2824" max="2824" width="9.28515625" style="2" customWidth="1"/>
    <col min="2825" max="2825" width="10" style="2" customWidth="1"/>
    <col min="2826" max="2826" width="8.42578125" style="2" customWidth="1"/>
    <col min="2827" max="2827" width="12.28515625" style="2" customWidth="1"/>
    <col min="2828" max="2828" width="7.5703125" style="2" customWidth="1"/>
    <col min="2829" max="2829" width="7.85546875" style="2" customWidth="1"/>
    <col min="2830" max="2830" width="8.28515625" style="2" customWidth="1"/>
    <col min="2831" max="2831" width="9.140625" style="2"/>
    <col min="2832" max="2834" width="7.5703125" style="2" customWidth="1"/>
    <col min="2835" max="2835" width="10.28515625" style="2" customWidth="1"/>
    <col min="2836" max="2836" width="10.5703125" style="2" customWidth="1"/>
    <col min="2837" max="2837" width="11.140625" style="2" customWidth="1"/>
    <col min="2838" max="2838" width="10.42578125" style="2" customWidth="1"/>
    <col min="2839" max="2848" width="11" style="2" customWidth="1"/>
    <col min="2849" max="2849" width="9.140625" style="2" customWidth="1"/>
    <col min="2850" max="2850" width="6.85546875" style="2" customWidth="1"/>
    <col min="2851" max="2851" width="15" style="2" bestFit="1" customWidth="1"/>
    <col min="2852" max="3076" width="9.140625" style="2"/>
    <col min="3077" max="3077" width="4" style="2" customWidth="1"/>
    <col min="3078" max="3078" width="24.42578125" style="2" customWidth="1"/>
    <col min="3079" max="3079" width="19.85546875" style="2" customWidth="1"/>
    <col min="3080" max="3080" width="9.28515625" style="2" customWidth="1"/>
    <col min="3081" max="3081" width="10" style="2" customWidth="1"/>
    <col min="3082" max="3082" width="8.42578125" style="2" customWidth="1"/>
    <col min="3083" max="3083" width="12.28515625" style="2" customWidth="1"/>
    <col min="3084" max="3084" width="7.5703125" style="2" customWidth="1"/>
    <col min="3085" max="3085" width="7.85546875" style="2" customWidth="1"/>
    <col min="3086" max="3086" width="8.28515625" style="2" customWidth="1"/>
    <col min="3087" max="3087" width="9.140625" style="2"/>
    <col min="3088" max="3090" width="7.5703125" style="2" customWidth="1"/>
    <col min="3091" max="3091" width="10.28515625" style="2" customWidth="1"/>
    <col min="3092" max="3092" width="10.5703125" style="2" customWidth="1"/>
    <col min="3093" max="3093" width="11.140625" style="2" customWidth="1"/>
    <col min="3094" max="3094" width="10.42578125" style="2" customWidth="1"/>
    <col min="3095" max="3104" width="11" style="2" customWidth="1"/>
    <col min="3105" max="3105" width="9.140625" style="2" customWidth="1"/>
    <col min="3106" max="3106" width="6.85546875" style="2" customWidth="1"/>
    <col min="3107" max="3107" width="15" style="2" bestFit="1" customWidth="1"/>
    <col min="3108" max="3332" width="9.140625" style="2"/>
    <col min="3333" max="3333" width="4" style="2" customWidth="1"/>
    <col min="3334" max="3334" width="24.42578125" style="2" customWidth="1"/>
    <col min="3335" max="3335" width="19.85546875" style="2" customWidth="1"/>
    <col min="3336" max="3336" width="9.28515625" style="2" customWidth="1"/>
    <col min="3337" max="3337" width="10" style="2" customWidth="1"/>
    <col min="3338" max="3338" width="8.42578125" style="2" customWidth="1"/>
    <col min="3339" max="3339" width="12.28515625" style="2" customWidth="1"/>
    <col min="3340" max="3340" width="7.5703125" style="2" customWidth="1"/>
    <col min="3341" max="3341" width="7.85546875" style="2" customWidth="1"/>
    <col min="3342" max="3342" width="8.28515625" style="2" customWidth="1"/>
    <col min="3343" max="3343" width="9.140625" style="2"/>
    <col min="3344" max="3346" width="7.5703125" style="2" customWidth="1"/>
    <col min="3347" max="3347" width="10.28515625" style="2" customWidth="1"/>
    <col min="3348" max="3348" width="10.5703125" style="2" customWidth="1"/>
    <col min="3349" max="3349" width="11.140625" style="2" customWidth="1"/>
    <col min="3350" max="3350" width="10.42578125" style="2" customWidth="1"/>
    <col min="3351" max="3360" width="11" style="2" customWidth="1"/>
    <col min="3361" max="3361" width="9.140625" style="2" customWidth="1"/>
    <col min="3362" max="3362" width="6.85546875" style="2" customWidth="1"/>
    <col min="3363" max="3363" width="15" style="2" bestFit="1" customWidth="1"/>
    <col min="3364" max="3588" width="9.140625" style="2"/>
    <col min="3589" max="3589" width="4" style="2" customWidth="1"/>
    <col min="3590" max="3590" width="24.42578125" style="2" customWidth="1"/>
    <col min="3591" max="3591" width="19.85546875" style="2" customWidth="1"/>
    <col min="3592" max="3592" width="9.28515625" style="2" customWidth="1"/>
    <col min="3593" max="3593" width="10" style="2" customWidth="1"/>
    <col min="3594" max="3594" width="8.42578125" style="2" customWidth="1"/>
    <col min="3595" max="3595" width="12.28515625" style="2" customWidth="1"/>
    <col min="3596" max="3596" width="7.5703125" style="2" customWidth="1"/>
    <col min="3597" max="3597" width="7.85546875" style="2" customWidth="1"/>
    <col min="3598" max="3598" width="8.28515625" style="2" customWidth="1"/>
    <col min="3599" max="3599" width="9.140625" style="2"/>
    <col min="3600" max="3602" width="7.5703125" style="2" customWidth="1"/>
    <col min="3603" max="3603" width="10.28515625" style="2" customWidth="1"/>
    <col min="3604" max="3604" width="10.5703125" style="2" customWidth="1"/>
    <col min="3605" max="3605" width="11.140625" style="2" customWidth="1"/>
    <col min="3606" max="3606" width="10.42578125" style="2" customWidth="1"/>
    <col min="3607" max="3616" width="11" style="2" customWidth="1"/>
    <col min="3617" max="3617" width="9.140625" style="2" customWidth="1"/>
    <col min="3618" max="3618" width="6.85546875" style="2" customWidth="1"/>
    <col min="3619" max="3619" width="15" style="2" bestFit="1" customWidth="1"/>
    <col min="3620" max="3844" width="9.140625" style="2"/>
    <col min="3845" max="3845" width="4" style="2" customWidth="1"/>
    <col min="3846" max="3846" width="24.42578125" style="2" customWidth="1"/>
    <col min="3847" max="3847" width="19.85546875" style="2" customWidth="1"/>
    <col min="3848" max="3848" width="9.28515625" style="2" customWidth="1"/>
    <col min="3849" max="3849" width="10" style="2" customWidth="1"/>
    <col min="3850" max="3850" width="8.42578125" style="2" customWidth="1"/>
    <col min="3851" max="3851" width="12.28515625" style="2" customWidth="1"/>
    <col min="3852" max="3852" width="7.5703125" style="2" customWidth="1"/>
    <col min="3853" max="3853" width="7.85546875" style="2" customWidth="1"/>
    <col min="3854" max="3854" width="8.28515625" style="2" customWidth="1"/>
    <col min="3855" max="3855" width="9.140625" style="2"/>
    <col min="3856" max="3858" width="7.5703125" style="2" customWidth="1"/>
    <col min="3859" max="3859" width="10.28515625" style="2" customWidth="1"/>
    <col min="3860" max="3860" width="10.5703125" style="2" customWidth="1"/>
    <col min="3861" max="3861" width="11.140625" style="2" customWidth="1"/>
    <col min="3862" max="3862" width="10.42578125" style="2" customWidth="1"/>
    <col min="3863" max="3872" width="11" style="2" customWidth="1"/>
    <col min="3873" max="3873" width="9.140625" style="2" customWidth="1"/>
    <col min="3874" max="3874" width="6.85546875" style="2" customWidth="1"/>
    <col min="3875" max="3875" width="15" style="2" bestFit="1" customWidth="1"/>
    <col min="3876" max="4100" width="9.140625" style="2"/>
    <col min="4101" max="4101" width="4" style="2" customWidth="1"/>
    <col min="4102" max="4102" width="24.42578125" style="2" customWidth="1"/>
    <col min="4103" max="4103" width="19.85546875" style="2" customWidth="1"/>
    <col min="4104" max="4104" width="9.28515625" style="2" customWidth="1"/>
    <col min="4105" max="4105" width="10" style="2" customWidth="1"/>
    <col min="4106" max="4106" width="8.42578125" style="2" customWidth="1"/>
    <col min="4107" max="4107" width="12.28515625" style="2" customWidth="1"/>
    <col min="4108" max="4108" width="7.5703125" style="2" customWidth="1"/>
    <col min="4109" max="4109" width="7.85546875" style="2" customWidth="1"/>
    <col min="4110" max="4110" width="8.28515625" style="2" customWidth="1"/>
    <col min="4111" max="4111" width="9.140625" style="2"/>
    <col min="4112" max="4114" width="7.5703125" style="2" customWidth="1"/>
    <col min="4115" max="4115" width="10.28515625" style="2" customWidth="1"/>
    <col min="4116" max="4116" width="10.5703125" style="2" customWidth="1"/>
    <col min="4117" max="4117" width="11.140625" style="2" customWidth="1"/>
    <col min="4118" max="4118" width="10.42578125" style="2" customWidth="1"/>
    <col min="4119" max="4128" width="11" style="2" customWidth="1"/>
    <col min="4129" max="4129" width="9.140625" style="2" customWidth="1"/>
    <col min="4130" max="4130" width="6.85546875" style="2" customWidth="1"/>
    <col min="4131" max="4131" width="15" style="2" bestFit="1" customWidth="1"/>
    <col min="4132" max="4356" width="9.140625" style="2"/>
    <col min="4357" max="4357" width="4" style="2" customWidth="1"/>
    <col min="4358" max="4358" width="24.42578125" style="2" customWidth="1"/>
    <col min="4359" max="4359" width="19.85546875" style="2" customWidth="1"/>
    <col min="4360" max="4360" width="9.28515625" style="2" customWidth="1"/>
    <col min="4361" max="4361" width="10" style="2" customWidth="1"/>
    <col min="4362" max="4362" width="8.42578125" style="2" customWidth="1"/>
    <col min="4363" max="4363" width="12.28515625" style="2" customWidth="1"/>
    <col min="4364" max="4364" width="7.5703125" style="2" customWidth="1"/>
    <col min="4365" max="4365" width="7.85546875" style="2" customWidth="1"/>
    <col min="4366" max="4366" width="8.28515625" style="2" customWidth="1"/>
    <col min="4367" max="4367" width="9.140625" style="2"/>
    <col min="4368" max="4370" width="7.5703125" style="2" customWidth="1"/>
    <col min="4371" max="4371" width="10.28515625" style="2" customWidth="1"/>
    <col min="4372" max="4372" width="10.5703125" style="2" customWidth="1"/>
    <col min="4373" max="4373" width="11.140625" style="2" customWidth="1"/>
    <col min="4374" max="4374" width="10.42578125" style="2" customWidth="1"/>
    <col min="4375" max="4384" width="11" style="2" customWidth="1"/>
    <col min="4385" max="4385" width="9.140625" style="2" customWidth="1"/>
    <col min="4386" max="4386" width="6.85546875" style="2" customWidth="1"/>
    <col min="4387" max="4387" width="15" style="2" bestFit="1" customWidth="1"/>
    <col min="4388" max="4612" width="9.140625" style="2"/>
    <col min="4613" max="4613" width="4" style="2" customWidth="1"/>
    <col min="4614" max="4614" width="24.42578125" style="2" customWidth="1"/>
    <col min="4615" max="4615" width="19.85546875" style="2" customWidth="1"/>
    <col min="4616" max="4616" width="9.28515625" style="2" customWidth="1"/>
    <col min="4617" max="4617" width="10" style="2" customWidth="1"/>
    <col min="4618" max="4618" width="8.42578125" style="2" customWidth="1"/>
    <col min="4619" max="4619" width="12.28515625" style="2" customWidth="1"/>
    <col min="4620" max="4620" width="7.5703125" style="2" customWidth="1"/>
    <col min="4621" max="4621" width="7.85546875" style="2" customWidth="1"/>
    <col min="4622" max="4622" width="8.28515625" style="2" customWidth="1"/>
    <col min="4623" max="4623" width="9.140625" style="2"/>
    <col min="4624" max="4626" width="7.5703125" style="2" customWidth="1"/>
    <col min="4627" max="4627" width="10.28515625" style="2" customWidth="1"/>
    <col min="4628" max="4628" width="10.5703125" style="2" customWidth="1"/>
    <col min="4629" max="4629" width="11.140625" style="2" customWidth="1"/>
    <col min="4630" max="4630" width="10.42578125" style="2" customWidth="1"/>
    <col min="4631" max="4640" width="11" style="2" customWidth="1"/>
    <col min="4641" max="4641" width="9.140625" style="2" customWidth="1"/>
    <col min="4642" max="4642" width="6.85546875" style="2" customWidth="1"/>
    <col min="4643" max="4643" width="15" style="2" bestFit="1" customWidth="1"/>
    <col min="4644" max="4868" width="9.140625" style="2"/>
    <col min="4869" max="4869" width="4" style="2" customWidth="1"/>
    <col min="4870" max="4870" width="24.42578125" style="2" customWidth="1"/>
    <col min="4871" max="4871" width="19.85546875" style="2" customWidth="1"/>
    <col min="4872" max="4872" width="9.28515625" style="2" customWidth="1"/>
    <col min="4873" max="4873" width="10" style="2" customWidth="1"/>
    <col min="4874" max="4874" width="8.42578125" style="2" customWidth="1"/>
    <col min="4875" max="4875" width="12.28515625" style="2" customWidth="1"/>
    <col min="4876" max="4876" width="7.5703125" style="2" customWidth="1"/>
    <col min="4877" max="4877" width="7.85546875" style="2" customWidth="1"/>
    <col min="4878" max="4878" width="8.28515625" style="2" customWidth="1"/>
    <col min="4879" max="4879" width="9.140625" style="2"/>
    <col min="4880" max="4882" width="7.5703125" style="2" customWidth="1"/>
    <col min="4883" max="4883" width="10.28515625" style="2" customWidth="1"/>
    <col min="4884" max="4884" width="10.5703125" style="2" customWidth="1"/>
    <col min="4885" max="4885" width="11.140625" style="2" customWidth="1"/>
    <col min="4886" max="4886" width="10.42578125" style="2" customWidth="1"/>
    <col min="4887" max="4896" width="11" style="2" customWidth="1"/>
    <col min="4897" max="4897" width="9.140625" style="2" customWidth="1"/>
    <col min="4898" max="4898" width="6.85546875" style="2" customWidth="1"/>
    <col min="4899" max="4899" width="15" style="2" bestFit="1" customWidth="1"/>
    <col min="4900" max="5124" width="9.140625" style="2"/>
    <col min="5125" max="5125" width="4" style="2" customWidth="1"/>
    <col min="5126" max="5126" width="24.42578125" style="2" customWidth="1"/>
    <col min="5127" max="5127" width="19.85546875" style="2" customWidth="1"/>
    <col min="5128" max="5128" width="9.28515625" style="2" customWidth="1"/>
    <col min="5129" max="5129" width="10" style="2" customWidth="1"/>
    <col min="5130" max="5130" width="8.42578125" style="2" customWidth="1"/>
    <col min="5131" max="5131" width="12.28515625" style="2" customWidth="1"/>
    <col min="5132" max="5132" width="7.5703125" style="2" customWidth="1"/>
    <col min="5133" max="5133" width="7.85546875" style="2" customWidth="1"/>
    <col min="5134" max="5134" width="8.28515625" style="2" customWidth="1"/>
    <col min="5135" max="5135" width="9.140625" style="2"/>
    <col min="5136" max="5138" width="7.5703125" style="2" customWidth="1"/>
    <col min="5139" max="5139" width="10.28515625" style="2" customWidth="1"/>
    <col min="5140" max="5140" width="10.5703125" style="2" customWidth="1"/>
    <col min="5141" max="5141" width="11.140625" style="2" customWidth="1"/>
    <col min="5142" max="5142" width="10.42578125" style="2" customWidth="1"/>
    <col min="5143" max="5152" width="11" style="2" customWidth="1"/>
    <col min="5153" max="5153" width="9.140625" style="2" customWidth="1"/>
    <col min="5154" max="5154" width="6.85546875" style="2" customWidth="1"/>
    <col min="5155" max="5155" width="15" style="2" bestFit="1" customWidth="1"/>
    <col min="5156" max="5380" width="9.140625" style="2"/>
    <col min="5381" max="5381" width="4" style="2" customWidth="1"/>
    <col min="5382" max="5382" width="24.42578125" style="2" customWidth="1"/>
    <col min="5383" max="5383" width="19.85546875" style="2" customWidth="1"/>
    <col min="5384" max="5384" width="9.28515625" style="2" customWidth="1"/>
    <col min="5385" max="5385" width="10" style="2" customWidth="1"/>
    <col min="5386" max="5386" width="8.42578125" style="2" customWidth="1"/>
    <col min="5387" max="5387" width="12.28515625" style="2" customWidth="1"/>
    <col min="5388" max="5388" width="7.5703125" style="2" customWidth="1"/>
    <col min="5389" max="5389" width="7.85546875" style="2" customWidth="1"/>
    <col min="5390" max="5390" width="8.28515625" style="2" customWidth="1"/>
    <col min="5391" max="5391" width="9.140625" style="2"/>
    <col min="5392" max="5394" width="7.5703125" style="2" customWidth="1"/>
    <col min="5395" max="5395" width="10.28515625" style="2" customWidth="1"/>
    <col min="5396" max="5396" width="10.5703125" style="2" customWidth="1"/>
    <col min="5397" max="5397" width="11.140625" style="2" customWidth="1"/>
    <col min="5398" max="5398" width="10.42578125" style="2" customWidth="1"/>
    <col min="5399" max="5408" width="11" style="2" customWidth="1"/>
    <col min="5409" max="5409" width="9.140625" style="2" customWidth="1"/>
    <col min="5410" max="5410" width="6.85546875" style="2" customWidth="1"/>
    <col min="5411" max="5411" width="15" style="2" bestFit="1" customWidth="1"/>
    <col min="5412" max="5636" width="9.140625" style="2"/>
    <col min="5637" max="5637" width="4" style="2" customWidth="1"/>
    <col min="5638" max="5638" width="24.42578125" style="2" customWidth="1"/>
    <col min="5639" max="5639" width="19.85546875" style="2" customWidth="1"/>
    <col min="5640" max="5640" width="9.28515625" style="2" customWidth="1"/>
    <col min="5641" max="5641" width="10" style="2" customWidth="1"/>
    <col min="5642" max="5642" width="8.42578125" style="2" customWidth="1"/>
    <col min="5643" max="5643" width="12.28515625" style="2" customWidth="1"/>
    <col min="5644" max="5644" width="7.5703125" style="2" customWidth="1"/>
    <col min="5645" max="5645" width="7.85546875" style="2" customWidth="1"/>
    <col min="5646" max="5646" width="8.28515625" style="2" customWidth="1"/>
    <col min="5647" max="5647" width="9.140625" style="2"/>
    <col min="5648" max="5650" width="7.5703125" style="2" customWidth="1"/>
    <col min="5651" max="5651" width="10.28515625" style="2" customWidth="1"/>
    <col min="5652" max="5652" width="10.5703125" style="2" customWidth="1"/>
    <col min="5653" max="5653" width="11.140625" style="2" customWidth="1"/>
    <col min="5654" max="5654" width="10.42578125" style="2" customWidth="1"/>
    <col min="5655" max="5664" width="11" style="2" customWidth="1"/>
    <col min="5665" max="5665" width="9.140625" style="2" customWidth="1"/>
    <col min="5666" max="5666" width="6.85546875" style="2" customWidth="1"/>
    <col min="5667" max="5667" width="15" style="2" bestFit="1" customWidth="1"/>
    <col min="5668" max="5892" width="9.140625" style="2"/>
    <col min="5893" max="5893" width="4" style="2" customWidth="1"/>
    <col min="5894" max="5894" width="24.42578125" style="2" customWidth="1"/>
    <col min="5895" max="5895" width="19.85546875" style="2" customWidth="1"/>
    <col min="5896" max="5896" width="9.28515625" style="2" customWidth="1"/>
    <col min="5897" max="5897" width="10" style="2" customWidth="1"/>
    <col min="5898" max="5898" width="8.42578125" style="2" customWidth="1"/>
    <col min="5899" max="5899" width="12.28515625" style="2" customWidth="1"/>
    <col min="5900" max="5900" width="7.5703125" style="2" customWidth="1"/>
    <col min="5901" max="5901" width="7.85546875" style="2" customWidth="1"/>
    <col min="5902" max="5902" width="8.28515625" style="2" customWidth="1"/>
    <col min="5903" max="5903" width="9.140625" style="2"/>
    <col min="5904" max="5906" width="7.5703125" style="2" customWidth="1"/>
    <col min="5907" max="5907" width="10.28515625" style="2" customWidth="1"/>
    <col min="5908" max="5908" width="10.5703125" style="2" customWidth="1"/>
    <col min="5909" max="5909" width="11.140625" style="2" customWidth="1"/>
    <col min="5910" max="5910" width="10.42578125" style="2" customWidth="1"/>
    <col min="5911" max="5920" width="11" style="2" customWidth="1"/>
    <col min="5921" max="5921" width="9.140625" style="2" customWidth="1"/>
    <col min="5922" max="5922" width="6.85546875" style="2" customWidth="1"/>
    <col min="5923" max="5923" width="15" style="2" bestFit="1" customWidth="1"/>
    <col min="5924" max="6148" width="9.140625" style="2"/>
    <col min="6149" max="6149" width="4" style="2" customWidth="1"/>
    <col min="6150" max="6150" width="24.42578125" style="2" customWidth="1"/>
    <col min="6151" max="6151" width="19.85546875" style="2" customWidth="1"/>
    <col min="6152" max="6152" width="9.28515625" style="2" customWidth="1"/>
    <col min="6153" max="6153" width="10" style="2" customWidth="1"/>
    <col min="6154" max="6154" width="8.42578125" style="2" customWidth="1"/>
    <col min="6155" max="6155" width="12.28515625" style="2" customWidth="1"/>
    <col min="6156" max="6156" width="7.5703125" style="2" customWidth="1"/>
    <col min="6157" max="6157" width="7.85546875" style="2" customWidth="1"/>
    <col min="6158" max="6158" width="8.28515625" style="2" customWidth="1"/>
    <col min="6159" max="6159" width="9.140625" style="2"/>
    <col min="6160" max="6162" width="7.5703125" style="2" customWidth="1"/>
    <col min="6163" max="6163" width="10.28515625" style="2" customWidth="1"/>
    <col min="6164" max="6164" width="10.5703125" style="2" customWidth="1"/>
    <col min="6165" max="6165" width="11.140625" style="2" customWidth="1"/>
    <col min="6166" max="6166" width="10.42578125" style="2" customWidth="1"/>
    <col min="6167" max="6176" width="11" style="2" customWidth="1"/>
    <col min="6177" max="6177" width="9.140625" style="2" customWidth="1"/>
    <col min="6178" max="6178" width="6.85546875" style="2" customWidth="1"/>
    <col min="6179" max="6179" width="15" style="2" bestFit="1" customWidth="1"/>
    <col min="6180" max="6404" width="9.140625" style="2"/>
    <col min="6405" max="6405" width="4" style="2" customWidth="1"/>
    <col min="6406" max="6406" width="24.42578125" style="2" customWidth="1"/>
    <col min="6407" max="6407" width="19.85546875" style="2" customWidth="1"/>
    <col min="6408" max="6408" width="9.28515625" style="2" customWidth="1"/>
    <col min="6409" max="6409" width="10" style="2" customWidth="1"/>
    <col min="6410" max="6410" width="8.42578125" style="2" customWidth="1"/>
    <col min="6411" max="6411" width="12.28515625" style="2" customWidth="1"/>
    <col min="6412" max="6412" width="7.5703125" style="2" customWidth="1"/>
    <col min="6413" max="6413" width="7.85546875" style="2" customWidth="1"/>
    <col min="6414" max="6414" width="8.28515625" style="2" customWidth="1"/>
    <col min="6415" max="6415" width="9.140625" style="2"/>
    <col min="6416" max="6418" width="7.5703125" style="2" customWidth="1"/>
    <col min="6419" max="6419" width="10.28515625" style="2" customWidth="1"/>
    <col min="6420" max="6420" width="10.5703125" style="2" customWidth="1"/>
    <col min="6421" max="6421" width="11.140625" style="2" customWidth="1"/>
    <col min="6422" max="6422" width="10.42578125" style="2" customWidth="1"/>
    <col min="6423" max="6432" width="11" style="2" customWidth="1"/>
    <col min="6433" max="6433" width="9.140625" style="2" customWidth="1"/>
    <col min="6434" max="6434" width="6.85546875" style="2" customWidth="1"/>
    <col min="6435" max="6435" width="15" style="2" bestFit="1" customWidth="1"/>
    <col min="6436" max="6660" width="9.140625" style="2"/>
    <col min="6661" max="6661" width="4" style="2" customWidth="1"/>
    <col min="6662" max="6662" width="24.42578125" style="2" customWidth="1"/>
    <col min="6663" max="6663" width="19.85546875" style="2" customWidth="1"/>
    <col min="6664" max="6664" width="9.28515625" style="2" customWidth="1"/>
    <col min="6665" max="6665" width="10" style="2" customWidth="1"/>
    <col min="6666" max="6666" width="8.42578125" style="2" customWidth="1"/>
    <col min="6667" max="6667" width="12.28515625" style="2" customWidth="1"/>
    <col min="6668" max="6668" width="7.5703125" style="2" customWidth="1"/>
    <col min="6669" max="6669" width="7.85546875" style="2" customWidth="1"/>
    <col min="6670" max="6670" width="8.28515625" style="2" customWidth="1"/>
    <col min="6671" max="6671" width="9.140625" style="2"/>
    <col min="6672" max="6674" width="7.5703125" style="2" customWidth="1"/>
    <col min="6675" max="6675" width="10.28515625" style="2" customWidth="1"/>
    <col min="6676" max="6676" width="10.5703125" style="2" customWidth="1"/>
    <col min="6677" max="6677" width="11.140625" style="2" customWidth="1"/>
    <col min="6678" max="6678" width="10.42578125" style="2" customWidth="1"/>
    <col min="6679" max="6688" width="11" style="2" customWidth="1"/>
    <col min="6689" max="6689" width="9.140625" style="2" customWidth="1"/>
    <col min="6690" max="6690" width="6.85546875" style="2" customWidth="1"/>
    <col min="6691" max="6691" width="15" style="2" bestFit="1" customWidth="1"/>
    <col min="6692" max="6916" width="9.140625" style="2"/>
    <col min="6917" max="6917" width="4" style="2" customWidth="1"/>
    <col min="6918" max="6918" width="24.42578125" style="2" customWidth="1"/>
    <col min="6919" max="6919" width="19.85546875" style="2" customWidth="1"/>
    <col min="6920" max="6920" width="9.28515625" style="2" customWidth="1"/>
    <col min="6921" max="6921" width="10" style="2" customWidth="1"/>
    <col min="6922" max="6922" width="8.42578125" style="2" customWidth="1"/>
    <col min="6923" max="6923" width="12.28515625" style="2" customWidth="1"/>
    <col min="6924" max="6924" width="7.5703125" style="2" customWidth="1"/>
    <col min="6925" max="6925" width="7.85546875" style="2" customWidth="1"/>
    <col min="6926" max="6926" width="8.28515625" style="2" customWidth="1"/>
    <col min="6927" max="6927" width="9.140625" style="2"/>
    <col min="6928" max="6930" width="7.5703125" style="2" customWidth="1"/>
    <col min="6931" max="6931" width="10.28515625" style="2" customWidth="1"/>
    <col min="6932" max="6932" width="10.5703125" style="2" customWidth="1"/>
    <col min="6933" max="6933" width="11.140625" style="2" customWidth="1"/>
    <col min="6934" max="6934" width="10.42578125" style="2" customWidth="1"/>
    <col min="6935" max="6944" width="11" style="2" customWidth="1"/>
    <col min="6945" max="6945" width="9.140625" style="2" customWidth="1"/>
    <col min="6946" max="6946" width="6.85546875" style="2" customWidth="1"/>
    <col min="6947" max="6947" width="15" style="2" bestFit="1" customWidth="1"/>
    <col min="6948" max="7172" width="9.140625" style="2"/>
    <col min="7173" max="7173" width="4" style="2" customWidth="1"/>
    <col min="7174" max="7174" width="24.42578125" style="2" customWidth="1"/>
    <col min="7175" max="7175" width="19.85546875" style="2" customWidth="1"/>
    <col min="7176" max="7176" width="9.28515625" style="2" customWidth="1"/>
    <col min="7177" max="7177" width="10" style="2" customWidth="1"/>
    <col min="7178" max="7178" width="8.42578125" style="2" customWidth="1"/>
    <col min="7179" max="7179" width="12.28515625" style="2" customWidth="1"/>
    <col min="7180" max="7180" width="7.5703125" style="2" customWidth="1"/>
    <col min="7181" max="7181" width="7.85546875" style="2" customWidth="1"/>
    <col min="7182" max="7182" width="8.28515625" style="2" customWidth="1"/>
    <col min="7183" max="7183" width="9.140625" style="2"/>
    <col min="7184" max="7186" width="7.5703125" style="2" customWidth="1"/>
    <col min="7187" max="7187" width="10.28515625" style="2" customWidth="1"/>
    <col min="7188" max="7188" width="10.5703125" style="2" customWidth="1"/>
    <col min="7189" max="7189" width="11.140625" style="2" customWidth="1"/>
    <col min="7190" max="7190" width="10.42578125" style="2" customWidth="1"/>
    <col min="7191" max="7200" width="11" style="2" customWidth="1"/>
    <col min="7201" max="7201" width="9.140625" style="2" customWidth="1"/>
    <col min="7202" max="7202" width="6.85546875" style="2" customWidth="1"/>
    <col min="7203" max="7203" width="15" style="2" bestFit="1" customWidth="1"/>
    <col min="7204" max="7428" width="9.140625" style="2"/>
    <col min="7429" max="7429" width="4" style="2" customWidth="1"/>
    <col min="7430" max="7430" width="24.42578125" style="2" customWidth="1"/>
    <col min="7431" max="7431" width="19.85546875" style="2" customWidth="1"/>
    <col min="7432" max="7432" width="9.28515625" style="2" customWidth="1"/>
    <col min="7433" max="7433" width="10" style="2" customWidth="1"/>
    <col min="7434" max="7434" width="8.42578125" style="2" customWidth="1"/>
    <col min="7435" max="7435" width="12.28515625" style="2" customWidth="1"/>
    <col min="7436" max="7436" width="7.5703125" style="2" customWidth="1"/>
    <col min="7437" max="7437" width="7.85546875" style="2" customWidth="1"/>
    <col min="7438" max="7438" width="8.28515625" style="2" customWidth="1"/>
    <col min="7439" max="7439" width="9.140625" style="2"/>
    <col min="7440" max="7442" width="7.5703125" style="2" customWidth="1"/>
    <col min="7443" max="7443" width="10.28515625" style="2" customWidth="1"/>
    <col min="7444" max="7444" width="10.5703125" style="2" customWidth="1"/>
    <col min="7445" max="7445" width="11.140625" style="2" customWidth="1"/>
    <col min="7446" max="7446" width="10.42578125" style="2" customWidth="1"/>
    <col min="7447" max="7456" width="11" style="2" customWidth="1"/>
    <col min="7457" max="7457" width="9.140625" style="2" customWidth="1"/>
    <col min="7458" max="7458" width="6.85546875" style="2" customWidth="1"/>
    <col min="7459" max="7459" width="15" style="2" bestFit="1" customWidth="1"/>
    <col min="7460" max="7684" width="9.140625" style="2"/>
    <col min="7685" max="7685" width="4" style="2" customWidth="1"/>
    <col min="7686" max="7686" width="24.42578125" style="2" customWidth="1"/>
    <col min="7687" max="7687" width="19.85546875" style="2" customWidth="1"/>
    <col min="7688" max="7688" width="9.28515625" style="2" customWidth="1"/>
    <col min="7689" max="7689" width="10" style="2" customWidth="1"/>
    <col min="7690" max="7690" width="8.42578125" style="2" customWidth="1"/>
    <col min="7691" max="7691" width="12.28515625" style="2" customWidth="1"/>
    <col min="7692" max="7692" width="7.5703125" style="2" customWidth="1"/>
    <col min="7693" max="7693" width="7.85546875" style="2" customWidth="1"/>
    <col min="7694" max="7694" width="8.28515625" style="2" customWidth="1"/>
    <col min="7695" max="7695" width="9.140625" style="2"/>
    <col min="7696" max="7698" width="7.5703125" style="2" customWidth="1"/>
    <col min="7699" max="7699" width="10.28515625" style="2" customWidth="1"/>
    <col min="7700" max="7700" width="10.5703125" style="2" customWidth="1"/>
    <col min="7701" max="7701" width="11.140625" style="2" customWidth="1"/>
    <col min="7702" max="7702" width="10.42578125" style="2" customWidth="1"/>
    <col min="7703" max="7712" width="11" style="2" customWidth="1"/>
    <col min="7713" max="7713" width="9.140625" style="2" customWidth="1"/>
    <col min="7714" max="7714" width="6.85546875" style="2" customWidth="1"/>
    <col min="7715" max="7715" width="15" style="2" bestFit="1" customWidth="1"/>
    <col min="7716" max="7940" width="9.140625" style="2"/>
    <col min="7941" max="7941" width="4" style="2" customWidth="1"/>
    <col min="7942" max="7942" width="24.42578125" style="2" customWidth="1"/>
    <col min="7943" max="7943" width="19.85546875" style="2" customWidth="1"/>
    <col min="7944" max="7944" width="9.28515625" style="2" customWidth="1"/>
    <col min="7945" max="7945" width="10" style="2" customWidth="1"/>
    <col min="7946" max="7946" width="8.42578125" style="2" customWidth="1"/>
    <col min="7947" max="7947" width="12.28515625" style="2" customWidth="1"/>
    <col min="7948" max="7948" width="7.5703125" style="2" customWidth="1"/>
    <col min="7949" max="7949" width="7.85546875" style="2" customWidth="1"/>
    <col min="7950" max="7950" width="8.28515625" style="2" customWidth="1"/>
    <col min="7951" max="7951" width="9.140625" style="2"/>
    <col min="7952" max="7954" width="7.5703125" style="2" customWidth="1"/>
    <col min="7955" max="7955" width="10.28515625" style="2" customWidth="1"/>
    <col min="7956" max="7956" width="10.5703125" style="2" customWidth="1"/>
    <col min="7957" max="7957" width="11.140625" style="2" customWidth="1"/>
    <col min="7958" max="7958" width="10.42578125" style="2" customWidth="1"/>
    <col min="7959" max="7968" width="11" style="2" customWidth="1"/>
    <col min="7969" max="7969" width="9.140625" style="2" customWidth="1"/>
    <col min="7970" max="7970" width="6.85546875" style="2" customWidth="1"/>
    <col min="7971" max="7971" width="15" style="2" bestFit="1" customWidth="1"/>
    <col min="7972" max="8196" width="9.140625" style="2"/>
    <col min="8197" max="8197" width="4" style="2" customWidth="1"/>
    <col min="8198" max="8198" width="24.42578125" style="2" customWidth="1"/>
    <col min="8199" max="8199" width="19.85546875" style="2" customWidth="1"/>
    <col min="8200" max="8200" width="9.28515625" style="2" customWidth="1"/>
    <col min="8201" max="8201" width="10" style="2" customWidth="1"/>
    <col min="8202" max="8202" width="8.42578125" style="2" customWidth="1"/>
    <col min="8203" max="8203" width="12.28515625" style="2" customWidth="1"/>
    <col min="8204" max="8204" width="7.5703125" style="2" customWidth="1"/>
    <col min="8205" max="8205" width="7.85546875" style="2" customWidth="1"/>
    <col min="8206" max="8206" width="8.28515625" style="2" customWidth="1"/>
    <col min="8207" max="8207" width="9.140625" style="2"/>
    <col min="8208" max="8210" width="7.5703125" style="2" customWidth="1"/>
    <col min="8211" max="8211" width="10.28515625" style="2" customWidth="1"/>
    <col min="8212" max="8212" width="10.5703125" style="2" customWidth="1"/>
    <col min="8213" max="8213" width="11.140625" style="2" customWidth="1"/>
    <col min="8214" max="8214" width="10.42578125" style="2" customWidth="1"/>
    <col min="8215" max="8224" width="11" style="2" customWidth="1"/>
    <col min="8225" max="8225" width="9.140625" style="2" customWidth="1"/>
    <col min="8226" max="8226" width="6.85546875" style="2" customWidth="1"/>
    <col min="8227" max="8227" width="15" style="2" bestFit="1" customWidth="1"/>
    <col min="8228" max="8452" width="9.140625" style="2"/>
    <col min="8453" max="8453" width="4" style="2" customWidth="1"/>
    <col min="8454" max="8454" width="24.42578125" style="2" customWidth="1"/>
    <col min="8455" max="8455" width="19.85546875" style="2" customWidth="1"/>
    <col min="8456" max="8456" width="9.28515625" style="2" customWidth="1"/>
    <col min="8457" max="8457" width="10" style="2" customWidth="1"/>
    <col min="8458" max="8458" width="8.42578125" style="2" customWidth="1"/>
    <col min="8459" max="8459" width="12.28515625" style="2" customWidth="1"/>
    <col min="8460" max="8460" width="7.5703125" style="2" customWidth="1"/>
    <col min="8461" max="8461" width="7.85546875" style="2" customWidth="1"/>
    <col min="8462" max="8462" width="8.28515625" style="2" customWidth="1"/>
    <col min="8463" max="8463" width="9.140625" style="2"/>
    <col min="8464" max="8466" width="7.5703125" style="2" customWidth="1"/>
    <col min="8467" max="8467" width="10.28515625" style="2" customWidth="1"/>
    <col min="8468" max="8468" width="10.5703125" style="2" customWidth="1"/>
    <col min="8469" max="8469" width="11.140625" style="2" customWidth="1"/>
    <col min="8470" max="8470" width="10.42578125" style="2" customWidth="1"/>
    <col min="8471" max="8480" width="11" style="2" customWidth="1"/>
    <col min="8481" max="8481" width="9.140625" style="2" customWidth="1"/>
    <col min="8482" max="8482" width="6.85546875" style="2" customWidth="1"/>
    <col min="8483" max="8483" width="15" style="2" bestFit="1" customWidth="1"/>
    <col min="8484" max="8708" width="9.140625" style="2"/>
    <col min="8709" max="8709" width="4" style="2" customWidth="1"/>
    <col min="8710" max="8710" width="24.42578125" style="2" customWidth="1"/>
    <col min="8711" max="8711" width="19.85546875" style="2" customWidth="1"/>
    <col min="8712" max="8712" width="9.28515625" style="2" customWidth="1"/>
    <col min="8713" max="8713" width="10" style="2" customWidth="1"/>
    <col min="8714" max="8714" width="8.42578125" style="2" customWidth="1"/>
    <col min="8715" max="8715" width="12.28515625" style="2" customWidth="1"/>
    <col min="8716" max="8716" width="7.5703125" style="2" customWidth="1"/>
    <col min="8717" max="8717" width="7.85546875" style="2" customWidth="1"/>
    <col min="8718" max="8718" width="8.28515625" style="2" customWidth="1"/>
    <col min="8719" max="8719" width="9.140625" style="2"/>
    <col min="8720" max="8722" width="7.5703125" style="2" customWidth="1"/>
    <col min="8723" max="8723" width="10.28515625" style="2" customWidth="1"/>
    <col min="8724" max="8724" width="10.5703125" style="2" customWidth="1"/>
    <col min="8725" max="8725" width="11.140625" style="2" customWidth="1"/>
    <col min="8726" max="8726" width="10.42578125" style="2" customWidth="1"/>
    <col min="8727" max="8736" width="11" style="2" customWidth="1"/>
    <col min="8737" max="8737" width="9.140625" style="2" customWidth="1"/>
    <col min="8738" max="8738" width="6.85546875" style="2" customWidth="1"/>
    <col min="8739" max="8739" width="15" style="2" bestFit="1" customWidth="1"/>
    <col min="8740" max="8964" width="9.140625" style="2"/>
    <col min="8965" max="8965" width="4" style="2" customWidth="1"/>
    <col min="8966" max="8966" width="24.42578125" style="2" customWidth="1"/>
    <col min="8967" max="8967" width="19.85546875" style="2" customWidth="1"/>
    <col min="8968" max="8968" width="9.28515625" style="2" customWidth="1"/>
    <col min="8969" max="8969" width="10" style="2" customWidth="1"/>
    <col min="8970" max="8970" width="8.42578125" style="2" customWidth="1"/>
    <col min="8971" max="8971" width="12.28515625" style="2" customWidth="1"/>
    <col min="8972" max="8972" width="7.5703125" style="2" customWidth="1"/>
    <col min="8973" max="8973" width="7.85546875" style="2" customWidth="1"/>
    <col min="8974" max="8974" width="8.28515625" style="2" customWidth="1"/>
    <col min="8975" max="8975" width="9.140625" style="2"/>
    <col min="8976" max="8978" width="7.5703125" style="2" customWidth="1"/>
    <col min="8979" max="8979" width="10.28515625" style="2" customWidth="1"/>
    <col min="8980" max="8980" width="10.5703125" style="2" customWidth="1"/>
    <col min="8981" max="8981" width="11.140625" style="2" customWidth="1"/>
    <col min="8982" max="8982" width="10.42578125" style="2" customWidth="1"/>
    <col min="8983" max="8992" width="11" style="2" customWidth="1"/>
    <col min="8993" max="8993" width="9.140625" style="2" customWidth="1"/>
    <col min="8994" max="8994" width="6.85546875" style="2" customWidth="1"/>
    <col min="8995" max="8995" width="15" style="2" bestFit="1" customWidth="1"/>
    <col min="8996" max="9220" width="9.140625" style="2"/>
    <col min="9221" max="9221" width="4" style="2" customWidth="1"/>
    <col min="9222" max="9222" width="24.42578125" style="2" customWidth="1"/>
    <col min="9223" max="9223" width="19.85546875" style="2" customWidth="1"/>
    <col min="9224" max="9224" width="9.28515625" style="2" customWidth="1"/>
    <col min="9225" max="9225" width="10" style="2" customWidth="1"/>
    <col min="9226" max="9226" width="8.42578125" style="2" customWidth="1"/>
    <col min="9227" max="9227" width="12.28515625" style="2" customWidth="1"/>
    <col min="9228" max="9228" width="7.5703125" style="2" customWidth="1"/>
    <col min="9229" max="9229" width="7.85546875" style="2" customWidth="1"/>
    <col min="9230" max="9230" width="8.28515625" style="2" customWidth="1"/>
    <col min="9231" max="9231" width="9.140625" style="2"/>
    <col min="9232" max="9234" width="7.5703125" style="2" customWidth="1"/>
    <col min="9235" max="9235" width="10.28515625" style="2" customWidth="1"/>
    <col min="9236" max="9236" width="10.5703125" style="2" customWidth="1"/>
    <col min="9237" max="9237" width="11.140625" style="2" customWidth="1"/>
    <col min="9238" max="9238" width="10.42578125" style="2" customWidth="1"/>
    <col min="9239" max="9248" width="11" style="2" customWidth="1"/>
    <col min="9249" max="9249" width="9.140625" style="2" customWidth="1"/>
    <col min="9250" max="9250" width="6.85546875" style="2" customWidth="1"/>
    <col min="9251" max="9251" width="15" style="2" bestFit="1" customWidth="1"/>
    <col min="9252" max="9476" width="9.140625" style="2"/>
    <col min="9477" max="9477" width="4" style="2" customWidth="1"/>
    <col min="9478" max="9478" width="24.42578125" style="2" customWidth="1"/>
    <col min="9479" max="9479" width="19.85546875" style="2" customWidth="1"/>
    <col min="9480" max="9480" width="9.28515625" style="2" customWidth="1"/>
    <col min="9481" max="9481" width="10" style="2" customWidth="1"/>
    <col min="9482" max="9482" width="8.42578125" style="2" customWidth="1"/>
    <col min="9483" max="9483" width="12.28515625" style="2" customWidth="1"/>
    <col min="9484" max="9484" width="7.5703125" style="2" customWidth="1"/>
    <col min="9485" max="9485" width="7.85546875" style="2" customWidth="1"/>
    <col min="9486" max="9486" width="8.28515625" style="2" customWidth="1"/>
    <col min="9487" max="9487" width="9.140625" style="2"/>
    <col min="9488" max="9490" width="7.5703125" style="2" customWidth="1"/>
    <col min="9491" max="9491" width="10.28515625" style="2" customWidth="1"/>
    <col min="9492" max="9492" width="10.5703125" style="2" customWidth="1"/>
    <col min="9493" max="9493" width="11.140625" style="2" customWidth="1"/>
    <col min="9494" max="9494" width="10.42578125" style="2" customWidth="1"/>
    <col min="9495" max="9504" width="11" style="2" customWidth="1"/>
    <col min="9505" max="9505" width="9.140625" style="2" customWidth="1"/>
    <col min="9506" max="9506" width="6.85546875" style="2" customWidth="1"/>
    <col min="9507" max="9507" width="15" style="2" bestFit="1" customWidth="1"/>
    <col min="9508" max="9732" width="9.140625" style="2"/>
    <col min="9733" max="9733" width="4" style="2" customWidth="1"/>
    <col min="9734" max="9734" width="24.42578125" style="2" customWidth="1"/>
    <col min="9735" max="9735" width="19.85546875" style="2" customWidth="1"/>
    <col min="9736" max="9736" width="9.28515625" style="2" customWidth="1"/>
    <col min="9737" max="9737" width="10" style="2" customWidth="1"/>
    <col min="9738" max="9738" width="8.42578125" style="2" customWidth="1"/>
    <col min="9739" max="9739" width="12.28515625" style="2" customWidth="1"/>
    <col min="9740" max="9740" width="7.5703125" style="2" customWidth="1"/>
    <col min="9741" max="9741" width="7.85546875" style="2" customWidth="1"/>
    <col min="9742" max="9742" width="8.28515625" style="2" customWidth="1"/>
    <col min="9743" max="9743" width="9.140625" style="2"/>
    <col min="9744" max="9746" width="7.5703125" style="2" customWidth="1"/>
    <col min="9747" max="9747" width="10.28515625" style="2" customWidth="1"/>
    <col min="9748" max="9748" width="10.5703125" style="2" customWidth="1"/>
    <col min="9749" max="9749" width="11.140625" style="2" customWidth="1"/>
    <col min="9750" max="9750" width="10.42578125" style="2" customWidth="1"/>
    <col min="9751" max="9760" width="11" style="2" customWidth="1"/>
    <col min="9761" max="9761" width="9.140625" style="2" customWidth="1"/>
    <col min="9762" max="9762" width="6.85546875" style="2" customWidth="1"/>
    <col min="9763" max="9763" width="15" style="2" bestFit="1" customWidth="1"/>
    <col min="9764" max="9988" width="9.140625" style="2"/>
    <col min="9989" max="9989" width="4" style="2" customWidth="1"/>
    <col min="9990" max="9990" width="24.42578125" style="2" customWidth="1"/>
    <col min="9991" max="9991" width="19.85546875" style="2" customWidth="1"/>
    <col min="9992" max="9992" width="9.28515625" style="2" customWidth="1"/>
    <col min="9993" max="9993" width="10" style="2" customWidth="1"/>
    <col min="9994" max="9994" width="8.42578125" style="2" customWidth="1"/>
    <col min="9995" max="9995" width="12.28515625" style="2" customWidth="1"/>
    <col min="9996" max="9996" width="7.5703125" style="2" customWidth="1"/>
    <col min="9997" max="9997" width="7.85546875" style="2" customWidth="1"/>
    <col min="9998" max="9998" width="8.28515625" style="2" customWidth="1"/>
    <col min="9999" max="9999" width="9.140625" style="2"/>
    <col min="10000" max="10002" width="7.5703125" style="2" customWidth="1"/>
    <col min="10003" max="10003" width="10.28515625" style="2" customWidth="1"/>
    <col min="10004" max="10004" width="10.5703125" style="2" customWidth="1"/>
    <col min="10005" max="10005" width="11.140625" style="2" customWidth="1"/>
    <col min="10006" max="10006" width="10.42578125" style="2" customWidth="1"/>
    <col min="10007" max="10016" width="11" style="2" customWidth="1"/>
    <col min="10017" max="10017" width="9.140625" style="2" customWidth="1"/>
    <col min="10018" max="10018" width="6.85546875" style="2" customWidth="1"/>
    <col min="10019" max="10019" width="15" style="2" bestFit="1" customWidth="1"/>
    <col min="10020" max="10244" width="9.140625" style="2"/>
    <col min="10245" max="10245" width="4" style="2" customWidth="1"/>
    <col min="10246" max="10246" width="24.42578125" style="2" customWidth="1"/>
    <col min="10247" max="10247" width="19.85546875" style="2" customWidth="1"/>
    <col min="10248" max="10248" width="9.28515625" style="2" customWidth="1"/>
    <col min="10249" max="10249" width="10" style="2" customWidth="1"/>
    <col min="10250" max="10250" width="8.42578125" style="2" customWidth="1"/>
    <col min="10251" max="10251" width="12.28515625" style="2" customWidth="1"/>
    <col min="10252" max="10252" width="7.5703125" style="2" customWidth="1"/>
    <col min="10253" max="10253" width="7.85546875" style="2" customWidth="1"/>
    <col min="10254" max="10254" width="8.28515625" style="2" customWidth="1"/>
    <col min="10255" max="10255" width="9.140625" style="2"/>
    <col min="10256" max="10258" width="7.5703125" style="2" customWidth="1"/>
    <col min="10259" max="10259" width="10.28515625" style="2" customWidth="1"/>
    <col min="10260" max="10260" width="10.5703125" style="2" customWidth="1"/>
    <col min="10261" max="10261" width="11.140625" style="2" customWidth="1"/>
    <col min="10262" max="10262" width="10.42578125" style="2" customWidth="1"/>
    <col min="10263" max="10272" width="11" style="2" customWidth="1"/>
    <col min="10273" max="10273" width="9.140625" style="2" customWidth="1"/>
    <col min="10274" max="10274" width="6.85546875" style="2" customWidth="1"/>
    <col min="10275" max="10275" width="15" style="2" bestFit="1" customWidth="1"/>
    <col min="10276" max="10500" width="9.140625" style="2"/>
    <col min="10501" max="10501" width="4" style="2" customWidth="1"/>
    <col min="10502" max="10502" width="24.42578125" style="2" customWidth="1"/>
    <col min="10503" max="10503" width="19.85546875" style="2" customWidth="1"/>
    <col min="10504" max="10504" width="9.28515625" style="2" customWidth="1"/>
    <col min="10505" max="10505" width="10" style="2" customWidth="1"/>
    <col min="10506" max="10506" width="8.42578125" style="2" customWidth="1"/>
    <col min="10507" max="10507" width="12.28515625" style="2" customWidth="1"/>
    <col min="10508" max="10508" width="7.5703125" style="2" customWidth="1"/>
    <col min="10509" max="10509" width="7.85546875" style="2" customWidth="1"/>
    <col min="10510" max="10510" width="8.28515625" style="2" customWidth="1"/>
    <col min="10511" max="10511" width="9.140625" style="2"/>
    <col min="10512" max="10514" width="7.5703125" style="2" customWidth="1"/>
    <col min="10515" max="10515" width="10.28515625" style="2" customWidth="1"/>
    <col min="10516" max="10516" width="10.5703125" style="2" customWidth="1"/>
    <col min="10517" max="10517" width="11.140625" style="2" customWidth="1"/>
    <col min="10518" max="10518" width="10.42578125" style="2" customWidth="1"/>
    <col min="10519" max="10528" width="11" style="2" customWidth="1"/>
    <col min="10529" max="10529" width="9.140625" style="2" customWidth="1"/>
    <col min="10530" max="10530" width="6.85546875" style="2" customWidth="1"/>
    <col min="10531" max="10531" width="15" style="2" bestFit="1" customWidth="1"/>
    <col min="10532" max="10756" width="9.140625" style="2"/>
    <col min="10757" max="10757" width="4" style="2" customWidth="1"/>
    <col min="10758" max="10758" width="24.42578125" style="2" customWidth="1"/>
    <col min="10759" max="10759" width="19.85546875" style="2" customWidth="1"/>
    <col min="10760" max="10760" width="9.28515625" style="2" customWidth="1"/>
    <col min="10761" max="10761" width="10" style="2" customWidth="1"/>
    <col min="10762" max="10762" width="8.42578125" style="2" customWidth="1"/>
    <col min="10763" max="10763" width="12.28515625" style="2" customWidth="1"/>
    <col min="10764" max="10764" width="7.5703125" style="2" customWidth="1"/>
    <col min="10765" max="10765" width="7.85546875" style="2" customWidth="1"/>
    <col min="10766" max="10766" width="8.28515625" style="2" customWidth="1"/>
    <col min="10767" max="10767" width="9.140625" style="2"/>
    <col min="10768" max="10770" width="7.5703125" style="2" customWidth="1"/>
    <col min="10771" max="10771" width="10.28515625" style="2" customWidth="1"/>
    <col min="10772" max="10772" width="10.5703125" style="2" customWidth="1"/>
    <col min="10773" max="10773" width="11.140625" style="2" customWidth="1"/>
    <col min="10774" max="10774" width="10.42578125" style="2" customWidth="1"/>
    <col min="10775" max="10784" width="11" style="2" customWidth="1"/>
    <col min="10785" max="10785" width="9.140625" style="2" customWidth="1"/>
    <col min="10786" max="10786" width="6.85546875" style="2" customWidth="1"/>
    <col min="10787" max="10787" width="15" style="2" bestFit="1" customWidth="1"/>
    <col min="10788" max="11012" width="9.140625" style="2"/>
    <col min="11013" max="11013" width="4" style="2" customWidth="1"/>
    <col min="11014" max="11014" width="24.42578125" style="2" customWidth="1"/>
    <col min="11015" max="11015" width="19.85546875" style="2" customWidth="1"/>
    <col min="11016" max="11016" width="9.28515625" style="2" customWidth="1"/>
    <col min="11017" max="11017" width="10" style="2" customWidth="1"/>
    <col min="11018" max="11018" width="8.42578125" style="2" customWidth="1"/>
    <col min="11019" max="11019" width="12.28515625" style="2" customWidth="1"/>
    <col min="11020" max="11020" width="7.5703125" style="2" customWidth="1"/>
    <col min="11021" max="11021" width="7.85546875" style="2" customWidth="1"/>
    <col min="11022" max="11022" width="8.28515625" style="2" customWidth="1"/>
    <col min="11023" max="11023" width="9.140625" style="2"/>
    <col min="11024" max="11026" width="7.5703125" style="2" customWidth="1"/>
    <col min="11027" max="11027" width="10.28515625" style="2" customWidth="1"/>
    <col min="11028" max="11028" width="10.5703125" style="2" customWidth="1"/>
    <col min="11029" max="11029" width="11.140625" style="2" customWidth="1"/>
    <col min="11030" max="11030" width="10.42578125" style="2" customWidth="1"/>
    <col min="11031" max="11040" width="11" style="2" customWidth="1"/>
    <col min="11041" max="11041" width="9.140625" style="2" customWidth="1"/>
    <col min="11042" max="11042" width="6.85546875" style="2" customWidth="1"/>
    <col min="11043" max="11043" width="15" style="2" bestFit="1" customWidth="1"/>
    <col min="11044" max="11268" width="9.140625" style="2"/>
    <col min="11269" max="11269" width="4" style="2" customWidth="1"/>
    <col min="11270" max="11270" width="24.42578125" style="2" customWidth="1"/>
    <col min="11271" max="11271" width="19.85546875" style="2" customWidth="1"/>
    <col min="11272" max="11272" width="9.28515625" style="2" customWidth="1"/>
    <col min="11273" max="11273" width="10" style="2" customWidth="1"/>
    <col min="11274" max="11274" width="8.42578125" style="2" customWidth="1"/>
    <col min="11275" max="11275" width="12.28515625" style="2" customWidth="1"/>
    <col min="11276" max="11276" width="7.5703125" style="2" customWidth="1"/>
    <col min="11277" max="11277" width="7.85546875" style="2" customWidth="1"/>
    <col min="11278" max="11278" width="8.28515625" style="2" customWidth="1"/>
    <col min="11279" max="11279" width="9.140625" style="2"/>
    <col min="11280" max="11282" width="7.5703125" style="2" customWidth="1"/>
    <col min="11283" max="11283" width="10.28515625" style="2" customWidth="1"/>
    <col min="11284" max="11284" width="10.5703125" style="2" customWidth="1"/>
    <col min="11285" max="11285" width="11.140625" style="2" customWidth="1"/>
    <col min="11286" max="11286" width="10.42578125" style="2" customWidth="1"/>
    <col min="11287" max="11296" width="11" style="2" customWidth="1"/>
    <col min="11297" max="11297" width="9.140625" style="2" customWidth="1"/>
    <col min="11298" max="11298" width="6.85546875" style="2" customWidth="1"/>
    <col min="11299" max="11299" width="15" style="2" bestFit="1" customWidth="1"/>
    <col min="11300" max="11524" width="9.140625" style="2"/>
    <col min="11525" max="11525" width="4" style="2" customWidth="1"/>
    <col min="11526" max="11526" width="24.42578125" style="2" customWidth="1"/>
    <col min="11527" max="11527" width="19.85546875" style="2" customWidth="1"/>
    <col min="11528" max="11528" width="9.28515625" style="2" customWidth="1"/>
    <col min="11529" max="11529" width="10" style="2" customWidth="1"/>
    <col min="11530" max="11530" width="8.42578125" style="2" customWidth="1"/>
    <col min="11531" max="11531" width="12.28515625" style="2" customWidth="1"/>
    <col min="11532" max="11532" width="7.5703125" style="2" customWidth="1"/>
    <col min="11533" max="11533" width="7.85546875" style="2" customWidth="1"/>
    <col min="11534" max="11534" width="8.28515625" style="2" customWidth="1"/>
    <col min="11535" max="11535" width="9.140625" style="2"/>
    <col min="11536" max="11538" width="7.5703125" style="2" customWidth="1"/>
    <col min="11539" max="11539" width="10.28515625" style="2" customWidth="1"/>
    <col min="11540" max="11540" width="10.5703125" style="2" customWidth="1"/>
    <col min="11541" max="11541" width="11.140625" style="2" customWidth="1"/>
    <col min="11542" max="11542" width="10.42578125" style="2" customWidth="1"/>
    <col min="11543" max="11552" width="11" style="2" customWidth="1"/>
    <col min="11553" max="11553" width="9.140625" style="2" customWidth="1"/>
    <col min="11554" max="11554" width="6.85546875" style="2" customWidth="1"/>
    <col min="11555" max="11555" width="15" style="2" bestFit="1" customWidth="1"/>
    <col min="11556" max="11780" width="9.140625" style="2"/>
    <col min="11781" max="11781" width="4" style="2" customWidth="1"/>
    <col min="11782" max="11782" width="24.42578125" style="2" customWidth="1"/>
    <col min="11783" max="11783" width="19.85546875" style="2" customWidth="1"/>
    <col min="11784" max="11784" width="9.28515625" style="2" customWidth="1"/>
    <col min="11785" max="11785" width="10" style="2" customWidth="1"/>
    <col min="11786" max="11786" width="8.42578125" style="2" customWidth="1"/>
    <col min="11787" max="11787" width="12.28515625" style="2" customWidth="1"/>
    <col min="11788" max="11788" width="7.5703125" style="2" customWidth="1"/>
    <col min="11789" max="11789" width="7.85546875" style="2" customWidth="1"/>
    <col min="11790" max="11790" width="8.28515625" style="2" customWidth="1"/>
    <col min="11791" max="11791" width="9.140625" style="2"/>
    <col min="11792" max="11794" width="7.5703125" style="2" customWidth="1"/>
    <col min="11795" max="11795" width="10.28515625" style="2" customWidth="1"/>
    <col min="11796" max="11796" width="10.5703125" style="2" customWidth="1"/>
    <col min="11797" max="11797" width="11.140625" style="2" customWidth="1"/>
    <col min="11798" max="11798" width="10.42578125" style="2" customWidth="1"/>
    <col min="11799" max="11808" width="11" style="2" customWidth="1"/>
    <col min="11809" max="11809" width="9.140625" style="2" customWidth="1"/>
    <col min="11810" max="11810" width="6.85546875" style="2" customWidth="1"/>
    <col min="11811" max="11811" width="15" style="2" bestFit="1" customWidth="1"/>
    <col min="11812" max="12036" width="9.140625" style="2"/>
    <col min="12037" max="12037" width="4" style="2" customWidth="1"/>
    <col min="12038" max="12038" width="24.42578125" style="2" customWidth="1"/>
    <col min="12039" max="12039" width="19.85546875" style="2" customWidth="1"/>
    <col min="12040" max="12040" width="9.28515625" style="2" customWidth="1"/>
    <col min="12041" max="12041" width="10" style="2" customWidth="1"/>
    <col min="12042" max="12042" width="8.42578125" style="2" customWidth="1"/>
    <col min="12043" max="12043" width="12.28515625" style="2" customWidth="1"/>
    <col min="12044" max="12044" width="7.5703125" style="2" customWidth="1"/>
    <col min="12045" max="12045" width="7.85546875" style="2" customWidth="1"/>
    <col min="12046" max="12046" width="8.28515625" style="2" customWidth="1"/>
    <col min="12047" max="12047" width="9.140625" style="2"/>
    <col min="12048" max="12050" width="7.5703125" style="2" customWidth="1"/>
    <col min="12051" max="12051" width="10.28515625" style="2" customWidth="1"/>
    <col min="12052" max="12052" width="10.5703125" style="2" customWidth="1"/>
    <col min="12053" max="12053" width="11.140625" style="2" customWidth="1"/>
    <col min="12054" max="12054" width="10.42578125" style="2" customWidth="1"/>
    <col min="12055" max="12064" width="11" style="2" customWidth="1"/>
    <col min="12065" max="12065" width="9.140625" style="2" customWidth="1"/>
    <col min="12066" max="12066" width="6.85546875" style="2" customWidth="1"/>
    <col min="12067" max="12067" width="15" style="2" bestFit="1" customWidth="1"/>
    <col min="12068" max="12292" width="9.140625" style="2"/>
    <col min="12293" max="12293" width="4" style="2" customWidth="1"/>
    <col min="12294" max="12294" width="24.42578125" style="2" customWidth="1"/>
    <col min="12295" max="12295" width="19.85546875" style="2" customWidth="1"/>
    <col min="12296" max="12296" width="9.28515625" style="2" customWidth="1"/>
    <col min="12297" max="12297" width="10" style="2" customWidth="1"/>
    <col min="12298" max="12298" width="8.42578125" style="2" customWidth="1"/>
    <col min="12299" max="12299" width="12.28515625" style="2" customWidth="1"/>
    <col min="12300" max="12300" width="7.5703125" style="2" customWidth="1"/>
    <col min="12301" max="12301" width="7.85546875" style="2" customWidth="1"/>
    <col min="12302" max="12302" width="8.28515625" style="2" customWidth="1"/>
    <col min="12303" max="12303" width="9.140625" style="2"/>
    <col min="12304" max="12306" width="7.5703125" style="2" customWidth="1"/>
    <col min="12307" max="12307" width="10.28515625" style="2" customWidth="1"/>
    <col min="12308" max="12308" width="10.5703125" style="2" customWidth="1"/>
    <col min="12309" max="12309" width="11.140625" style="2" customWidth="1"/>
    <col min="12310" max="12310" width="10.42578125" style="2" customWidth="1"/>
    <col min="12311" max="12320" width="11" style="2" customWidth="1"/>
    <col min="12321" max="12321" width="9.140625" style="2" customWidth="1"/>
    <col min="12322" max="12322" width="6.85546875" style="2" customWidth="1"/>
    <col min="12323" max="12323" width="15" style="2" bestFit="1" customWidth="1"/>
    <col min="12324" max="12548" width="9.140625" style="2"/>
    <col min="12549" max="12549" width="4" style="2" customWidth="1"/>
    <col min="12550" max="12550" width="24.42578125" style="2" customWidth="1"/>
    <col min="12551" max="12551" width="19.85546875" style="2" customWidth="1"/>
    <col min="12552" max="12552" width="9.28515625" style="2" customWidth="1"/>
    <col min="12553" max="12553" width="10" style="2" customWidth="1"/>
    <col min="12554" max="12554" width="8.42578125" style="2" customWidth="1"/>
    <col min="12555" max="12555" width="12.28515625" style="2" customWidth="1"/>
    <col min="12556" max="12556" width="7.5703125" style="2" customWidth="1"/>
    <col min="12557" max="12557" width="7.85546875" style="2" customWidth="1"/>
    <col min="12558" max="12558" width="8.28515625" style="2" customWidth="1"/>
    <col min="12559" max="12559" width="9.140625" style="2"/>
    <col min="12560" max="12562" width="7.5703125" style="2" customWidth="1"/>
    <col min="12563" max="12563" width="10.28515625" style="2" customWidth="1"/>
    <col min="12564" max="12564" width="10.5703125" style="2" customWidth="1"/>
    <col min="12565" max="12565" width="11.140625" style="2" customWidth="1"/>
    <col min="12566" max="12566" width="10.42578125" style="2" customWidth="1"/>
    <col min="12567" max="12576" width="11" style="2" customWidth="1"/>
    <col min="12577" max="12577" width="9.140625" style="2" customWidth="1"/>
    <col min="12578" max="12578" width="6.85546875" style="2" customWidth="1"/>
    <col min="12579" max="12579" width="15" style="2" bestFit="1" customWidth="1"/>
    <col min="12580" max="12804" width="9.140625" style="2"/>
    <col min="12805" max="12805" width="4" style="2" customWidth="1"/>
    <col min="12806" max="12806" width="24.42578125" style="2" customWidth="1"/>
    <col min="12807" max="12807" width="19.85546875" style="2" customWidth="1"/>
    <col min="12808" max="12808" width="9.28515625" style="2" customWidth="1"/>
    <col min="12809" max="12809" width="10" style="2" customWidth="1"/>
    <col min="12810" max="12810" width="8.42578125" style="2" customWidth="1"/>
    <col min="12811" max="12811" width="12.28515625" style="2" customWidth="1"/>
    <col min="12812" max="12812" width="7.5703125" style="2" customWidth="1"/>
    <col min="12813" max="12813" width="7.85546875" style="2" customWidth="1"/>
    <col min="12814" max="12814" width="8.28515625" style="2" customWidth="1"/>
    <col min="12815" max="12815" width="9.140625" style="2"/>
    <col min="12816" max="12818" width="7.5703125" style="2" customWidth="1"/>
    <col min="12819" max="12819" width="10.28515625" style="2" customWidth="1"/>
    <col min="12820" max="12820" width="10.5703125" style="2" customWidth="1"/>
    <col min="12821" max="12821" width="11.140625" style="2" customWidth="1"/>
    <col min="12822" max="12822" width="10.42578125" style="2" customWidth="1"/>
    <col min="12823" max="12832" width="11" style="2" customWidth="1"/>
    <col min="12833" max="12833" width="9.140625" style="2" customWidth="1"/>
    <col min="12834" max="12834" width="6.85546875" style="2" customWidth="1"/>
    <col min="12835" max="12835" width="15" style="2" bestFit="1" customWidth="1"/>
    <col min="12836" max="13060" width="9.140625" style="2"/>
    <col min="13061" max="13061" width="4" style="2" customWidth="1"/>
    <col min="13062" max="13062" width="24.42578125" style="2" customWidth="1"/>
    <col min="13063" max="13063" width="19.85546875" style="2" customWidth="1"/>
    <col min="13064" max="13064" width="9.28515625" style="2" customWidth="1"/>
    <col min="13065" max="13065" width="10" style="2" customWidth="1"/>
    <col min="13066" max="13066" width="8.42578125" style="2" customWidth="1"/>
    <col min="13067" max="13067" width="12.28515625" style="2" customWidth="1"/>
    <col min="13068" max="13068" width="7.5703125" style="2" customWidth="1"/>
    <col min="13069" max="13069" width="7.85546875" style="2" customWidth="1"/>
    <col min="13070" max="13070" width="8.28515625" style="2" customWidth="1"/>
    <col min="13071" max="13071" width="9.140625" style="2"/>
    <col min="13072" max="13074" width="7.5703125" style="2" customWidth="1"/>
    <col min="13075" max="13075" width="10.28515625" style="2" customWidth="1"/>
    <col min="13076" max="13076" width="10.5703125" style="2" customWidth="1"/>
    <col min="13077" max="13077" width="11.140625" style="2" customWidth="1"/>
    <col min="13078" max="13078" width="10.42578125" style="2" customWidth="1"/>
    <col min="13079" max="13088" width="11" style="2" customWidth="1"/>
    <col min="13089" max="13089" width="9.140625" style="2" customWidth="1"/>
    <col min="13090" max="13090" width="6.85546875" style="2" customWidth="1"/>
    <col min="13091" max="13091" width="15" style="2" bestFit="1" customWidth="1"/>
    <col min="13092" max="13316" width="9.140625" style="2"/>
    <col min="13317" max="13317" width="4" style="2" customWidth="1"/>
    <col min="13318" max="13318" width="24.42578125" style="2" customWidth="1"/>
    <col min="13319" max="13319" width="19.85546875" style="2" customWidth="1"/>
    <col min="13320" max="13320" width="9.28515625" style="2" customWidth="1"/>
    <col min="13321" max="13321" width="10" style="2" customWidth="1"/>
    <col min="13322" max="13322" width="8.42578125" style="2" customWidth="1"/>
    <col min="13323" max="13323" width="12.28515625" style="2" customWidth="1"/>
    <col min="13324" max="13324" width="7.5703125" style="2" customWidth="1"/>
    <col min="13325" max="13325" width="7.85546875" style="2" customWidth="1"/>
    <col min="13326" max="13326" width="8.28515625" style="2" customWidth="1"/>
    <col min="13327" max="13327" width="9.140625" style="2"/>
    <col min="13328" max="13330" width="7.5703125" style="2" customWidth="1"/>
    <col min="13331" max="13331" width="10.28515625" style="2" customWidth="1"/>
    <col min="13332" max="13332" width="10.5703125" style="2" customWidth="1"/>
    <col min="13333" max="13333" width="11.140625" style="2" customWidth="1"/>
    <col min="13334" max="13334" width="10.42578125" style="2" customWidth="1"/>
    <col min="13335" max="13344" width="11" style="2" customWidth="1"/>
    <col min="13345" max="13345" width="9.140625" style="2" customWidth="1"/>
    <col min="13346" max="13346" width="6.85546875" style="2" customWidth="1"/>
    <col min="13347" max="13347" width="15" style="2" bestFit="1" customWidth="1"/>
    <col min="13348" max="13572" width="9.140625" style="2"/>
    <col min="13573" max="13573" width="4" style="2" customWidth="1"/>
    <col min="13574" max="13574" width="24.42578125" style="2" customWidth="1"/>
    <col min="13575" max="13575" width="19.85546875" style="2" customWidth="1"/>
    <col min="13576" max="13576" width="9.28515625" style="2" customWidth="1"/>
    <col min="13577" max="13577" width="10" style="2" customWidth="1"/>
    <col min="13578" max="13578" width="8.42578125" style="2" customWidth="1"/>
    <col min="13579" max="13579" width="12.28515625" style="2" customWidth="1"/>
    <col min="13580" max="13580" width="7.5703125" style="2" customWidth="1"/>
    <col min="13581" max="13581" width="7.85546875" style="2" customWidth="1"/>
    <col min="13582" max="13582" width="8.28515625" style="2" customWidth="1"/>
    <col min="13583" max="13583" width="9.140625" style="2"/>
    <col min="13584" max="13586" width="7.5703125" style="2" customWidth="1"/>
    <col min="13587" max="13587" width="10.28515625" style="2" customWidth="1"/>
    <col min="13588" max="13588" width="10.5703125" style="2" customWidth="1"/>
    <col min="13589" max="13589" width="11.140625" style="2" customWidth="1"/>
    <col min="13590" max="13590" width="10.42578125" style="2" customWidth="1"/>
    <col min="13591" max="13600" width="11" style="2" customWidth="1"/>
    <col min="13601" max="13601" width="9.140625" style="2" customWidth="1"/>
    <col min="13602" max="13602" width="6.85546875" style="2" customWidth="1"/>
    <col min="13603" max="13603" width="15" style="2" bestFit="1" customWidth="1"/>
    <col min="13604" max="13828" width="9.140625" style="2"/>
    <col min="13829" max="13829" width="4" style="2" customWidth="1"/>
    <col min="13830" max="13830" width="24.42578125" style="2" customWidth="1"/>
    <col min="13831" max="13831" width="19.85546875" style="2" customWidth="1"/>
    <col min="13832" max="13832" width="9.28515625" style="2" customWidth="1"/>
    <col min="13833" max="13833" width="10" style="2" customWidth="1"/>
    <col min="13834" max="13834" width="8.42578125" style="2" customWidth="1"/>
    <col min="13835" max="13835" width="12.28515625" style="2" customWidth="1"/>
    <col min="13836" max="13836" width="7.5703125" style="2" customWidth="1"/>
    <col min="13837" max="13837" width="7.85546875" style="2" customWidth="1"/>
    <col min="13838" max="13838" width="8.28515625" style="2" customWidth="1"/>
    <col min="13839" max="13839" width="9.140625" style="2"/>
    <col min="13840" max="13842" width="7.5703125" style="2" customWidth="1"/>
    <col min="13843" max="13843" width="10.28515625" style="2" customWidth="1"/>
    <col min="13844" max="13844" width="10.5703125" style="2" customWidth="1"/>
    <col min="13845" max="13845" width="11.140625" style="2" customWidth="1"/>
    <col min="13846" max="13846" width="10.42578125" style="2" customWidth="1"/>
    <col min="13847" max="13856" width="11" style="2" customWidth="1"/>
    <col min="13857" max="13857" width="9.140625" style="2" customWidth="1"/>
    <col min="13858" max="13858" width="6.85546875" style="2" customWidth="1"/>
    <col min="13859" max="13859" width="15" style="2" bestFit="1" customWidth="1"/>
    <col min="13860" max="14084" width="9.140625" style="2"/>
    <col min="14085" max="14085" width="4" style="2" customWidth="1"/>
    <col min="14086" max="14086" width="24.42578125" style="2" customWidth="1"/>
    <col min="14087" max="14087" width="19.85546875" style="2" customWidth="1"/>
    <col min="14088" max="14088" width="9.28515625" style="2" customWidth="1"/>
    <col min="14089" max="14089" width="10" style="2" customWidth="1"/>
    <col min="14090" max="14090" width="8.42578125" style="2" customWidth="1"/>
    <col min="14091" max="14091" width="12.28515625" style="2" customWidth="1"/>
    <col min="14092" max="14092" width="7.5703125" style="2" customWidth="1"/>
    <col min="14093" max="14093" width="7.85546875" style="2" customWidth="1"/>
    <col min="14094" max="14094" width="8.28515625" style="2" customWidth="1"/>
    <col min="14095" max="14095" width="9.140625" style="2"/>
    <col min="14096" max="14098" width="7.5703125" style="2" customWidth="1"/>
    <col min="14099" max="14099" width="10.28515625" style="2" customWidth="1"/>
    <col min="14100" max="14100" width="10.5703125" style="2" customWidth="1"/>
    <col min="14101" max="14101" width="11.140625" style="2" customWidth="1"/>
    <col min="14102" max="14102" width="10.42578125" style="2" customWidth="1"/>
    <col min="14103" max="14112" width="11" style="2" customWidth="1"/>
    <col min="14113" max="14113" width="9.140625" style="2" customWidth="1"/>
    <col min="14114" max="14114" width="6.85546875" style="2" customWidth="1"/>
    <col min="14115" max="14115" width="15" style="2" bestFit="1" customWidth="1"/>
    <col min="14116" max="14340" width="9.140625" style="2"/>
    <col min="14341" max="14341" width="4" style="2" customWidth="1"/>
    <col min="14342" max="14342" width="24.42578125" style="2" customWidth="1"/>
    <col min="14343" max="14343" width="19.85546875" style="2" customWidth="1"/>
    <col min="14344" max="14344" width="9.28515625" style="2" customWidth="1"/>
    <col min="14345" max="14345" width="10" style="2" customWidth="1"/>
    <col min="14346" max="14346" width="8.42578125" style="2" customWidth="1"/>
    <col min="14347" max="14347" width="12.28515625" style="2" customWidth="1"/>
    <col min="14348" max="14348" width="7.5703125" style="2" customWidth="1"/>
    <col min="14349" max="14349" width="7.85546875" style="2" customWidth="1"/>
    <col min="14350" max="14350" width="8.28515625" style="2" customWidth="1"/>
    <col min="14351" max="14351" width="9.140625" style="2"/>
    <col min="14352" max="14354" width="7.5703125" style="2" customWidth="1"/>
    <col min="14355" max="14355" width="10.28515625" style="2" customWidth="1"/>
    <col min="14356" max="14356" width="10.5703125" style="2" customWidth="1"/>
    <col min="14357" max="14357" width="11.140625" style="2" customWidth="1"/>
    <col min="14358" max="14358" width="10.42578125" style="2" customWidth="1"/>
    <col min="14359" max="14368" width="11" style="2" customWidth="1"/>
    <col min="14369" max="14369" width="9.140625" style="2" customWidth="1"/>
    <col min="14370" max="14370" width="6.85546875" style="2" customWidth="1"/>
    <col min="14371" max="14371" width="15" style="2" bestFit="1" customWidth="1"/>
    <col min="14372" max="14596" width="9.140625" style="2"/>
    <col min="14597" max="14597" width="4" style="2" customWidth="1"/>
    <col min="14598" max="14598" width="24.42578125" style="2" customWidth="1"/>
    <col min="14599" max="14599" width="19.85546875" style="2" customWidth="1"/>
    <col min="14600" max="14600" width="9.28515625" style="2" customWidth="1"/>
    <col min="14601" max="14601" width="10" style="2" customWidth="1"/>
    <col min="14602" max="14602" width="8.42578125" style="2" customWidth="1"/>
    <col min="14603" max="14603" width="12.28515625" style="2" customWidth="1"/>
    <col min="14604" max="14604" width="7.5703125" style="2" customWidth="1"/>
    <col min="14605" max="14605" width="7.85546875" style="2" customWidth="1"/>
    <col min="14606" max="14606" width="8.28515625" style="2" customWidth="1"/>
    <col min="14607" max="14607" width="9.140625" style="2"/>
    <col min="14608" max="14610" width="7.5703125" style="2" customWidth="1"/>
    <col min="14611" max="14611" width="10.28515625" style="2" customWidth="1"/>
    <col min="14612" max="14612" width="10.5703125" style="2" customWidth="1"/>
    <col min="14613" max="14613" width="11.140625" style="2" customWidth="1"/>
    <col min="14614" max="14614" width="10.42578125" style="2" customWidth="1"/>
    <col min="14615" max="14624" width="11" style="2" customWidth="1"/>
    <col min="14625" max="14625" width="9.140625" style="2" customWidth="1"/>
    <col min="14626" max="14626" width="6.85546875" style="2" customWidth="1"/>
    <col min="14627" max="14627" width="15" style="2" bestFit="1" customWidth="1"/>
    <col min="14628" max="14852" width="9.140625" style="2"/>
    <col min="14853" max="14853" width="4" style="2" customWidth="1"/>
    <col min="14854" max="14854" width="24.42578125" style="2" customWidth="1"/>
    <col min="14855" max="14855" width="19.85546875" style="2" customWidth="1"/>
    <col min="14856" max="14856" width="9.28515625" style="2" customWidth="1"/>
    <col min="14857" max="14857" width="10" style="2" customWidth="1"/>
    <col min="14858" max="14858" width="8.42578125" style="2" customWidth="1"/>
    <col min="14859" max="14859" width="12.28515625" style="2" customWidth="1"/>
    <col min="14860" max="14860" width="7.5703125" style="2" customWidth="1"/>
    <col min="14861" max="14861" width="7.85546875" style="2" customWidth="1"/>
    <col min="14862" max="14862" width="8.28515625" style="2" customWidth="1"/>
    <col min="14863" max="14863" width="9.140625" style="2"/>
    <col min="14864" max="14866" width="7.5703125" style="2" customWidth="1"/>
    <col min="14867" max="14867" width="10.28515625" style="2" customWidth="1"/>
    <col min="14868" max="14868" width="10.5703125" style="2" customWidth="1"/>
    <col min="14869" max="14869" width="11.140625" style="2" customWidth="1"/>
    <col min="14870" max="14870" width="10.42578125" style="2" customWidth="1"/>
    <col min="14871" max="14880" width="11" style="2" customWidth="1"/>
    <col min="14881" max="14881" width="9.140625" style="2" customWidth="1"/>
    <col min="14882" max="14882" width="6.85546875" style="2" customWidth="1"/>
    <col min="14883" max="14883" width="15" style="2" bestFit="1" customWidth="1"/>
    <col min="14884" max="15108" width="9.140625" style="2"/>
    <col min="15109" max="15109" width="4" style="2" customWidth="1"/>
    <col min="15110" max="15110" width="24.42578125" style="2" customWidth="1"/>
    <col min="15111" max="15111" width="19.85546875" style="2" customWidth="1"/>
    <col min="15112" max="15112" width="9.28515625" style="2" customWidth="1"/>
    <col min="15113" max="15113" width="10" style="2" customWidth="1"/>
    <col min="15114" max="15114" width="8.42578125" style="2" customWidth="1"/>
    <col min="15115" max="15115" width="12.28515625" style="2" customWidth="1"/>
    <col min="15116" max="15116" width="7.5703125" style="2" customWidth="1"/>
    <col min="15117" max="15117" width="7.85546875" style="2" customWidth="1"/>
    <col min="15118" max="15118" width="8.28515625" style="2" customWidth="1"/>
    <col min="15119" max="15119" width="9.140625" style="2"/>
    <col min="15120" max="15122" width="7.5703125" style="2" customWidth="1"/>
    <col min="15123" max="15123" width="10.28515625" style="2" customWidth="1"/>
    <col min="15124" max="15124" width="10.5703125" style="2" customWidth="1"/>
    <col min="15125" max="15125" width="11.140625" style="2" customWidth="1"/>
    <col min="15126" max="15126" width="10.42578125" style="2" customWidth="1"/>
    <col min="15127" max="15136" width="11" style="2" customWidth="1"/>
    <col min="15137" max="15137" width="9.140625" style="2" customWidth="1"/>
    <col min="15138" max="15138" width="6.85546875" style="2" customWidth="1"/>
    <col min="15139" max="15139" width="15" style="2" bestFit="1" customWidth="1"/>
    <col min="15140" max="15364" width="9.140625" style="2"/>
    <col min="15365" max="15365" width="4" style="2" customWidth="1"/>
    <col min="15366" max="15366" width="24.42578125" style="2" customWidth="1"/>
    <col min="15367" max="15367" width="19.85546875" style="2" customWidth="1"/>
    <col min="15368" max="15368" width="9.28515625" style="2" customWidth="1"/>
    <col min="15369" max="15369" width="10" style="2" customWidth="1"/>
    <col min="15370" max="15370" width="8.42578125" style="2" customWidth="1"/>
    <col min="15371" max="15371" width="12.28515625" style="2" customWidth="1"/>
    <col min="15372" max="15372" width="7.5703125" style="2" customWidth="1"/>
    <col min="15373" max="15373" width="7.85546875" style="2" customWidth="1"/>
    <col min="15374" max="15374" width="8.28515625" style="2" customWidth="1"/>
    <col min="15375" max="15375" width="9.140625" style="2"/>
    <col min="15376" max="15378" width="7.5703125" style="2" customWidth="1"/>
    <col min="15379" max="15379" width="10.28515625" style="2" customWidth="1"/>
    <col min="15380" max="15380" width="10.5703125" style="2" customWidth="1"/>
    <col min="15381" max="15381" width="11.140625" style="2" customWidth="1"/>
    <col min="15382" max="15382" width="10.42578125" style="2" customWidth="1"/>
    <col min="15383" max="15392" width="11" style="2" customWidth="1"/>
    <col min="15393" max="15393" width="9.140625" style="2" customWidth="1"/>
    <col min="15394" max="15394" width="6.85546875" style="2" customWidth="1"/>
    <col min="15395" max="15395" width="15" style="2" bestFit="1" customWidth="1"/>
    <col min="15396" max="15620" width="9.140625" style="2"/>
    <col min="15621" max="15621" width="4" style="2" customWidth="1"/>
    <col min="15622" max="15622" width="24.42578125" style="2" customWidth="1"/>
    <col min="15623" max="15623" width="19.85546875" style="2" customWidth="1"/>
    <col min="15624" max="15624" width="9.28515625" style="2" customWidth="1"/>
    <col min="15625" max="15625" width="10" style="2" customWidth="1"/>
    <col min="15626" max="15626" width="8.42578125" style="2" customWidth="1"/>
    <col min="15627" max="15627" width="12.28515625" style="2" customWidth="1"/>
    <col min="15628" max="15628" width="7.5703125" style="2" customWidth="1"/>
    <col min="15629" max="15629" width="7.85546875" style="2" customWidth="1"/>
    <col min="15630" max="15630" width="8.28515625" style="2" customWidth="1"/>
    <col min="15631" max="15631" width="9.140625" style="2"/>
    <col min="15632" max="15634" width="7.5703125" style="2" customWidth="1"/>
    <col min="15635" max="15635" width="10.28515625" style="2" customWidth="1"/>
    <col min="15636" max="15636" width="10.5703125" style="2" customWidth="1"/>
    <col min="15637" max="15637" width="11.140625" style="2" customWidth="1"/>
    <col min="15638" max="15638" width="10.42578125" style="2" customWidth="1"/>
    <col min="15639" max="15648" width="11" style="2" customWidth="1"/>
    <col min="15649" max="15649" width="9.140625" style="2" customWidth="1"/>
    <col min="15650" max="15650" width="6.85546875" style="2" customWidth="1"/>
    <col min="15651" max="15651" width="15" style="2" bestFit="1" customWidth="1"/>
    <col min="15652" max="15876" width="9.140625" style="2"/>
    <col min="15877" max="15877" width="4" style="2" customWidth="1"/>
    <col min="15878" max="15878" width="24.42578125" style="2" customWidth="1"/>
    <col min="15879" max="15879" width="19.85546875" style="2" customWidth="1"/>
    <col min="15880" max="15880" width="9.28515625" style="2" customWidth="1"/>
    <col min="15881" max="15881" width="10" style="2" customWidth="1"/>
    <col min="15882" max="15882" width="8.42578125" style="2" customWidth="1"/>
    <col min="15883" max="15883" width="12.28515625" style="2" customWidth="1"/>
    <col min="15884" max="15884" width="7.5703125" style="2" customWidth="1"/>
    <col min="15885" max="15885" width="7.85546875" style="2" customWidth="1"/>
    <col min="15886" max="15886" width="8.28515625" style="2" customWidth="1"/>
    <col min="15887" max="15887" width="9.140625" style="2"/>
    <col min="15888" max="15890" width="7.5703125" style="2" customWidth="1"/>
    <col min="15891" max="15891" width="10.28515625" style="2" customWidth="1"/>
    <col min="15892" max="15892" width="10.5703125" style="2" customWidth="1"/>
    <col min="15893" max="15893" width="11.140625" style="2" customWidth="1"/>
    <col min="15894" max="15894" width="10.42578125" style="2" customWidth="1"/>
    <col min="15895" max="15904" width="11" style="2" customWidth="1"/>
    <col min="15905" max="15905" width="9.140625" style="2" customWidth="1"/>
    <col min="15906" max="15906" width="6.85546875" style="2" customWidth="1"/>
    <col min="15907" max="15907" width="15" style="2" bestFit="1" customWidth="1"/>
    <col min="15908" max="16132" width="9.140625" style="2"/>
    <col min="16133" max="16133" width="4" style="2" customWidth="1"/>
    <col min="16134" max="16134" width="24.42578125" style="2" customWidth="1"/>
    <col min="16135" max="16135" width="19.85546875" style="2" customWidth="1"/>
    <col min="16136" max="16136" width="9.28515625" style="2" customWidth="1"/>
    <col min="16137" max="16137" width="10" style="2" customWidth="1"/>
    <col min="16138" max="16138" width="8.42578125" style="2" customWidth="1"/>
    <col min="16139" max="16139" width="12.28515625" style="2" customWidth="1"/>
    <col min="16140" max="16140" width="7.5703125" style="2" customWidth="1"/>
    <col min="16141" max="16141" width="7.85546875" style="2" customWidth="1"/>
    <col min="16142" max="16142" width="8.28515625" style="2" customWidth="1"/>
    <col min="16143" max="16143" width="9.140625" style="2"/>
    <col min="16144" max="16146" width="7.5703125" style="2" customWidth="1"/>
    <col min="16147" max="16147" width="10.28515625" style="2" customWidth="1"/>
    <col min="16148" max="16148" width="10.5703125" style="2" customWidth="1"/>
    <col min="16149" max="16149" width="11.140625" style="2" customWidth="1"/>
    <col min="16150" max="16150" width="10.42578125" style="2" customWidth="1"/>
    <col min="16151" max="16160" width="11" style="2" customWidth="1"/>
    <col min="16161" max="16161" width="9.140625" style="2" customWidth="1"/>
    <col min="16162" max="16162" width="6.85546875" style="2" customWidth="1"/>
    <col min="16163" max="16163" width="15" style="2" bestFit="1" customWidth="1"/>
    <col min="16164" max="16384" width="9.140625" style="2"/>
  </cols>
  <sheetData>
    <row r="1" spans="1:48" ht="125.25">
      <c r="A1" s="10" t="s">
        <v>17</v>
      </c>
      <c r="B1" s="11"/>
      <c r="C1" s="11" t="s">
        <v>19</v>
      </c>
      <c r="D1" s="12" t="s">
        <v>20</v>
      </c>
      <c r="E1" s="81">
        <v>2017</v>
      </c>
      <c r="F1" s="77" t="s">
        <v>194</v>
      </c>
      <c r="G1" s="77" t="s">
        <v>195</v>
      </c>
      <c r="H1" s="81">
        <v>2019</v>
      </c>
      <c r="I1" s="13" t="s">
        <v>21</v>
      </c>
      <c r="J1" s="4" t="s">
        <v>22</v>
      </c>
      <c r="K1" s="4" t="s">
        <v>23</v>
      </c>
      <c r="L1" s="4" t="s">
        <v>24</v>
      </c>
      <c r="M1" s="4" t="s">
        <v>25</v>
      </c>
      <c r="N1" s="4" t="s">
        <v>26</v>
      </c>
      <c r="O1" s="4" t="s">
        <v>27</v>
      </c>
      <c r="P1" s="4" t="s">
        <v>28</v>
      </c>
      <c r="Q1" s="4" t="s">
        <v>29</v>
      </c>
      <c r="R1" s="4" t="s">
        <v>30</v>
      </c>
      <c r="S1" s="4" t="s">
        <v>31</v>
      </c>
      <c r="T1" s="4" t="s">
        <v>32</v>
      </c>
      <c r="U1" s="4" t="s">
        <v>33</v>
      </c>
      <c r="V1" s="4" t="s">
        <v>34</v>
      </c>
      <c r="W1" s="4" t="s">
        <v>35</v>
      </c>
      <c r="X1" s="4" t="s">
        <v>36</v>
      </c>
      <c r="Y1" s="4" t="s">
        <v>37</v>
      </c>
      <c r="Z1" s="5" t="s">
        <v>38</v>
      </c>
      <c r="AA1" s="5" t="s">
        <v>39</v>
      </c>
      <c r="AB1" s="26" t="s">
        <v>151</v>
      </c>
      <c r="AC1" s="26" t="s">
        <v>152</v>
      </c>
      <c r="AD1" s="26" t="s">
        <v>153</v>
      </c>
      <c r="AG1" s="34" t="s">
        <v>154</v>
      </c>
      <c r="AH1" s="46" t="s">
        <v>155</v>
      </c>
      <c r="AN1" s="47" t="s">
        <v>156</v>
      </c>
      <c r="AP1" s="73" t="s">
        <v>15</v>
      </c>
      <c r="AS1" s="2">
        <v>4</v>
      </c>
      <c r="AT1" s="2">
        <v>12</v>
      </c>
    </row>
    <row r="2" spans="1:48" ht="23.25" hidden="1" customHeight="1">
      <c r="A2" s="90">
        <v>1</v>
      </c>
      <c r="B2" s="14" t="s">
        <v>40</v>
      </c>
      <c r="C2" s="14" t="s">
        <v>40</v>
      </c>
      <c r="D2" s="15" t="s">
        <v>41</v>
      </c>
      <c r="E2" s="78">
        <f t="shared" ref="E2:E14" si="0">AVERAGE(J2:N2)</f>
        <v>43003</v>
      </c>
      <c r="F2" s="78">
        <f t="shared" ref="F2:F14" si="1">AVERAGE(O2:V2)</f>
        <v>46327.875</v>
      </c>
      <c r="G2" s="78">
        <f>AVERAGE(W2:Z2)</f>
        <v>78850.5</v>
      </c>
      <c r="H2" s="78">
        <f>AVERAGE(AA2:AD2)</f>
        <v>68161.5</v>
      </c>
      <c r="I2" s="6">
        <v>115454</v>
      </c>
      <c r="J2" s="6">
        <f>20953+34257</f>
        <v>55210</v>
      </c>
      <c r="K2" s="6">
        <f>11506+18872</f>
        <v>30378</v>
      </c>
      <c r="L2" s="6">
        <f>15483+33338</f>
        <v>48821</v>
      </c>
      <c r="M2" s="6">
        <v>46267</v>
      </c>
      <c r="N2" s="6">
        <f>11097+23242</f>
        <v>34339</v>
      </c>
      <c r="O2" s="6">
        <v>45068</v>
      </c>
      <c r="P2" s="6">
        <v>48843</v>
      </c>
      <c r="Q2" s="6">
        <v>42904</v>
      </c>
      <c r="R2" s="6">
        <v>47723</v>
      </c>
      <c r="S2" s="6">
        <v>55332</v>
      </c>
      <c r="T2" s="6">
        <v>37415</v>
      </c>
      <c r="U2" s="6">
        <v>47983</v>
      </c>
      <c r="V2" s="6">
        <v>45355</v>
      </c>
      <c r="W2" s="6">
        <v>67196</v>
      </c>
      <c r="X2" s="6">
        <v>82706</v>
      </c>
      <c r="Y2" s="6">
        <v>78158</v>
      </c>
      <c r="Z2" s="6">
        <v>87342</v>
      </c>
      <c r="AA2" s="6">
        <v>85341</v>
      </c>
      <c r="AB2" s="27">
        <v>76252</v>
      </c>
      <c r="AC2" s="27">
        <v>70654</v>
      </c>
      <c r="AD2" s="27">
        <v>40399</v>
      </c>
      <c r="AE2" s="33">
        <f>SUM(I2:AD2)</f>
        <v>1289140</v>
      </c>
      <c r="AF2" s="33"/>
      <c r="AG2" s="35">
        <v>5.8500000000000003E-2</v>
      </c>
      <c r="AH2" s="33">
        <f>AE2*AG2</f>
        <v>75414.69</v>
      </c>
      <c r="AI2" s="46">
        <f>AH2/$AH$44*100</f>
        <v>1.8157100298096203</v>
      </c>
      <c r="AJ2" s="46">
        <f>AI2*$AJ$44/100</f>
        <v>363142.00596192403</v>
      </c>
      <c r="AK2" s="46">
        <f>AJ2/AG2</f>
        <v>6207555.6574687865</v>
      </c>
      <c r="AL2" s="46">
        <f t="shared" ref="AL2:AL17" si="2">AK2/AS2</f>
        <v>290992.39936629747</v>
      </c>
      <c r="AM2" s="46">
        <f>AK2/AT2</f>
        <v>24249.366613858125</v>
      </c>
      <c r="AN2" s="48">
        <v>12852</v>
      </c>
      <c r="AP2" s="74">
        <f>საპენსიო!D2</f>
        <v>92.063670411985015</v>
      </c>
      <c r="AQ2" s="74">
        <f>შშმპ!D2</f>
        <v>78.595238095238102</v>
      </c>
      <c r="AR2" s="9">
        <f>AVERAGE(AP2:AQ2)</f>
        <v>85.329454253611559</v>
      </c>
      <c r="AS2" s="9">
        <f>AR2/$AS$1</f>
        <v>21.33236356340289</v>
      </c>
      <c r="AT2" s="9">
        <f>AS2*$AT$1</f>
        <v>255.98836276083466</v>
      </c>
      <c r="AU2" s="76">
        <f t="shared" ref="AU2:AU17" si="3">AN2/AR2</f>
        <v>150.61622170700852</v>
      </c>
      <c r="AV2" s="76">
        <f>AN2/AS2</f>
        <v>602.46488682803408</v>
      </c>
    </row>
    <row r="3" spans="1:48" hidden="1">
      <c r="A3" s="90"/>
      <c r="B3" s="16" t="s">
        <v>42</v>
      </c>
      <c r="C3" s="16" t="s">
        <v>43</v>
      </c>
      <c r="D3" s="15" t="s">
        <v>44</v>
      </c>
      <c r="E3" s="78">
        <f t="shared" si="0"/>
        <v>62600.6</v>
      </c>
      <c r="F3" s="78">
        <f t="shared" si="1"/>
        <v>82328.125</v>
      </c>
      <c r="G3" s="78">
        <f t="shared" ref="G3:G43" si="4">AVERAGE(W3:Z3)</f>
        <v>138558</v>
      </c>
      <c r="H3" s="78">
        <f t="shared" ref="H3:H43" si="5">AVERAGE(AA3:AD3)</f>
        <v>136314</v>
      </c>
      <c r="I3" s="6">
        <v>128708</v>
      </c>
      <c r="J3" s="6">
        <f>68841</f>
        <v>68841</v>
      </c>
      <c r="K3" s="6">
        <f>41674</f>
        <v>41674</v>
      </c>
      <c r="L3" s="6">
        <f>77476</f>
        <v>77476</v>
      </c>
      <c r="M3" s="6">
        <v>71438</v>
      </c>
      <c r="N3" s="6">
        <f>180+53394</f>
        <v>53574</v>
      </c>
      <c r="O3" s="6">
        <v>68830</v>
      </c>
      <c r="P3" s="6">
        <v>87699</v>
      </c>
      <c r="Q3" s="6">
        <v>79766</v>
      </c>
      <c r="R3" s="6">
        <v>76260</v>
      </c>
      <c r="S3" s="6">
        <v>95079</v>
      </c>
      <c r="T3" s="6">
        <v>75991</v>
      </c>
      <c r="U3" s="6">
        <v>86045</v>
      </c>
      <c r="V3" s="6">
        <v>88955</v>
      </c>
      <c r="W3" s="6">
        <v>117285</v>
      </c>
      <c r="X3" s="6">
        <v>156780</v>
      </c>
      <c r="Y3" s="6">
        <v>143245</v>
      </c>
      <c r="Z3" s="6">
        <v>136922</v>
      </c>
      <c r="AA3" s="6">
        <v>138365</v>
      </c>
      <c r="AB3" s="27">
        <v>134077</v>
      </c>
      <c r="AC3" s="27">
        <v>133218</v>
      </c>
      <c r="AD3" s="27">
        <v>139596</v>
      </c>
      <c r="AE3" s="33">
        <f t="shared" ref="AE3:AE43" si="6">SUM(I3:AD3)</f>
        <v>2199824</v>
      </c>
      <c r="AF3" s="33"/>
      <c r="AG3" s="36">
        <v>6.4500000000000002E-2</v>
      </c>
      <c r="AH3" s="33">
        <f t="shared" ref="AH3:AH43" si="7">AE3*AG3</f>
        <v>141888.64800000002</v>
      </c>
      <c r="AI3" s="46">
        <f t="shared" ref="AI3:AI43" si="8">AH3/$AH$44*100</f>
        <v>3.4161599191049747</v>
      </c>
      <c r="AJ3" s="46">
        <f t="shared" ref="AJ3:AJ43" si="9">AI3*$AJ$44/100</f>
        <v>683231.98382099497</v>
      </c>
      <c r="AK3" s="46">
        <f t="shared" ref="AK3:AK42" si="10">AJ3/AG3</f>
        <v>10592743.935209224</v>
      </c>
      <c r="AL3" s="46">
        <f t="shared" si="2"/>
        <v>461404.90161337459</v>
      </c>
      <c r="AM3" s="46">
        <f t="shared" ref="AM3:AM43" si="11">AK3/AT3</f>
        <v>38450.408467781221</v>
      </c>
      <c r="AN3" s="48">
        <v>970805</v>
      </c>
      <c r="AP3" s="74">
        <f>საპენსიო!D3</f>
        <v>87.473209249858996</v>
      </c>
      <c r="AQ3" s="74">
        <f>შშმპ!D3</f>
        <v>96.1875</v>
      </c>
      <c r="AR3" s="9">
        <f t="shared" ref="AR3:AR43" si="12">AVERAGE(AP3:AQ3)</f>
        <v>91.830354624929498</v>
      </c>
      <c r="AS3" s="9">
        <f t="shared" ref="AS3:AS43" si="13">AR3/$AS$1</f>
        <v>22.957588656232375</v>
      </c>
      <c r="AT3" s="9">
        <f t="shared" ref="AT3:AT43" si="14">AS3*$AT$1</f>
        <v>275.49106387478849</v>
      </c>
      <c r="AU3" s="76">
        <f t="shared" si="3"/>
        <v>10571.722215003319</v>
      </c>
      <c r="AV3" s="76">
        <f t="shared" ref="AV3:AV17" si="15">AN3/AS3</f>
        <v>42286.888860013278</v>
      </c>
    </row>
    <row r="4" spans="1:48" hidden="1">
      <c r="A4" s="16">
        <v>2</v>
      </c>
      <c r="B4" s="16" t="s">
        <v>45</v>
      </c>
      <c r="C4" s="16" t="s">
        <v>46</v>
      </c>
      <c r="D4" s="17" t="s">
        <v>47</v>
      </c>
      <c r="E4" s="78">
        <f t="shared" si="0"/>
        <v>44461.8</v>
      </c>
      <c r="F4" s="78">
        <f t="shared" si="1"/>
        <v>62495.625</v>
      </c>
      <c r="G4" s="78">
        <f t="shared" si="4"/>
        <v>127965.25</v>
      </c>
      <c r="H4" s="78">
        <f t="shared" si="5"/>
        <v>92294.25</v>
      </c>
      <c r="I4" s="6">
        <v>74656</v>
      </c>
      <c r="J4" s="6">
        <f>894+48877</f>
        <v>49771</v>
      </c>
      <c r="K4" s="6">
        <f>304+29577</f>
        <v>29881</v>
      </c>
      <c r="L4" s="6">
        <f>49670</f>
        <v>49670</v>
      </c>
      <c r="M4" s="6">
        <v>52667</v>
      </c>
      <c r="N4" s="6">
        <f>92+40228</f>
        <v>40320</v>
      </c>
      <c r="O4" s="6">
        <v>51024</v>
      </c>
      <c r="P4" s="6">
        <v>63258</v>
      </c>
      <c r="Q4" s="6">
        <v>59752</v>
      </c>
      <c r="R4" s="6">
        <v>57385</v>
      </c>
      <c r="S4" s="6">
        <v>78187</v>
      </c>
      <c r="T4" s="6">
        <v>57063</v>
      </c>
      <c r="U4" s="6">
        <v>65543</v>
      </c>
      <c r="V4" s="6">
        <v>67753</v>
      </c>
      <c r="W4" s="6">
        <v>107766</v>
      </c>
      <c r="X4" s="6">
        <v>143166</v>
      </c>
      <c r="Y4" s="6">
        <v>134239</v>
      </c>
      <c r="Z4" s="6">
        <v>126690</v>
      </c>
      <c r="AA4" s="6">
        <v>118049</v>
      </c>
      <c r="AB4" s="28">
        <f>2143+6105+111108</f>
        <v>119356</v>
      </c>
      <c r="AC4" s="28">
        <v>102458</v>
      </c>
      <c r="AD4" s="28">
        <v>29314</v>
      </c>
      <c r="AE4" s="33">
        <f t="shared" si="6"/>
        <v>1677968</v>
      </c>
      <c r="AF4" s="33"/>
      <c r="AG4" s="36">
        <v>0.21840000000000001</v>
      </c>
      <c r="AH4" s="33">
        <f t="shared" si="7"/>
        <v>366468.21120000002</v>
      </c>
      <c r="AI4" s="46">
        <f t="shared" si="8"/>
        <v>8.8232147699901748</v>
      </c>
      <c r="AJ4" s="46">
        <f t="shared" si="9"/>
        <v>1764642.9539980348</v>
      </c>
      <c r="AK4" s="46">
        <f t="shared" si="10"/>
        <v>8079867.0054855067</v>
      </c>
      <c r="AL4" s="46">
        <f t="shared" si="2"/>
        <v>518126.98224935157</v>
      </c>
      <c r="AM4" s="46">
        <f t="shared" si="11"/>
        <v>43177.2485207793</v>
      </c>
      <c r="AN4" s="48">
        <v>160907</v>
      </c>
      <c r="AP4" s="74">
        <f>საპენსიო!D4</f>
        <v>66.601855287569578</v>
      </c>
      <c r="AQ4" s="74">
        <f>შშმპ!D9</f>
        <v>58.153153153153156</v>
      </c>
      <c r="AR4" s="9">
        <f t="shared" si="12"/>
        <v>62.377504220361367</v>
      </c>
      <c r="AS4" s="9">
        <f t="shared" si="13"/>
        <v>15.594376055090342</v>
      </c>
      <c r="AT4" s="9">
        <f t="shared" si="14"/>
        <v>187.13251266108409</v>
      </c>
      <c r="AU4" s="76">
        <f t="shared" si="3"/>
        <v>2579.5677786588403</v>
      </c>
      <c r="AV4" s="76">
        <f t="shared" si="15"/>
        <v>10318.271114635361</v>
      </c>
    </row>
    <row r="5" spans="1:48" hidden="1">
      <c r="A5" s="16">
        <v>3</v>
      </c>
      <c r="B5" s="16" t="s">
        <v>48</v>
      </c>
      <c r="C5" s="16" t="s">
        <v>48</v>
      </c>
      <c r="D5" s="18" t="s">
        <v>49</v>
      </c>
      <c r="E5" s="78">
        <f t="shared" si="0"/>
        <v>55445</v>
      </c>
      <c r="F5" s="78">
        <f t="shared" si="1"/>
        <v>108836.625</v>
      </c>
      <c r="G5" s="78">
        <f t="shared" si="4"/>
        <v>216440.25</v>
      </c>
      <c r="H5" s="78">
        <f t="shared" si="5"/>
        <v>227824</v>
      </c>
      <c r="I5" s="6">
        <v>0</v>
      </c>
      <c r="J5" s="6">
        <v>0</v>
      </c>
      <c r="K5" s="6">
        <v>11654</v>
      </c>
      <c r="L5" s="6">
        <f>125527</f>
        <v>125527</v>
      </c>
      <c r="M5" s="6">
        <v>76906</v>
      </c>
      <c r="N5" s="6">
        <f>63138</f>
        <v>63138</v>
      </c>
      <c r="O5" s="6">
        <v>94802</v>
      </c>
      <c r="P5" s="6">
        <v>103039</v>
      </c>
      <c r="Q5" s="6">
        <v>106262</v>
      </c>
      <c r="R5" s="6">
        <v>109933</v>
      </c>
      <c r="S5" s="6">
        <v>124788</v>
      </c>
      <c r="T5" s="6">
        <v>101734</v>
      </c>
      <c r="U5" s="6">
        <v>117850</v>
      </c>
      <c r="V5" s="6">
        <v>112285</v>
      </c>
      <c r="W5" s="6">
        <v>174735</v>
      </c>
      <c r="X5" s="6">
        <v>241015</v>
      </c>
      <c r="Y5" s="6">
        <v>224504</v>
      </c>
      <c r="Z5" s="6">
        <v>225507</v>
      </c>
      <c r="AA5" s="6">
        <v>231313</v>
      </c>
      <c r="AB5" s="27">
        <v>231431</v>
      </c>
      <c r="AC5" s="27">
        <v>237975</v>
      </c>
      <c r="AD5" s="27">
        <v>210577</v>
      </c>
      <c r="AE5" s="33">
        <f t="shared" si="6"/>
        <v>2924975</v>
      </c>
      <c r="AF5" s="33"/>
      <c r="AG5" s="37">
        <v>4.1000000000000002E-2</v>
      </c>
      <c r="AH5" s="33">
        <f t="shared" si="7"/>
        <v>119923.97500000001</v>
      </c>
      <c r="AI5" s="46">
        <f t="shared" si="8"/>
        <v>2.8873308929883312</v>
      </c>
      <c r="AJ5" s="46">
        <f t="shared" si="9"/>
        <v>577466.17859766621</v>
      </c>
      <c r="AK5" s="46">
        <f t="shared" si="10"/>
        <v>14084540.941406492</v>
      </c>
      <c r="AL5" s="46">
        <f t="shared" si="2"/>
        <v>493655.95469381614</v>
      </c>
      <c r="AM5" s="46">
        <f t="shared" si="11"/>
        <v>41137.996224484676</v>
      </c>
      <c r="AN5" s="48">
        <v>1304050</v>
      </c>
      <c r="AP5" s="74">
        <f>საპენსიო!D17</f>
        <v>110.81858766233766</v>
      </c>
      <c r="AQ5" s="74">
        <f>შშმპ!D16</f>
        <v>117.43010752688173</v>
      </c>
      <c r="AR5" s="9">
        <f t="shared" si="12"/>
        <v>114.1243475946097</v>
      </c>
      <c r="AS5" s="9">
        <f t="shared" si="13"/>
        <v>28.531086898652426</v>
      </c>
      <c r="AT5" s="9">
        <f t="shared" si="14"/>
        <v>342.37304278382908</v>
      </c>
      <c r="AU5" s="76">
        <f t="shared" si="3"/>
        <v>11426.571345075472</v>
      </c>
      <c r="AV5" s="76">
        <f t="shared" si="15"/>
        <v>45706.285380301888</v>
      </c>
    </row>
    <row r="6" spans="1:48" ht="27" hidden="1" customHeight="1">
      <c r="A6" s="16">
        <v>4</v>
      </c>
      <c r="B6" s="16" t="s">
        <v>50</v>
      </c>
      <c r="C6" s="16" t="s">
        <v>51</v>
      </c>
      <c r="D6" s="19" t="s">
        <v>52</v>
      </c>
      <c r="E6" s="78">
        <f t="shared" si="0"/>
        <v>28665.599999999999</v>
      </c>
      <c r="F6" s="78">
        <f t="shared" si="1"/>
        <v>37865.25</v>
      </c>
      <c r="G6" s="78">
        <f t="shared" si="4"/>
        <v>71543.75</v>
      </c>
      <c r="H6" s="78">
        <f t="shared" si="5"/>
        <v>58414</v>
      </c>
      <c r="I6" s="6">
        <v>71359</v>
      </c>
      <c r="J6" s="6">
        <f>103+23+219+92+90+92+5463+17825+10070</f>
        <v>33977</v>
      </c>
      <c r="K6" s="6">
        <f>71+46+91+92+2667+9088+6961</f>
        <v>19016</v>
      </c>
      <c r="L6" s="6">
        <f>90+230+5697+14666+13155</f>
        <v>33838</v>
      </c>
      <c r="M6" s="6">
        <v>31458</v>
      </c>
      <c r="N6" s="6">
        <f>1+138+115+2448+8277+14060</f>
        <v>25039</v>
      </c>
      <c r="O6" s="6">
        <v>32180</v>
      </c>
      <c r="P6" s="6">
        <v>40242</v>
      </c>
      <c r="Q6" s="6">
        <v>34672</v>
      </c>
      <c r="R6" s="6">
        <v>37150</v>
      </c>
      <c r="S6" s="6">
        <v>44130</v>
      </c>
      <c r="T6" s="6">
        <v>33373</v>
      </c>
      <c r="U6" s="6">
        <v>39863</v>
      </c>
      <c r="V6" s="6">
        <v>41312</v>
      </c>
      <c r="W6" s="6">
        <v>62328</v>
      </c>
      <c r="X6" s="6">
        <v>81237</v>
      </c>
      <c r="Y6" s="6">
        <v>72170</v>
      </c>
      <c r="Z6" s="6">
        <v>70440</v>
      </c>
      <c r="AA6" s="6">
        <v>70692</v>
      </c>
      <c r="AB6" s="27">
        <v>71155</v>
      </c>
      <c r="AC6" s="27">
        <v>64086</v>
      </c>
      <c r="AD6" s="27">
        <v>27723</v>
      </c>
      <c r="AE6" s="33">
        <f t="shared" si="6"/>
        <v>1037440</v>
      </c>
      <c r="AF6" s="33"/>
      <c r="AG6" s="37">
        <v>4.7500000000000001E-2</v>
      </c>
      <c r="AH6" s="33">
        <f t="shared" si="7"/>
        <v>49278.400000000001</v>
      </c>
      <c r="AI6" s="46">
        <f t="shared" si="8"/>
        <v>1.1864437171719513</v>
      </c>
      <c r="AJ6" s="46">
        <f t="shared" si="9"/>
        <v>237288.74343439029</v>
      </c>
      <c r="AK6" s="46">
        <f t="shared" si="10"/>
        <v>4995552.4933555853</v>
      </c>
      <c r="AL6" s="46">
        <f t="shared" si="2"/>
        <v>333075.57899198943</v>
      </c>
      <c r="AM6" s="46">
        <f t="shared" si="11"/>
        <v>27756.298249332449</v>
      </c>
      <c r="AN6" s="48">
        <v>6776</v>
      </c>
      <c r="AP6" s="74">
        <f>საპენსიო!D6</f>
        <v>57.986040609137056</v>
      </c>
      <c r="AQ6" s="74">
        <f>შშმპ!D4</f>
        <v>62</v>
      </c>
      <c r="AR6" s="9">
        <f t="shared" si="12"/>
        <v>59.993020304568532</v>
      </c>
      <c r="AS6" s="9">
        <f t="shared" si="13"/>
        <v>14.998255076142133</v>
      </c>
      <c r="AT6" s="9">
        <f t="shared" si="14"/>
        <v>179.97906091370561</v>
      </c>
      <c r="AU6" s="76">
        <f t="shared" si="3"/>
        <v>112.94647219960019</v>
      </c>
      <c r="AV6" s="76">
        <f t="shared" si="15"/>
        <v>451.78588879840078</v>
      </c>
    </row>
    <row r="7" spans="1:48" ht="30" hidden="1" customHeight="1">
      <c r="A7" s="16">
        <v>5</v>
      </c>
      <c r="B7" s="14" t="s">
        <v>53</v>
      </c>
      <c r="C7" s="16" t="s">
        <v>54</v>
      </c>
      <c r="D7" s="18" t="s">
        <v>55</v>
      </c>
      <c r="E7" s="78">
        <f t="shared" si="0"/>
        <v>12809.8</v>
      </c>
      <c r="F7" s="78">
        <f t="shared" si="1"/>
        <v>16399.375</v>
      </c>
      <c r="G7" s="78">
        <f t="shared" si="4"/>
        <v>36643.75</v>
      </c>
      <c r="H7" s="78">
        <f t="shared" si="5"/>
        <v>40709</v>
      </c>
      <c r="I7" s="6">
        <v>35172</v>
      </c>
      <c r="J7" s="6">
        <f>14677+300</f>
        <v>14977</v>
      </c>
      <c r="K7" s="6">
        <f>7169</f>
        <v>7169</v>
      </c>
      <c r="L7" s="6">
        <f>16509</f>
        <v>16509</v>
      </c>
      <c r="M7" s="6">
        <v>14056</v>
      </c>
      <c r="N7" s="6">
        <f>11338</f>
        <v>11338</v>
      </c>
      <c r="O7" s="6">
        <v>15140</v>
      </c>
      <c r="P7" s="6">
        <v>16835</v>
      </c>
      <c r="Q7" s="6">
        <v>15104</v>
      </c>
      <c r="R7" s="6">
        <v>15293</v>
      </c>
      <c r="S7" s="6">
        <v>18158</v>
      </c>
      <c r="T7" s="6">
        <v>14011</v>
      </c>
      <c r="U7" s="6">
        <v>19170</v>
      </c>
      <c r="V7" s="6">
        <v>17484</v>
      </c>
      <c r="W7" s="6">
        <v>31052</v>
      </c>
      <c r="X7" s="6">
        <v>40073</v>
      </c>
      <c r="Y7" s="6">
        <v>38322</v>
      </c>
      <c r="Z7" s="6">
        <v>37128</v>
      </c>
      <c r="AA7" s="6">
        <v>38507</v>
      </c>
      <c r="AB7" s="27">
        <v>37090</v>
      </c>
      <c r="AC7" s="27">
        <v>43811</v>
      </c>
      <c r="AD7" s="27">
        <v>43428</v>
      </c>
      <c r="AE7" s="33">
        <f t="shared" si="6"/>
        <v>539827</v>
      </c>
      <c r="AF7" s="33"/>
      <c r="AG7" s="38">
        <v>0.1034559</v>
      </c>
      <c r="AH7" s="33">
        <f t="shared" si="7"/>
        <v>55848.288129300003</v>
      </c>
      <c r="AI7" s="46">
        <f t="shared" si="8"/>
        <v>1.3446226047480614</v>
      </c>
      <c r="AJ7" s="46">
        <f t="shared" si="9"/>
        <v>268924.52094961226</v>
      </c>
      <c r="AK7" s="46">
        <f t="shared" si="10"/>
        <v>2599412.1258392441</v>
      </c>
      <c r="AL7" s="46">
        <f t="shared" si="2"/>
        <v>120855.50166763978</v>
      </c>
      <c r="AM7" s="46">
        <f t="shared" si="11"/>
        <v>10071.291805636649</v>
      </c>
      <c r="AN7" s="48">
        <v>516988</v>
      </c>
      <c r="AP7" s="74">
        <f>საპენსიო!D7</f>
        <v>84.567441860465109</v>
      </c>
      <c r="AQ7" s="74">
        <f>შშმპ!D5</f>
        <v>87.5</v>
      </c>
      <c r="AR7" s="9">
        <f t="shared" si="12"/>
        <v>86.033720930232562</v>
      </c>
      <c r="AS7" s="9">
        <f t="shared" si="13"/>
        <v>21.50843023255814</v>
      </c>
      <c r="AT7" s="9">
        <f t="shared" si="14"/>
        <v>258.10116279069769</v>
      </c>
      <c r="AU7" s="76">
        <f t="shared" si="3"/>
        <v>6009.1321682952866</v>
      </c>
      <c r="AV7" s="76">
        <f t="shared" si="15"/>
        <v>24036.528673181147</v>
      </c>
    </row>
    <row r="8" spans="1:48" ht="25.5" hidden="1" customHeight="1">
      <c r="A8" s="16">
        <v>6</v>
      </c>
      <c r="B8" s="16" t="s">
        <v>56</v>
      </c>
      <c r="C8" s="16" t="s">
        <v>57</v>
      </c>
      <c r="D8" s="19" t="s">
        <v>52</v>
      </c>
      <c r="E8" s="78">
        <f t="shared" si="0"/>
        <v>3011.4</v>
      </c>
      <c r="F8" s="78">
        <f t="shared" si="1"/>
        <v>3165.375</v>
      </c>
      <c r="G8" s="78">
        <f t="shared" si="4"/>
        <v>8302.5</v>
      </c>
      <c r="H8" s="78">
        <f t="shared" si="5"/>
        <v>10258.5</v>
      </c>
      <c r="I8" s="6">
        <v>0</v>
      </c>
      <c r="J8" s="6">
        <v>2759</v>
      </c>
      <c r="K8" s="6">
        <v>3999</v>
      </c>
      <c r="L8" s="6">
        <f>2385</f>
        <v>2385</v>
      </c>
      <c r="M8" s="6">
        <v>2844</v>
      </c>
      <c r="N8" s="6">
        <f>3070</f>
        <v>3070</v>
      </c>
      <c r="O8" s="6">
        <v>2441</v>
      </c>
      <c r="P8" s="6">
        <v>2913</v>
      </c>
      <c r="Q8" s="6">
        <v>3614</v>
      </c>
      <c r="R8" s="6">
        <v>3529</v>
      </c>
      <c r="S8" s="6">
        <v>3254</v>
      </c>
      <c r="T8" s="6">
        <v>3147</v>
      </c>
      <c r="U8" s="6">
        <v>3592</v>
      </c>
      <c r="V8" s="6">
        <v>2833</v>
      </c>
      <c r="W8" s="6">
        <v>8669</v>
      </c>
      <c r="X8" s="6">
        <v>7654</v>
      </c>
      <c r="Y8" s="6">
        <v>7780</v>
      </c>
      <c r="Z8" s="6">
        <v>9107</v>
      </c>
      <c r="AA8" s="6">
        <v>9951</v>
      </c>
      <c r="AB8" s="27">
        <v>10209</v>
      </c>
      <c r="AC8" s="27">
        <v>10994</v>
      </c>
      <c r="AD8" s="27">
        <v>9880</v>
      </c>
      <c r="AE8" s="33">
        <f t="shared" si="6"/>
        <v>114624</v>
      </c>
      <c r="AF8" s="33"/>
      <c r="AG8" s="37">
        <v>0.188</v>
      </c>
      <c r="AH8" s="33">
        <f t="shared" si="7"/>
        <v>21549.312000000002</v>
      </c>
      <c r="AI8" s="46">
        <f t="shared" si="8"/>
        <v>0.51882865173743753</v>
      </c>
      <c r="AJ8" s="46">
        <f t="shared" si="9"/>
        <v>103765.73034748749</v>
      </c>
      <c r="AK8" s="46">
        <f t="shared" si="10"/>
        <v>551945.37418876321</v>
      </c>
      <c r="AL8" s="46">
        <f t="shared" si="2"/>
        <v>22825.255630135849</v>
      </c>
      <c r="AM8" s="46">
        <f t="shared" si="11"/>
        <v>1902.104635844654</v>
      </c>
      <c r="AN8" s="48">
        <v>27649</v>
      </c>
      <c r="AP8" s="74">
        <f>საპენსიო!D15</f>
        <v>77.575757575757578</v>
      </c>
      <c r="AQ8" s="74">
        <f>შშმპ!D15</f>
        <v>115.875</v>
      </c>
      <c r="AR8" s="9">
        <f t="shared" si="12"/>
        <v>96.725378787878782</v>
      </c>
      <c r="AS8" s="9">
        <f t="shared" si="13"/>
        <v>24.181344696969695</v>
      </c>
      <c r="AT8" s="9">
        <f t="shared" si="14"/>
        <v>290.17613636363637</v>
      </c>
      <c r="AU8" s="76">
        <f t="shared" si="3"/>
        <v>285.85052182256078</v>
      </c>
      <c r="AV8" s="76">
        <f t="shared" si="15"/>
        <v>1143.4020872902431</v>
      </c>
    </row>
    <row r="9" spans="1:48" ht="24.75" hidden="1" customHeight="1">
      <c r="A9" s="16">
        <v>7</v>
      </c>
      <c r="B9" s="16" t="s">
        <v>58</v>
      </c>
      <c r="C9" s="16" t="s">
        <v>59</v>
      </c>
      <c r="D9" s="19" t="s">
        <v>60</v>
      </c>
      <c r="E9" s="78">
        <f t="shared" si="0"/>
        <v>20840.8</v>
      </c>
      <c r="F9" s="78">
        <f t="shared" si="1"/>
        <v>29990.375</v>
      </c>
      <c r="G9" s="78">
        <f t="shared" si="4"/>
        <v>66727.75</v>
      </c>
      <c r="H9" s="78">
        <f t="shared" si="5"/>
        <v>75478</v>
      </c>
      <c r="I9" s="6">
        <v>56943</v>
      </c>
      <c r="J9" s="6">
        <v>22075</v>
      </c>
      <c r="K9" s="6">
        <v>12111</v>
      </c>
      <c r="L9" s="6">
        <f>26890</f>
        <v>26890</v>
      </c>
      <c r="M9" s="6">
        <v>24446</v>
      </c>
      <c r="N9" s="6">
        <f>18682</f>
        <v>18682</v>
      </c>
      <c r="O9" s="6">
        <v>27577</v>
      </c>
      <c r="P9" s="6">
        <v>31298</v>
      </c>
      <c r="Q9" s="6">
        <v>24233</v>
      </c>
      <c r="R9" s="6">
        <v>30732</v>
      </c>
      <c r="S9" s="6">
        <v>32988</v>
      </c>
      <c r="T9" s="6">
        <v>26408</v>
      </c>
      <c r="U9" s="6">
        <v>34308</v>
      </c>
      <c r="V9" s="6">
        <v>32379</v>
      </c>
      <c r="W9" s="6">
        <v>57431</v>
      </c>
      <c r="X9" s="6">
        <v>72802</v>
      </c>
      <c r="Y9" s="6">
        <v>68970</v>
      </c>
      <c r="Z9" s="6">
        <v>67708</v>
      </c>
      <c r="AA9" s="6">
        <v>74700</v>
      </c>
      <c r="AB9" s="28">
        <v>74139</v>
      </c>
      <c r="AC9" s="28">
        <v>76518</v>
      </c>
      <c r="AD9" s="28">
        <v>76555</v>
      </c>
      <c r="AE9" s="33">
        <f t="shared" si="6"/>
        <v>969893</v>
      </c>
      <c r="AF9" s="33"/>
      <c r="AG9" s="37">
        <v>6.6000000000000003E-2</v>
      </c>
      <c r="AH9" s="33">
        <f t="shared" si="7"/>
        <v>64012.938000000002</v>
      </c>
      <c r="AI9" s="46">
        <f t="shared" si="8"/>
        <v>1.5411975248347687</v>
      </c>
      <c r="AJ9" s="46">
        <f t="shared" si="9"/>
        <v>308239.50496695371</v>
      </c>
      <c r="AK9" s="46">
        <f t="shared" si="10"/>
        <v>4670295.5298023289</v>
      </c>
      <c r="AL9" s="46">
        <f t="shared" si="2"/>
        <v>152330.37571742694</v>
      </c>
      <c r="AM9" s="46">
        <f t="shared" si="11"/>
        <v>12694.197976452246</v>
      </c>
      <c r="AN9" s="48">
        <v>1682441</v>
      </c>
      <c r="AP9" s="74">
        <f>საპენსიო!D8</f>
        <v>117.69565217391305</v>
      </c>
      <c r="AQ9" s="74">
        <f>შშმპ!D11</f>
        <v>127.57627118644068</v>
      </c>
      <c r="AR9" s="9">
        <f t="shared" si="12"/>
        <v>122.63596168017686</v>
      </c>
      <c r="AS9" s="9">
        <f t="shared" si="13"/>
        <v>30.658990420044216</v>
      </c>
      <c r="AT9" s="9">
        <f t="shared" si="14"/>
        <v>367.90788504053057</v>
      </c>
      <c r="AU9" s="76">
        <f t="shared" si="3"/>
        <v>13718.985662522458</v>
      </c>
      <c r="AV9" s="76">
        <f t="shared" si="15"/>
        <v>54875.942650089833</v>
      </c>
    </row>
    <row r="10" spans="1:48" ht="25.5" hidden="1" customHeight="1">
      <c r="A10" s="16">
        <v>8</v>
      </c>
      <c r="B10" s="16" t="s">
        <v>61</v>
      </c>
      <c r="C10" s="16" t="s">
        <v>62</v>
      </c>
      <c r="D10" s="20" t="s">
        <v>63</v>
      </c>
      <c r="E10" s="78">
        <f t="shared" si="0"/>
        <v>32143.4</v>
      </c>
      <c r="F10" s="78">
        <f t="shared" si="1"/>
        <v>38286.375</v>
      </c>
      <c r="G10" s="78">
        <f t="shared" si="4"/>
        <v>70734.5</v>
      </c>
      <c r="H10" s="78">
        <f t="shared" si="5"/>
        <v>79779</v>
      </c>
      <c r="I10" s="6">
        <v>37254</v>
      </c>
      <c r="J10" s="6">
        <v>49150</v>
      </c>
      <c r="K10" s="6">
        <f>668+13686+92+5642</f>
        <v>20088</v>
      </c>
      <c r="L10" s="6">
        <f>1102+11045+1028+18908</f>
        <v>32083</v>
      </c>
      <c r="M10" s="6">
        <v>34438</v>
      </c>
      <c r="N10" s="6">
        <f>1174+18698+5086</f>
        <v>24958</v>
      </c>
      <c r="O10" s="6">
        <v>30837</v>
      </c>
      <c r="P10" s="6">
        <v>39593</v>
      </c>
      <c r="Q10" s="6">
        <v>35795</v>
      </c>
      <c r="R10" s="6">
        <v>32955</v>
      </c>
      <c r="S10" s="6">
        <v>48160</v>
      </c>
      <c r="T10" s="6">
        <v>37230</v>
      </c>
      <c r="U10" s="6">
        <v>39410</v>
      </c>
      <c r="V10" s="6">
        <v>42311</v>
      </c>
      <c r="W10" s="6">
        <v>66372</v>
      </c>
      <c r="X10" s="6">
        <v>80964</v>
      </c>
      <c r="Y10" s="6">
        <v>75701</v>
      </c>
      <c r="Z10" s="6">
        <v>59901</v>
      </c>
      <c r="AA10" s="6">
        <v>72905</v>
      </c>
      <c r="AB10" s="27">
        <v>81999</v>
      </c>
      <c r="AC10" s="27">
        <v>83146</v>
      </c>
      <c r="AD10" s="27">
        <v>81066</v>
      </c>
      <c r="AE10" s="33">
        <f t="shared" si="6"/>
        <v>1106316</v>
      </c>
      <c r="AF10" s="33"/>
      <c r="AG10" s="37">
        <v>0.155</v>
      </c>
      <c r="AH10" s="33">
        <f t="shared" si="7"/>
        <v>171478.98</v>
      </c>
      <c r="AI10" s="46">
        <f t="shared" si="8"/>
        <v>4.1285869356159033</v>
      </c>
      <c r="AJ10" s="46">
        <f t="shared" si="9"/>
        <v>825717.38712318067</v>
      </c>
      <c r="AK10" s="46">
        <f t="shared" si="10"/>
        <v>5327208.949181811</v>
      </c>
      <c r="AL10" s="46">
        <f t="shared" si="2"/>
        <v>267282.54940084589</v>
      </c>
      <c r="AM10" s="46">
        <f t="shared" si="11"/>
        <v>22273.545783403824</v>
      </c>
      <c r="AN10" s="48">
        <v>124143</v>
      </c>
      <c r="AP10" s="74">
        <f>საპენსიო!D14</f>
        <v>77.405156537753228</v>
      </c>
      <c r="AQ10" s="74">
        <f>შშმპ!D14</f>
        <v>82.042857142857144</v>
      </c>
      <c r="AR10" s="9">
        <f t="shared" si="12"/>
        <v>79.724006840305179</v>
      </c>
      <c r="AS10" s="9">
        <f t="shared" si="13"/>
        <v>19.931001710076295</v>
      </c>
      <c r="AT10" s="9">
        <f t="shared" si="14"/>
        <v>239.17202052091554</v>
      </c>
      <c r="AU10" s="76">
        <f t="shared" si="3"/>
        <v>1557.1595673643237</v>
      </c>
      <c r="AV10" s="76">
        <f t="shared" si="15"/>
        <v>6228.6382694572949</v>
      </c>
    </row>
    <row r="11" spans="1:48" ht="40.5" hidden="1" customHeight="1">
      <c r="A11" s="16">
        <v>9</v>
      </c>
      <c r="B11" s="16" t="s">
        <v>64</v>
      </c>
      <c r="C11" s="16" t="s">
        <v>65</v>
      </c>
      <c r="D11" s="20" t="s">
        <v>66</v>
      </c>
      <c r="E11" s="78">
        <f t="shared" si="0"/>
        <v>15407.6</v>
      </c>
      <c r="F11" s="78">
        <f t="shared" si="1"/>
        <v>17747.875</v>
      </c>
      <c r="G11" s="78">
        <f t="shared" si="4"/>
        <v>32779.25</v>
      </c>
      <c r="H11" s="78">
        <f t="shared" si="5"/>
        <v>34241.25</v>
      </c>
      <c r="I11" s="6">
        <v>39979</v>
      </c>
      <c r="J11" s="6">
        <f>2529+14404+837+2536</f>
        <v>20306</v>
      </c>
      <c r="K11" s="6">
        <f>1774+7298+1212+1147</f>
        <v>11431</v>
      </c>
      <c r="L11" s="6">
        <f>2120+11319+1962+1944</f>
        <v>17345</v>
      </c>
      <c r="M11" s="6">
        <v>15502</v>
      </c>
      <c r="N11" s="6">
        <f>1800+7254+2436+964</f>
        <v>12454</v>
      </c>
      <c r="O11" s="6">
        <v>17248</v>
      </c>
      <c r="P11" s="6">
        <v>20487</v>
      </c>
      <c r="Q11" s="6">
        <v>14079</v>
      </c>
      <c r="R11" s="6">
        <v>18864</v>
      </c>
      <c r="S11" s="6">
        <v>19832</v>
      </c>
      <c r="T11" s="6">
        <v>13412</v>
      </c>
      <c r="U11" s="6">
        <v>19005</v>
      </c>
      <c r="V11" s="6">
        <v>19056</v>
      </c>
      <c r="W11" s="6">
        <v>32198</v>
      </c>
      <c r="X11" s="6">
        <v>38592</v>
      </c>
      <c r="Y11" s="6">
        <v>33194</v>
      </c>
      <c r="Z11" s="6">
        <v>27133</v>
      </c>
      <c r="AA11" s="6">
        <v>34869</v>
      </c>
      <c r="AB11" s="27">
        <v>37403</v>
      </c>
      <c r="AC11" s="27">
        <v>32044</v>
      </c>
      <c r="AD11" s="27">
        <v>32649</v>
      </c>
      <c r="AE11" s="33">
        <f t="shared" si="6"/>
        <v>527082</v>
      </c>
      <c r="AF11" s="33"/>
      <c r="AG11" s="37">
        <v>2.9399999999999999E-2</v>
      </c>
      <c r="AH11" s="33">
        <f t="shared" si="7"/>
        <v>15496.210799999999</v>
      </c>
      <c r="AI11" s="46">
        <f t="shared" si="8"/>
        <v>0.37309210411929239</v>
      </c>
      <c r="AJ11" s="46">
        <f t="shared" si="9"/>
        <v>74618.420823858469</v>
      </c>
      <c r="AK11" s="46">
        <f t="shared" si="10"/>
        <v>2538041.5246210364</v>
      </c>
      <c r="AL11" s="46">
        <f t="shared" si="2"/>
        <v>134337.65085347873</v>
      </c>
      <c r="AM11" s="46">
        <f t="shared" si="11"/>
        <v>11194.804237789895</v>
      </c>
      <c r="AN11" s="48">
        <v>121039</v>
      </c>
      <c r="AP11" s="74">
        <f>საპენსიო!D9</f>
        <v>70.788461538461533</v>
      </c>
      <c r="AQ11" s="74">
        <f>შშმპ!D17</f>
        <v>80.355555555555554</v>
      </c>
      <c r="AR11" s="9">
        <f t="shared" si="12"/>
        <v>75.572008547008551</v>
      </c>
      <c r="AS11" s="9">
        <f t="shared" si="13"/>
        <v>18.893002136752138</v>
      </c>
      <c r="AT11" s="9">
        <f t="shared" si="14"/>
        <v>226.71602564102565</v>
      </c>
      <c r="AU11" s="76">
        <f t="shared" si="3"/>
        <v>1601.6379917269146</v>
      </c>
      <c r="AV11" s="76">
        <f t="shared" si="15"/>
        <v>6406.5519669076584</v>
      </c>
    </row>
    <row r="12" spans="1:48" ht="37.5" hidden="1" customHeight="1">
      <c r="A12" s="16">
        <v>10</v>
      </c>
      <c r="B12" s="16" t="s">
        <v>67</v>
      </c>
      <c r="C12" s="16" t="s">
        <v>67</v>
      </c>
      <c r="D12" s="15" t="s">
        <v>68</v>
      </c>
      <c r="E12" s="78">
        <f t="shared" si="0"/>
        <v>8689.4</v>
      </c>
      <c r="F12" s="78">
        <f t="shared" si="1"/>
        <v>13555.5</v>
      </c>
      <c r="G12" s="78">
        <f t="shared" si="4"/>
        <v>24737.25</v>
      </c>
      <c r="H12" s="78">
        <f t="shared" si="5"/>
        <v>28414</v>
      </c>
      <c r="I12" s="6">
        <v>0</v>
      </c>
      <c r="J12" s="6">
        <v>0</v>
      </c>
      <c r="K12" s="6">
        <v>7868</v>
      </c>
      <c r="L12" s="6">
        <f>14375</f>
        <v>14375</v>
      </c>
      <c r="M12" s="6">
        <v>11156</v>
      </c>
      <c r="N12" s="6">
        <f>10048</f>
        <v>10048</v>
      </c>
      <c r="O12" s="6">
        <v>12392</v>
      </c>
      <c r="P12" s="6">
        <v>14103</v>
      </c>
      <c r="Q12" s="6">
        <v>13297</v>
      </c>
      <c r="R12" s="6">
        <v>12604</v>
      </c>
      <c r="S12" s="6">
        <v>14359</v>
      </c>
      <c r="T12" s="6">
        <v>12716</v>
      </c>
      <c r="U12" s="6">
        <v>14051</v>
      </c>
      <c r="V12" s="6">
        <v>14922</v>
      </c>
      <c r="W12" s="6">
        <v>22164</v>
      </c>
      <c r="X12" s="6">
        <v>27374</v>
      </c>
      <c r="Y12" s="6">
        <v>25245</v>
      </c>
      <c r="Z12" s="6">
        <v>24166</v>
      </c>
      <c r="AA12" s="6">
        <v>27361</v>
      </c>
      <c r="AB12" s="27">
        <v>28311</v>
      </c>
      <c r="AC12" s="27">
        <v>29744</v>
      </c>
      <c r="AD12" s="27">
        <v>28240</v>
      </c>
      <c r="AE12" s="33">
        <f t="shared" si="6"/>
        <v>364496</v>
      </c>
      <c r="AF12" s="33"/>
      <c r="AG12" s="36">
        <v>6.1499999999999999E-2</v>
      </c>
      <c r="AH12" s="33">
        <f t="shared" si="7"/>
        <v>22416.504000000001</v>
      </c>
      <c r="AI12" s="46">
        <f t="shared" si="8"/>
        <v>0.5397074647667115</v>
      </c>
      <c r="AJ12" s="46">
        <f t="shared" si="9"/>
        <v>107941.4929533423</v>
      </c>
      <c r="AK12" s="46">
        <f t="shared" si="10"/>
        <v>1755146.2268836147</v>
      </c>
      <c r="AL12" s="46">
        <f t="shared" si="2"/>
        <v>177680.03416618693</v>
      </c>
      <c r="AM12" s="46">
        <f t="shared" si="11"/>
        <v>14806.669513848912</v>
      </c>
      <c r="AN12" s="48">
        <v>845871</v>
      </c>
      <c r="AP12" s="74">
        <f>საპენსიო!D16</f>
        <v>39.715504978662871</v>
      </c>
      <c r="AQ12" s="74">
        <f>შშმპ!D13</f>
        <v>39.30952380952381</v>
      </c>
      <c r="AR12" s="9">
        <f t="shared" si="12"/>
        <v>39.512514394093344</v>
      </c>
      <c r="AS12" s="9">
        <f t="shared" si="13"/>
        <v>9.878128598523336</v>
      </c>
      <c r="AT12" s="9">
        <f t="shared" si="14"/>
        <v>118.53754318228003</v>
      </c>
      <c r="AU12" s="76">
        <f t="shared" si="3"/>
        <v>21407.673314924443</v>
      </c>
      <c r="AV12" s="76">
        <f t="shared" si="15"/>
        <v>85630.693259697771</v>
      </c>
    </row>
    <row r="13" spans="1:48" ht="51" hidden="1" customHeight="1">
      <c r="A13" s="16">
        <v>11</v>
      </c>
      <c r="B13" s="16" t="s">
        <v>69</v>
      </c>
      <c r="C13" s="16" t="s">
        <v>70</v>
      </c>
      <c r="D13" s="15" t="s">
        <v>71</v>
      </c>
      <c r="E13" s="78">
        <f t="shared" si="0"/>
        <v>44384.4</v>
      </c>
      <c r="F13" s="78">
        <f t="shared" si="1"/>
        <v>58376</v>
      </c>
      <c r="G13" s="78">
        <f t="shared" si="4"/>
        <v>107546.25</v>
      </c>
      <c r="H13" s="78">
        <f t="shared" si="5"/>
        <v>119633.25</v>
      </c>
      <c r="I13" s="6">
        <v>116872</v>
      </c>
      <c r="J13" s="6">
        <v>54518</v>
      </c>
      <c r="K13" s="6">
        <f>368+9138+18725</f>
        <v>28231</v>
      </c>
      <c r="L13" s="6">
        <f>504+13261+39087</f>
        <v>52852</v>
      </c>
      <c r="M13" s="6">
        <v>49931</v>
      </c>
      <c r="N13" s="6">
        <f>10476+25914</f>
        <v>36390</v>
      </c>
      <c r="O13" s="6">
        <v>53175</v>
      </c>
      <c r="P13" s="6">
        <v>16046</v>
      </c>
      <c r="Q13" s="6">
        <v>97151</v>
      </c>
      <c r="R13" s="6">
        <v>57469</v>
      </c>
      <c r="S13" s="6">
        <v>66296</v>
      </c>
      <c r="T13" s="6">
        <v>51563</v>
      </c>
      <c r="U13" s="6">
        <v>64649</v>
      </c>
      <c r="V13" s="6">
        <v>60659</v>
      </c>
      <c r="W13" s="6">
        <v>97657</v>
      </c>
      <c r="X13" s="6">
        <v>118246</v>
      </c>
      <c r="Y13" s="6">
        <v>107252</v>
      </c>
      <c r="Z13" s="6">
        <v>107030</v>
      </c>
      <c r="AA13" s="6">
        <v>117604</v>
      </c>
      <c r="AB13" s="27">
        <v>114148</v>
      </c>
      <c r="AC13" s="27">
        <v>124387</v>
      </c>
      <c r="AD13" s="27">
        <v>122394</v>
      </c>
      <c r="AE13" s="33">
        <f t="shared" si="6"/>
        <v>1714520</v>
      </c>
      <c r="AF13" s="33"/>
      <c r="AG13" s="36">
        <v>0.1205</v>
      </c>
      <c r="AH13" s="33">
        <f t="shared" si="7"/>
        <v>206599.66</v>
      </c>
      <c r="AI13" s="46">
        <f t="shared" si="8"/>
        <v>4.9741645138003934</v>
      </c>
      <c r="AJ13" s="46">
        <f t="shared" si="9"/>
        <v>994832.90276007866</v>
      </c>
      <c r="AK13" s="46">
        <f t="shared" si="10"/>
        <v>8255874.7117018979</v>
      </c>
      <c r="AL13" s="46">
        <f t="shared" si="2"/>
        <v>335127.09448478837</v>
      </c>
      <c r="AM13" s="46">
        <f t="shared" si="11"/>
        <v>27927.257873732367</v>
      </c>
      <c r="AN13" s="48">
        <v>759525</v>
      </c>
      <c r="AP13" s="74">
        <f>საპენსიო!D10</f>
        <v>93.378066378066379</v>
      </c>
      <c r="AQ13" s="74">
        <f>შშმპ!D12</f>
        <v>103.70238095238095</v>
      </c>
      <c r="AR13" s="9">
        <f t="shared" si="12"/>
        <v>98.540223665223664</v>
      </c>
      <c r="AS13" s="9">
        <f t="shared" si="13"/>
        <v>24.635055916305916</v>
      </c>
      <c r="AT13" s="9">
        <f t="shared" si="14"/>
        <v>295.62067099567099</v>
      </c>
      <c r="AU13" s="76">
        <f t="shared" si="3"/>
        <v>7707.7661461412727</v>
      </c>
      <c r="AV13" s="76">
        <f t="shared" si="15"/>
        <v>30831.064584565091</v>
      </c>
    </row>
    <row r="14" spans="1:48" ht="46.5" hidden="1" customHeight="1">
      <c r="A14" s="16">
        <v>12</v>
      </c>
      <c r="B14" s="16" t="s">
        <v>72</v>
      </c>
      <c r="C14" s="16" t="s">
        <v>73</v>
      </c>
      <c r="D14" s="20" t="s">
        <v>74</v>
      </c>
      <c r="E14" s="78">
        <f t="shared" si="0"/>
        <v>48634.2</v>
      </c>
      <c r="F14" s="78">
        <f t="shared" si="1"/>
        <v>66894.25</v>
      </c>
      <c r="G14" s="78">
        <f t="shared" si="4"/>
        <v>100176.75</v>
      </c>
      <c r="H14" s="78">
        <f t="shared" si="5"/>
        <v>128898.75</v>
      </c>
      <c r="I14" s="6">
        <v>70352</v>
      </c>
      <c r="J14" s="6">
        <f>57648</f>
        <v>57648</v>
      </c>
      <c r="K14" s="6">
        <f>32988</f>
        <v>32988</v>
      </c>
      <c r="L14" s="6">
        <f>52491</f>
        <v>52491</v>
      </c>
      <c r="M14" s="6">
        <v>57398</v>
      </c>
      <c r="N14" s="6">
        <f>42646</f>
        <v>42646</v>
      </c>
      <c r="O14" s="6">
        <v>55777</v>
      </c>
      <c r="P14" s="6">
        <v>67473</v>
      </c>
      <c r="Q14" s="6">
        <v>63449</v>
      </c>
      <c r="R14" s="6">
        <v>61564</v>
      </c>
      <c r="S14" s="6">
        <v>82603</v>
      </c>
      <c r="T14" s="6">
        <v>62189</v>
      </c>
      <c r="U14" s="6">
        <v>68137</v>
      </c>
      <c r="V14" s="6">
        <v>73962</v>
      </c>
      <c r="W14" s="6">
        <v>131382</v>
      </c>
      <c r="X14" s="6">
        <v>164451</v>
      </c>
      <c r="Y14" s="6">
        <v>89377</v>
      </c>
      <c r="Z14" s="6">
        <v>15497</v>
      </c>
      <c r="AA14" s="6">
        <v>88710</v>
      </c>
      <c r="AB14" s="27">
        <v>128733</v>
      </c>
      <c r="AC14" s="27">
        <v>149378</v>
      </c>
      <c r="AD14" s="27">
        <v>148774</v>
      </c>
      <c r="AE14" s="33">
        <f t="shared" si="6"/>
        <v>1764979</v>
      </c>
      <c r="AF14" s="33"/>
      <c r="AG14" s="39">
        <v>0.09</v>
      </c>
      <c r="AH14" s="33">
        <f t="shared" si="7"/>
        <v>158848.10999999999</v>
      </c>
      <c r="AI14" s="46">
        <f t="shared" si="8"/>
        <v>3.8244817626818044</v>
      </c>
      <c r="AJ14" s="46">
        <f t="shared" si="9"/>
        <v>764896.35253636097</v>
      </c>
      <c r="AK14" s="46">
        <f t="shared" si="10"/>
        <v>8498848.3615151215</v>
      </c>
      <c r="AL14" s="46">
        <f t="shared" si="2"/>
        <v>467190.50322795869</v>
      </c>
      <c r="AM14" s="46">
        <f t="shared" si="11"/>
        <v>38932.541935663226</v>
      </c>
      <c r="AN14" s="48">
        <v>156923</v>
      </c>
      <c r="AP14" s="74">
        <f>საპენსიო!D12</f>
        <v>70.693345742205679</v>
      </c>
      <c r="AQ14" s="74">
        <f>შშმპ!D7</f>
        <v>74.837837837837839</v>
      </c>
      <c r="AR14" s="9">
        <f t="shared" si="12"/>
        <v>72.765591790021759</v>
      </c>
      <c r="AS14" s="9">
        <f t="shared" si="13"/>
        <v>18.19139794750544</v>
      </c>
      <c r="AT14" s="9">
        <f t="shared" si="14"/>
        <v>218.29677537006529</v>
      </c>
      <c r="AU14" s="76">
        <f t="shared" si="3"/>
        <v>2156.5549889682698</v>
      </c>
      <c r="AV14" s="76">
        <f t="shared" si="15"/>
        <v>8626.219955873079</v>
      </c>
    </row>
    <row r="15" spans="1:48" ht="46.5" hidden="1" customHeight="1">
      <c r="A15" s="16">
        <v>13</v>
      </c>
      <c r="B15" s="16" t="s">
        <v>75</v>
      </c>
      <c r="C15" s="16" t="s">
        <v>75</v>
      </c>
      <c r="D15" s="20" t="s">
        <v>76</v>
      </c>
      <c r="E15" s="78"/>
      <c r="F15" s="78"/>
      <c r="G15" s="78">
        <f t="shared" si="4"/>
        <v>99656.5</v>
      </c>
      <c r="H15" s="78">
        <f t="shared" si="5"/>
        <v>67065.75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>
        <v>0</v>
      </c>
      <c r="Z15" s="6">
        <v>199313</v>
      </c>
      <c r="AA15" s="6">
        <v>138489</v>
      </c>
      <c r="AB15" s="27">
        <v>43957</v>
      </c>
      <c r="AC15" s="27">
        <v>53947</v>
      </c>
      <c r="AD15" s="27">
        <v>31870</v>
      </c>
      <c r="AE15" s="33">
        <f t="shared" si="6"/>
        <v>467576</v>
      </c>
      <c r="AF15" s="33"/>
      <c r="AG15" s="39">
        <v>0.105</v>
      </c>
      <c r="AH15" s="33">
        <f t="shared" si="7"/>
        <v>49095.479999999996</v>
      </c>
      <c r="AI15" s="46">
        <f t="shared" si="8"/>
        <v>1.1820396723014788</v>
      </c>
      <c r="AJ15" s="46">
        <f t="shared" si="9"/>
        <v>236407.93446029574</v>
      </c>
      <c r="AK15" s="46">
        <f t="shared" si="10"/>
        <v>2251504.1377171022</v>
      </c>
      <c r="AL15" s="46">
        <f t="shared" si="2"/>
        <v>91686.631625454684</v>
      </c>
      <c r="AM15" s="46">
        <f t="shared" si="11"/>
        <v>7640.5526354545582</v>
      </c>
      <c r="AN15" s="48">
        <v>1735389</v>
      </c>
      <c r="AP15" s="74">
        <f>საპენსიო!D11</f>
        <v>97.300604229607245</v>
      </c>
      <c r="AQ15" s="74">
        <f>შშმპ!D6</f>
        <v>99.151515151515156</v>
      </c>
      <c r="AR15" s="9">
        <f t="shared" si="12"/>
        <v>98.2260596905612</v>
      </c>
      <c r="AS15" s="9">
        <f t="shared" si="13"/>
        <v>24.5565149226403</v>
      </c>
      <c r="AT15" s="9">
        <f t="shared" si="14"/>
        <v>294.67817907168359</v>
      </c>
      <c r="AU15" s="76">
        <f t="shared" si="3"/>
        <v>17667.297308544668</v>
      </c>
      <c r="AV15" s="76">
        <f t="shared" si="15"/>
        <v>70669.189234178673</v>
      </c>
    </row>
    <row r="16" spans="1:48" ht="46.5" hidden="1" customHeight="1">
      <c r="A16" s="16">
        <v>14</v>
      </c>
      <c r="B16" s="16" t="s">
        <v>77</v>
      </c>
      <c r="C16" s="16" t="s">
        <v>78</v>
      </c>
      <c r="D16" s="20" t="s">
        <v>79</v>
      </c>
      <c r="E16" s="78"/>
      <c r="F16" s="78"/>
      <c r="G16" s="78">
        <f t="shared" si="4"/>
        <v>5203.5</v>
      </c>
      <c r="H16" s="78">
        <f t="shared" si="5"/>
        <v>13615.75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>
        <v>0</v>
      </c>
      <c r="Z16" s="6">
        <v>10407</v>
      </c>
      <c r="AA16" s="6">
        <v>11936</v>
      </c>
      <c r="AB16" s="27">
        <v>13690</v>
      </c>
      <c r="AC16" s="27">
        <v>14570</v>
      </c>
      <c r="AD16" s="27">
        <v>14267</v>
      </c>
      <c r="AE16" s="33">
        <f t="shared" si="6"/>
        <v>64870</v>
      </c>
      <c r="AF16" s="33"/>
      <c r="AG16" s="40">
        <v>0.23400000000000001</v>
      </c>
      <c r="AH16" s="33">
        <f t="shared" si="7"/>
        <v>15179.580000000002</v>
      </c>
      <c r="AI16" s="46">
        <f t="shared" si="8"/>
        <v>0.36546879201250471</v>
      </c>
      <c r="AJ16" s="46">
        <f t="shared" si="9"/>
        <v>73093.758402500942</v>
      </c>
      <c r="AK16" s="46">
        <f t="shared" si="10"/>
        <v>312366.48889957665</v>
      </c>
      <c r="AL16" s="46">
        <f t="shared" si="2"/>
        <v>35627.122790332658</v>
      </c>
      <c r="AM16" s="46">
        <f t="shared" si="11"/>
        <v>2968.9268991943882</v>
      </c>
      <c r="AN16" s="48">
        <v>408402</v>
      </c>
      <c r="AP16" s="74">
        <f>საპენსიო!D13</f>
        <v>37.95945945945946</v>
      </c>
      <c r="AQ16" s="74">
        <f>შშმპ!D8</f>
        <v>32.18181818181818</v>
      </c>
      <c r="AR16" s="9">
        <f t="shared" si="12"/>
        <v>35.07063882063882</v>
      </c>
      <c r="AS16" s="9">
        <f t="shared" si="13"/>
        <v>8.7676597051597049</v>
      </c>
      <c r="AT16" s="9">
        <f t="shared" si="14"/>
        <v>105.21191646191646</v>
      </c>
      <c r="AU16" s="76">
        <f t="shared" si="3"/>
        <v>11645.12577283475</v>
      </c>
      <c r="AV16" s="76">
        <f t="shared" si="15"/>
        <v>46580.503091339</v>
      </c>
    </row>
    <row r="17" spans="1:48" ht="46.5" hidden="1" customHeight="1">
      <c r="A17" s="16">
        <v>15</v>
      </c>
      <c r="B17" s="21" t="s">
        <v>80</v>
      </c>
      <c r="C17" s="16" t="s">
        <v>81</v>
      </c>
      <c r="D17" s="20" t="s">
        <v>68</v>
      </c>
      <c r="E17" s="78"/>
      <c r="F17" s="78"/>
      <c r="G17" s="78">
        <f t="shared" si="4"/>
        <v>0</v>
      </c>
      <c r="H17" s="78">
        <f t="shared" si="5"/>
        <v>22701.5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>
        <v>0</v>
      </c>
      <c r="AA17" s="6">
        <v>9963</v>
      </c>
      <c r="AB17" s="27">
        <v>21402</v>
      </c>
      <c r="AC17" s="27">
        <v>23577</v>
      </c>
      <c r="AD17" s="27">
        <v>35864</v>
      </c>
      <c r="AE17" s="33">
        <f t="shared" si="6"/>
        <v>90806</v>
      </c>
      <c r="AF17" s="33"/>
      <c r="AG17" s="39">
        <v>0.316</v>
      </c>
      <c r="AH17" s="33">
        <f t="shared" si="7"/>
        <v>28694.696</v>
      </c>
      <c r="AI17" s="46">
        <f t="shared" si="8"/>
        <v>0.6908633759488767</v>
      </c>
      <c r="AJ17" s="46">
        <f t="shared" si="9"/>
        <v>138172.67518977533</v>
      </c>
      <c r="AK17" s="46">
        <f t="shared" si="10"/>
        <v>437255.30123346625</v>
      </c>
      <c r="AL17" s="46">
        <f t="shared" si="2"/>
        <v>58300.706831128831</v>
      </c>
      <c r="AM17" s="46">
        <f t="shared" si="11"/>
        <v>4858.3922359274029</v>
      </c>
      <c r="AN17" s="48">
        <v>743338</v>
      </c>
      <c r="AP17" s="74"/>
      <c r="AQ17" s="74">
        <f>შშმპ!D28</f>
        <v>30</v>
      </c>
      <c r="AR17" s="9">
        <f t="shared" si="12"/>
        <v>30</v>
      </c>
      <c r="AS17" s="9">
        <f t="shared" si="13"/>
        <v>7.5</v>
      </c>
      <c r="AT17" s="9">
        <f t="shared" si="14"/>
        <v>90</v>
      </c>
      <c r="AU17" s="76">
        <f t="shared" si="3"/>
        <v>24777.933333333334</v>
      </c>
      <c r="AV17" s="76">
        <f t="shared" si="15"/>
        <v>99111.733333333337</v>
      </c>
    </row>
    <row r="18" spans="1:48" ht="46.5" hidden="1" customHeight="1">
      <c r="A18" s="16">
        <v>16</v>
      </c>
      <c r="B18" s="21" t="s">
        <v>82</v>
      </c>
      <c r="C18" s="16" t="s">
        <v>83</v>
      </c>
      <c r="D18" s="20" t="s">
        <v>68</v>
      </c>
      <c r="E18" s="78"/>
      <c r="F18" s="78"/>
      <c r="G18" s="78">
        <f t="shared" si="4"/>
        <v>92</v>
      </c>
      <c r="H18" s="78">
        <f t="shared" si="5"/>
        <v>41466.75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>
        <v>92</v>
      </c>
      <c r="AA18" s="6">
        <v>18621</v>
      </c>
      <c r="AB18" s="27">
        <v>37794</v>
      </c>
      <c r="AC18" s="27">
        <v>50309</v>
      </c>
      <c r="AD18" s="27">
        <v>59143</v>
      </c>
      <c r="AE18" s="33">
        <f t="shared" si="6"/>
        <v>165959</v>
      </c>
      <c r="AF18" s="33"/>
      <c r="AG18" s="39">
        <v>0.38</v>
      </c>
      <c r="AH18" s="33">
        <f t="shared" si="7"/>
        <v>63064.42</v>
      </c>
      <c r="AI18" s="46">
        <f t="shared" si="8"/>
        <v>1.5183606790417943</v>
      </c>
      <c r="AJ18" s="46">
        <f t="shared" si="9"/>
        <v>303672.13580835884</v>
      </c>
      <c r="AK18" s="46">
        <f t="shared" si="10"/>
        <v>799137.1994956811</v>
      </c>
      <c r="AN18" s="48">
        <v>851106</v>
      </c>
      <c r="AP18" s="74"/>
      <c r="AQ18" s="74"/>
      <c r="AR18" s="9"/>
      <c r="AS18" s="9">
        <f t="shared" si="13"/>
        <v>0</v>
      </c>
      <c r="AT18" s="9">
        <f t="shared" si="14"/>
        <v>0</v>
      </c>
      <c r="AU18" s="76"/>
    </row>
    <row r="19" spans="1:48" ht="46.5" hidden="1" customHeight="1">
      <c r="A19" s="16">
        <v>18</v>
      </c>
      <c r="B19" s="21" t="s">
        <v>84</v>
      </c>
      <c r="C19" s="16" t="s">
        <v>85</v>
      </c>
      <c r="D19" s="20" t="s">
        <v>86</v>
      </c>
      <c r="E19" s="78"/>
      <c r="F19" s="78"/>
      <c r="G19" s="78">
        <f t="shared" si="4"/>
        <v>14476</v>
      </c>
      <c r="H19" s="78">
        <f t="shared" si="5"/>
        <v>83265.75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>
        <v>14476</v>
      </c>
      <c r="AA19" s="6">
        <v>64466</v>
      </c>
      <c r="AB19" s="27">
        <v>102410</v>
      </c>
      <c r="AC19" s="27">
        <v>128627</v>
      </c>
      <c r="AD19" s="27">
        <v>37560</v>
      </c>
      <c r="AE19" s="33">
        <f t="shared" si="6"/>
        <v>347539</v>
      </c>
      <c r="AF19" s="33"/>
      <c r="AG19" s="36">
        <v>6.7500000000000004E-2</v>
      </c>
      <c r="AH19" s="33">
        <f t="shared" si="7"/>
        <v>23458.882500000003</v>
      </c>
      <c r="AI19" s="46">
        <f t="shared" si="8"/>
        <v>0.56480412825903525</v>
      </c>
      <c r="AJ19" s="46">
        <f t="shared" si="9"/>
        <v>112960.82565180706</v>
      </c>
      <c r="AK19" s="46">
        <f t="shared" si="10"/>
        <v>1673493.7133601045</v>
      </c>
      <c r="AN19" s="48">
        <v>1812679</v>
      </c>
      <c r="AP19" s="74"/>
      <c r="AQ19" s="74"/>
      <c r="AR19" s="9"/>
      <c r="AS19" s="9">
        <f t="shared" si="13"/>
        <v>0</v>
      </c>
      <c r="AT19" s="9">
        <f t="shared" si="14"/>
        <v>0</v>
      </c>
      <c r="AU19" s="76"/>
    </row>
    <row r="20" spans="1:48" ht="46.5" hidden="1" customHeight="1">
      <c r="A20" s="16">
        <v>19</v>
      </c>
      <c r="B20" s="21" t="s">
        <v>87</v>
      </c>
      <c r="C20" s="16" t="s">
        <v>88</v>
      </c>
      <c r="D20" s="20" t="s">
        <v>89</v>
      </c>
      <c r="E20" s="78"/>
      <c r="F20" s="78"/>
      <c r="G20" s="78">
        <f t="shared" si="4"/>
        <v>152</v>
      </c>
      <c r="H20" s="78">
        <f t="shared" si="5"/>
        <v>34770.75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>
        <v>152</v>
      </c>
      <c r="AA20" s="6">
        <v>19619</v>
      </c>
      <c r="AB20" s="27">
        <v>36603</v>
      </c>
      <c r="AC20" s="27">
        <v>40167</v>
      </c>
      <c r="AD20" s="27">
        <v>42694</v>
      </c>
      <c r="AE20" s="33">
        <f t="shared" si="6"/>
        <v>139235</v>
      </c>
      <c r="AF20" s="33"/>
      <c r="AG20" s="39">
        <v>0.06</v>
      </c>
      <c r="AH20" s="33">
        <f t="shared" si="7"/>
        <v>8354.1</v>
      </c>
      <c r="AI20" s="46">
        <f t="shared" si="8"/>
        <v>0.2011361865974991</v>
      </c>
      <c r="AJ20" s="46">
        <f t="shared" si="9"/>
        <v>40227.237319499822</v>
      </c>
      <c r="AK20" s="46">
        <f t="shared" si="10"/>
        <v>670453.95532499708</v>
      </c>
      <c r="AL20" s="46">
        <f t="shared" ref="AL20:AL31" si="16">AK20/AS20</f>
        <v>43964.193791803089</v>
      </c>
      <c r="AM20" s="46">
        <f t="shared" si="11"/>
        <v>3663.6828159835904</v>
      </c>
      <c r="AN20" s="48">
        <v>1501133</v>
      </c>
      <c r="AP20" s="74">
        <f>საპენსიო!D29</f>
        <v>61</v>
      </c>
      <c r="AQ20" s="74"/>
      <c r="AR20" s="9">
        <f t="shared" si="12"/>
        <v>61</v>
      </c>
      <c r="AS20" s="9">
        <f t="shared" si="13"/>
        <v>15.25</v>
      </c>
      <c r="AT20" s="9">
        <f t="shared" si="14"/>
        <v>183</v>
      </c>
      <c r="AU20" s="76">
        <f t="shared" ref="AU20:AU31" si="17">AN20/AR20</f>
        <v>24608.737704918032</v>
      </c>
    </row>
    <row r="21" spans="1:48" ht="46.5" hidden="1" customHeight="1">
      <c r="A21" s="16">
        <v>20</v>
      </c>
      <c r="B21" s="21" t="s">
        <v>90</v>
      </c>
      <c r="C21" s="21" t="s">
        <v>91</v>
      </c>
      <c r="D21" s="20" t="s">
        <v>86</v>
      </c>
      <c r="E21" s="78"/>
      <c r="F21" s="78"/>
      <c r="G21" s="78">
        <f t="shared" si="4"/>
        <v>5620</v>
      </c>
      <c r="H21" s="78">
        <f t="shared" si="5"/>
        <v>35194.75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>
        <v>5620</v>
      </c>
      <c r="AA21" s="6">
        <v>23666</v>
      </c>
      <c r="AB21" s="27">
        <v>35141</v>
      </c>
      <c r="AC21" s="27">
        <v>40081</v>
      </c>
      <c r="AD21" s="27">
        <v>41891</v>
      </c>
      <c r="AE21" s="33">
        <f t="shared" si="6"/>
        <v>146399</v>
      </c>
      <c r="AF21" s="33"/>
      <c r="AG21" s="40">
        <v>0.14899999999999999</v>
      </c>
      <c r="AH21" s="33">
        <f t="shared" si="7"/>
        <v>21813.450999999997</v>
      </c>
      <c r="AI21" s="46">
        <f t="shared" si="8"/>
        <v>0.525188153202787</v>
      </c>
      <c r="AJ21" s="46">
        <f t="shared" si="9"/>
        <v>105037.63064055741</v>
      </c>
      <c r="AK21" s="46">
        <f t="shared" si="10"/>
        <v>704950.54121179471</v>
      </c>
      <c r="AL21" s="46">
        <f t="shared" si="16"/>
        <v>60842.20438674411</v>
      </c>
      <c r="AM21" s="46">
        <f t="shared" si="11"/>
        <v>5070.1836988953419</v>
      </c>
      <c r="AN21" s="48">
        <v>1800628</v>
      </c>
      <c r="AP21" s="74">
        <f>საპენსიო!D35</f>
        <v>54.692307692307693</v>
      </c>
      <c r="AQ21" s="74">
        <f>შშმპ!D36</f>
        <v>38</v>
      </c>
      <c r="AR21" s="9">
        <f t="shared" si="12"/>
        <v>46.346153846153847</v>
      </c>
      <c r="AS21" s="9">
        <f t="shared" si="13"/>
        <v>11.586538461538462</v>
      </c>
      <c r="AT21" s="9">
        <f t="shared" si="14"/>
        <v>139.03846153846155</v>
      </c>
      <c r="AU21" s="76">
        <f t="shared" si="17"/>
        <v>38851.724481327801</v>
      </c>
    </row>
    <row r="22" spans="1:48" ht="46.5" hidden="1" customHeight="1">
      <c r="A22" s="16">
        <v>22</v>
      </c>
      <c r="B22" s="21" t="s">
        <v>92</v>
      </c>
      <c r="C22" s="16" t="s">
        <v>93</v>
      </c>
      <c r="D22" s="20" t="s">
        <v>94</v>
      </c>
      <c r="E22" s="78"/>
      <c r="F22" s="78"/>
      <c r="G22" s="78">
        <f t="shared" si="4"/>
        <v>16901</v>
      </c>
      <c r="H22" s="78">
        <f t="shared" si="5"/>
        <v>132485.75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>
        <v>16901</v>
      </c>
      <c r="AA22" s="6">
        <v>84884</v>
      </c>
      <c r="AB22" s="27">
        <v>131581</v>
      </c>
      <c r="AC22" s="27">
        <v>153370</v>
      </c>
      <c r="AD22" s="27">
        <v>160108</v>
      </c>
      <c r="AE22" s="33">
        <f t="shared" si="6"/>
        <v>546844</v>
      </c>
      <c r="AF22" s="33"/>
      <c r="AG22" s="39">
        <v>7.2099999999999997E-2</v>
      </c>
      <c r="AH22" s="33">
        <f t="shared" si="7"/>
        <v>39427.452400000002</v>
      </c>
      <c r="AI22" s="46">
        <f t="shared" si="8"/>
        <v>0.94926891262857926</v>
      </c>
      <c r="AJ22" s="46">
        <f t="shared" si="9"/>
        <v>189853.78252571585</v>
      </c>
      <c r="AK22" s="46">
        <f t="shared" si="10"/>
        <v>2633200.8672082643</v>
      </c>
      <c r="AL22" s="46">
        <f t="shared" si="16"/>
        <v>152883.9464895417</v>
      </c>
      <c r="AM22" s="46">
        <f t="shared" si="11"/>
        <v>12740.328874128476</v>
      </c>
      <c r="AN22" s="48">
        <v>20329792</v>
      </c>
      <c r="AP22" s="74">
        <f>საპენსიო!D31</f>
        <v>72.359649122807014</v>
      </c>
      <c r="AQ22" s="74">
        <f>შშმპ!D31</f>
        <v>65.428571428571431</v>
      </c>
      <c r="AR22" s="9">
        <f t="shared" si="12"/>
        <v>68.894110275689229</v>
      </c>
      <c r="AS22" s="9">
        <f t="shared" si="13"/>
        <v>17.223527568922307</v>
      </c>
      <c r="AT22" s="9">
        <f t="shared" si="14"/>
        <v>206.68233082706769</v>
      </c>
      <c r="AU22" s="76">
        <f t="shared" si="17"/>
        <v>295087.517911873</v>
      </c>
    </row>
    <row r="23" spans="1:48" ht="46.5" hidden="1" customHeight="1">
      <c r="A23" s="16">
        <v>23</v>
      </c>
      <c r="B23" s="21" t="s">
        <v>95</v>
      </c>
      <c r="C23" s="16" t="s">
        <v>96</v>
      </c>
      <c r="D23" s="20" t="s">
        <v>97</v>
      </c>
      <c r="E23" s="78"/>
      <c r="F23" s="78"/>
      <c r="G23" s="78">
        <f t="shared" si="4"/>
        <v>2114</v>
      </c>
      <c r="H23" s="78">
        <f t="shared" si="5"/>
        <v>21529.5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>
        <v>2114</v>
      </c>
      <c r="AA23" s="6">
        <v>15922</v>
      </c>
      <c r="AB23" s="27">
        <v>19185</v>
      </c>
      <c r="AC23" s="27">
        <v>23726</v>
      </c>
      <c r="AD23" s="27">
        <v>27285</v>
      </c>
      <c r="AE23" s="33">
        <f t="shared" si="6"/>
        <v>88232</v>
      </c>
      <c r="AF23" s="33"/>
      <c r="AG23" s="39">
        <v>0.08</v>
      </c>
      <c r="AH23" s="33">
        <f t="shared" si="7"/>
        <v>7058.56</v>
      </c>
      <c r="AI23" s="46">
        <f t="shared" si="8"/>
        <v>0.16994431970764576</v>
      </c>
      <c r="AJ23" s="46">
        <f t="shared" si="9"/>
        <v>33988.863941529155</v>
      </c>
      <c r="AK23" s="46">
        <f t="shared" si="10"/>
        <v>424860.79926911445</v>
      </c>
      <c r="AL23" s="46">
        <f t="shared" si="16"/>
        <v>28448.82884973806</v>
      </c>
      <c r="AM23" s="46">
        <f t="shared" si="11"/>
        <v>2370.7357374781714</v>
      </c>
      <c r="AN23" s="48">
        <v>4642341</v>
      </c>
      <c r="AP23" s="74">
        <f>საპენსიო!D30</f>
        <v>59.736842105263158</v>
      </c>
      <c r="AQ23" s="74"/>
      <c r="AR23" s="9">
        <f t="shared" si="12"/>
        <v>59.736842105263158</v>
      </c>
      <c r="AS23" s="9">
        <f t="shared" si="13"/>
        <v>14.934210526315789</v>
      </c>
      <c r="AT23" s="9">
        <f t="shared" si="14"/>
        <v>179.21052631578948</v>
      </c>
      <c r="AU23" s="76">
        <f t="shared" si="17"/>
        <v>77713.197356828197</v>
      </c>
    </row>
    <row r="24" spans="1:48" ht="33.75" hidden="1" customHeight="1">
      <c r="A24" s="16">
        <v>24</v>
      </c>
      <c r="B24" s="16" t="s">
        <v>98</v>
      </c>
      <c r="C24" s="16" t="s">
        <v>99</v>
      </c>
      <c r="D24" s="19" t="s">
        <v>100</v>
      </c>
      <c r="E24" s="78">
        <f t="shared" ref="E24:E31" si="18">AVERAGE(J24:N24)</f>
        <v>111386.8</v>
      </c>
      <c r="F24" s="78">
        <f t="shared" ref="F24:F31" si="19">AVERAGE(O24:V24)</f>
        <v>170083.625</v>
      </c>
      <c r="G24" s="78">
        <f t="shared" si="4"/>
        <v>340627</v>
      </c>
      <c r="H24" s="78">
        <f t="shared" si="5"/>
        <v>413211</v>
      </c>
      <c r="I24" s="6">
        <v>255662</v>
      </c>
      <c r="J24" s="6">
        <v>103969</v>
      </c>
      <c r="K24" s="6">
        <f>14393+31795+12615+6244+1102</f>
        <v>66149</v>
      </c>
      <c r="L24" s="6">
        <f>31487+100998+25728+1020</f>
        <v>159233</v>
      </c>
      <c r="M24" s="6">
        <v>129089</v>
      </c>
      <c r="N24" s="22">
        <f>6352+51394+39920+828</f>
        <v>98494</v>
      </c>
      <c r="O24" s="22">
        <v>168080</v>
      </c>
      <c r="P24" s="22">
        <v>168944</v>
      </c>
      <c r="Q24" s="22">
        <v>137425</v>
      </c>
      <c r="R24" s="22">
        <v>172936</v>
      </c>
      <c r="S24" s="22">
        <v>195246</v>
      </c>
      <c r="T24" s="22">
        <v>141714</v>
      </c>
      <c r="U24" s="22">
        <v>185410</v>
      </c>
      <c r="V24" s="22">
        <v>190914</v>
      </c>
      <c r="W24" s="22">
        <v>277656</v>
      </c>
      <c r="X24" s="22">
        <v>352098</v>
      </c>
      <c r="Y24" s="22">
        <v>363351</v>
      </c>
      <c r="Z24" s="22">
        <v>369403</v>
      </c>
      <c r="AA24" s="22">
        <v>398024</v>
      </c>
      <c r="AB24" s="29">
        <v>426880</v>
      </c>
      <c r="AC24" s="29">
        <v>422016</v>
      </c>
      <c r="AD24" s="29">
        <v>405924</v>
      </c>
      <c r="AE24" s="33">
        <f t="shared" si="6"/>
        <v>5188617</v>
      </c>
      <c r="AF24" s="33"/>
      <c r="AG24" s="40">
        <v>8.4500000000000006E-2</v>
      </c>
      <c r="AH24" s="33">
        <f t="shared" si="7"/>
        <v>438438.13650000002</v>
      </c>
      <c r="AI24" s="46">
        <f t="shared" si="8"/>
        <v>10.555987459394043</v>
      </c>
      <c r="AJ24" s="46">
        <f t="shared" si="9"/>
        <v>2111197.4918788085</v>
      </c>
      <c r="AK24" s="46">
        <f t="shared" si="10"/>
        <v>24984585.70270779</v>
      </c>
      <c r="AL24" s="46">
        <f t="shared" si="16"/>
        <v>690732.3753495625</v>
      </c>
      <c r="AM24" s="46">
        <f t="shared" si="11"/>
        <v>57561.031279130213</v>
      </c>
      <c r="AN24" s="48">
        <v>823420</v>
      </c>
      <c r="AP24" s="74">
        <f>საპენსიო!D18</f>
        <v>143.02982162764772</v>
      </c>
      <c r="AQ24" s="74">
        <f>შშმპ!D19</f>
        <v>146.33939393939394</v>
      </c>
      <c r="AR24" s="9">
        <f t="shared" si="12"/>
        <v>144.68460778352085</v>
      </c>
      <c r="AS24" s="9">
        <f t="shared" si="13"/>
        <v>36.171151945880212</v>
      </c>
      <c r="AT24" s="9">
        <f t="shared" si="14"/>
        <v>434.05382335056254</v>
      </c>
      <c r="AU24" s="76">
        <f t="shared" si="17"/>
        <v>5691.1375205302602</v>
      </c>
    </row>
    <row r="25" spans="1:48" ht="51.75" hidden="1" customHeight="1">
      <c r="A25" s="16">
        <v>25</v>
      </c>
      <c r="B25" s="16" t="s">
        <v>101</v>
      </c>
      <c r="C25" s="16" t="s">
        <v>102</v>
      </c>
      <c r="D25" s="20" t="s">
        <v>103</v>
      </c>
      <c r="E25" s="78">
        <f t="shared" si="18"/>
        <v>29537.8</v>
      </c>
      <c r="F25" s="78">
        <f t="shared" si="19"/>
        <v>59391.375</v>
      </c>
      <c r="G25" s="78">
        <f t="shared" si="4"/>
        <v>107459.75</v>
      </c>
      <c r="H25" s="78">
        <f t="shared" si="5"/>
        <v>148344.75</v>
      </c>
      <c r="I25" s="6">
        <v>22614</v>
      </c>
      <c r="J25" s="6">
        <f>3092+8803</f>
        <v>11895</v>
      </c>
      <c r="K25" s="6">
        <v>700</v>
      </c>
      <c r="L25" s="6">
        <f>562+329+28856</f>
        <v>29747</v>
      </c>
      <c r="M25" s="6">
        <v>79226</v>
      </c>
      <c r="N25" s="6">
        <f>26120+1</f>
        <v>26121</v>
      </c>
      <c r="O25" s="6">
        <v>51767</v>
      </c>
      <c r="P25" s="6">
        <v>64413</v>
      </c>
      <c r="Q25" s="6">
        <v>45245</v>
      </c>
      <c r="R25" s="6">
        <v>53493</v>
      </c>
      <c r="S25" s="6">
        <v>75130</v>
      </c>
      <c r="T25" s="6">
        <v>47604</v>
      </c>
      <c r="U25" s="6">
        <v>60976</v>
      </c>
      <c r="V25" s="6">
        <v>76503</v>
      </c>
      <c r="W25" s="6">
        <v>99668</v>
      </c>
      <c r="X25" s="6">
        <v>130154</v>
      </c>
      <c r="Y25" s="6">
        <v>97303</v>
      </c>
      <c r="Z25" s="6">
        <v>102714</v>
      </c>
      <c r="AA25" s="6">
        <v>167394</v>
      </c>
      <c r="AB25" s="27">
        <v>142531</v>
      </c>
      <c r="AC25" s="27">
        <v>138106</v>
      </c>
      <c r="AD25" s="27">
        <v>145348</v>
      </c>
      <c r="AE25" s="33">
        <f t="shared" si="6"/>
        <v>1668652</v>
      </c>
      <c r="AF25" s="33"/>
      <c r="AG25" s="41">
        <v>0.1119</v>
      </c>
      <c r="AH25" s="33">
        <f t="shared" si="7"/>
        <v>186722.1588</v>
      </c>
      <c r="AI25" s="46">
        <f t="shared" si="8"/>
        <v>4.4955869542242324</v>
      </c>
      <c r="AJ25" s="46">
        <f t="shared" si="9"/>
        <v>899117.39084484649</v>
      </c>
      <c r="AK25" s="46">
        <f t="shared" si="10"/>
        <v>8035007.9610799504</v>
      </c>
      <c r="AL25" s="46">
        <f t="shared" si="16"/>
        <v>380995.92534833838</v>
      </c>
      <c r="AM25" s="46">
        <f t="shared" si="11"/>
        <v>31749.660445694863</v>
      </c>
      <c r="AN25" s="48">
        <v>610238</v>
      </c>
      <c r="AP25" s="74">
        <f>საპენსიო!D20</f>
        <v>83.653382275825905</v>
      </c>
      <c r="AQ25" s="74">
        <f>შშმპ!D20</f>
        <v>85.0625</v>
      </c>
      <c r="AR25" s="9">
        <f t="shared" si="12"/>
        <v>84.357941137912945</v>
      </c>
      <c r="AS25" s="9">
        <f t="shared" si="13"/>
        <v>21.089485284478236</v>
      </c>
      <c r="AT25" s="9">
        <f t="shared" si="14"/>
        <v>253.07382341373884</v>
      </c>
      <c r="AU25" s="76">
        <f t="shared" si="17"/>
        <v>7233.9129164182632</v>
      </c>
    </row>
    <row r="26" spans="1:48" hidden="1">
      <c r="A26" s="16">
        <v>26</v>
      </c>
      <c r="B26" s="16" t="s">
        <v>104</v>
      </c>
      <c r="C26" s="16" t="s">
        <v>105</v>
      </c>
      <c r="D26" s="23" t="s">
        <v>106</v>
      </c>
      <c r="E26" s="78">
        <f t="shared" si="18"/>
        <v>32737.8</v>
      </c>
      <c r="F26" s="78">
        <f t="shared" si="19"/>
        <v>54173.125</v>
      </c>
      <c r="G26" s="78">
        <f t="shared" si="4"/>
        <v>105344.25</v>
      </c>
      <c r="H26" s="78">
        <f t="shared" si="5"/>
        <v>131738.25</v>
      </c>
      <c r="I26" s="6">
        <v>35404</v>
      </c>
      <c r="J26" s="6">
        <f>630+300</f>
        <v>930</v>
      </c>
      <c r="K26" s="6">
        <v>24</v>
      </c>
      <c r="L26" s="6">
        <f>2+18170+30+84119</f>
        <v>102321</v>
      </c>
      <c r="M26" s="6">
        <v>38566</v>
      </c>
      <c r="N26" s="6">
        <f>3538+30+18280</f>
        <v>21848</v>
      </c>
      <c r="O26" s="6">
        <v>72462</v>
      </c>
      <c r="P26" s="6">
        <v>48945</v>
      </c>
      <c r="Q26" s="6">
        <v>33097</v>
      </c>
      <c r="R26" s="6">
        <v>65867</v>
      </c>
      <c r="S26" s="6">
        <v>59457</v>
      </c>
      <c r="T26" s="6">
        <v>34447</v>
      </c>
      <c r="U26" s="6">
        <v>64628</v>
      </c>
      <c r="V26" s="6">
        <v>54482</v>
      </c>
      <c r="W26" s="6">
        <v>84344</v>
      </c>
      <c r="X26" s="6">
        <v>130224</v>
      </c>
      <c r="Y26" s="6">
        <v>103094</v>
      </c>
      <c r="Z26" s="6">
        <v>103715</v>
      </c>
      <c r="AA26" s="6">
        <v>136114</v>
      </c>
      <c r="AB26" s="27">
        <v>128423</v>
      </c>
      <c r="AC26" s="27">
        <v>130971</v>
      </c>
      <c r="AD26" s="27">
        <v>131445</v>
      </c>
      <c r="AE26" s="33">
        <f t="shared" si="6"/>
        <v>1580808</v>
      </c>
      <c r="AF26" s="33"/>
      <c r="AG26" s="42">
        <v>0.109</v>
      </c>
      <c r="AH26" s="33">
        <f t="shared" si="7"/>
        <v>172308.07199999999</v>
      </c>
      <c r="AI26" s="46">
        <f t="shared" si="8"/>
        <v>4.1485484399333625</v>
      </c>
      <c r="AJ26" s="46">
        <f t="shared" si="9"/>
        <v>829709.68798667251</v>
      </c>
      <c r="AK26" s="46">
        <f t="shared" si="10"/>
        <v>7612015.4861162612</v>
      </c>
      <c r="AL26" s="46">
        <f t="shared" si="16"/>
        <v>259106.61317650956</v>
      </c>
      <c r="AM26" s="46">
        <f t="shared" si="11"/>
        <v>21592.21776470913</v>
      </c>
      <c r="AN26" s="48">
        <v>304248</v>
      </c>
      <c r="AP26" s="74">
        <f>საპენსიო!D19</f>
        <v>119.85441176470589</v>
      </c>
      <c r="AQ26" s="74">
        <f>შშმპ!D18</f>
        <v>115.16901408450704</v>
      </c>
      <c r="AR26" s="9">
        <f t="shared" si="12"/>
        <v>117.51171292460646</v>
      </c>
      <c r="AS26" s="9">
        <f t="shared" si="13"/>
        <v>29.377928231151614</v>
      </c>
      <c r="AT26" s="9">
        <f t="shared" si="14"/>
        <v>352.53513877381937</v>
      </c>
      <c r="AU26" s="76">
        <f t="shared" si="17"/>
        <v>2589.0865891402709</v>
      </c>
    </row>
    <row r="27" spans="1:48" hidden="1">
      <c r="A27" s="16">
        <v>27</v>
      </c>
      <c r="B27" s="16" t="s">
        <v>107</v>
      </c>
      <c r="C27" s="16" t="s">
        <v>108</v>
      </c>
      <c r="D27" s="20" t="s">
        <v>109</v>
      </c>
      <c r="E27" s="78">
        <f t="shared" si="18"/>
        <v>3042.2</v>
      </c>
      <c r="F27" s="78">
        <f t="shared" si="19"/>
        <v>3862.625</v>
      </c>
      <c r="G27" s="78">
        <f t="shared" si="4"/>
        <v>8559.25</v>
      </c>
      <c r="H27" s="78">
        <f t="shared" si="5"/>
        <v>7996.333333333333</v>
      </c>
      <c r="I27" s="6">
        <v>2774</v>
      </c>
      <c r="J27" s="6">
        <v>3424</v>
      </c>
      <c r="K27" s="6">
        <v>2384</v>
      </c>
      <c r="L27" s="6">
        <f>2117</f>
        <v>2117</v>
      </c>
      <c r="M27" s="6">
        <v>4162</v>
      </c>
      <c r="N27" s="6">
        <f>2480+644</f>
        <v>3124</v>
      </c>
      <c r="O27" s="6">
        <v>2678</v>
      </c>
      <c r="P27" s="6">
        <v>2208</v>
      </c>
      <c r="Q27" s="6">
        <v>5712</v>
      </c>
      <c r="R27" s="6">
        <v>2577</v>
      </c>
      <c r="S27" s="6">
        <v>4044</v>
      </c>
      <c r="T27" s="6">
        <v>5261</v>
      </c>
      <c r="U27" s="6">
        <v>4810</v>
      </c>
      <c r="V27" s="6">
        <v>3611</v>
      </c>
      <c r="W27" s="6">
        <v>6970</v>
      </c>
      <c r="X27" s="6">
        <v>10729</v>
      </c>
      <c r="Y27" s="6">
        <v>7133</v>
      </c>
      <c r="Z27" s="6">
        <v>9405</v>
      </c>
      <c r="AA27" s="6">
        <v>6884</v>
      </c>
      <c r="AB27" s="27">
        <v>10015</v>
      </c>
      <c r="AC27" s="27">
        <v>7090</v>
      </c>
      <c r="AD27" s="27"/>
      <c r="AE27" s="33">
        <f t="shared" si="6"/>
        <v>107112</v>
      </c>
      <c r="AF27" s="33"/>
      <c r="AG27" s="36">
        <v>0.16520000000000001</v>
      </c>
      <c r="AH27" s="33">
        <f t="shared" si="7"/>
        <v>17694.902400000003</v>
      </c>
      <c r="AI27" s="46">
        <f t="shared" si="8"/>
        <v>0.42602855974323206</v>
      </c>
      <c r="AJ27" s="46">
        <f t="shared" si="9"/>
        <v>85205.711948646422</v>
      </c>
      <c r="AK27" s="46">
        <f t="shared" si="10"/>
        <v>515773.07474967564</v>
      </c>
      <c r="AL27" s="46">
        <f t="shared" si="16"/>
        <v>15842.754968978164</v>
      </c>
      <c r="AM27" s="46">
        <f t="shared" si="11"/>
        <v>1320.2295807481803</v>
      </c>
      <c r="AN27" s="48">
        <v>21710</v>
      </c>
      <c r="AP27" s="74">
        <f>საპენსიო!D27</f>
        <v>189.44615384615383</v>
      </c>
      <c r="AQ27" s="74">
        <f>შშმპ!D26</f>
        <v>71</v>
      </c>
      <c r="AR27" s="9">
        <f t="shared" si="12"/>
        <v>130.22307692307692</v>
      </c>
      <c r="AS27" s="9">
        <f t="shared" si="13"/>
        <v>32.555769230769229</v>
      </c>
      <c r="AT27" s="9">
        <f t="shared" si="14"/>
        <v>390.66923076923075</v>
      </c>
      <c r="AU27" s="76">
        <f t="shared" si="17"/>
        <v>166.71392285427373</v>
      </c>
    </row>
    <row r="28" spans="1:48" ht="27.75" hidden="1" customHeight="1">
      <c r="A28" s="16">
        <v>28</v>
      </c>
      <c r="B28" s="16" t="s">
        <v>110</v>
      </c>
      <c r="C28" s="16" t="s">
        <v>111</v>
      </c>
      <c r="D28" s="20" t="s">
        <v>112</v>
      </c>
      <c r="E28" s="78">
        <f t="shared" si="18"/>
        <v>28454.799999999999</v>
      </c>
      <c r="F28" s="78">
        <f t="shared" si="19"/>
        <v>36332.375</v>
      </c>
      <c r="G28" s="78">
        <f t="shared" si="4"/>
        <v>89779</v>
      </c>
      <c r="H28" s="78">
        <f t="shared" si="5"/>
        <v>101791.75</v>
      </c>
      <c r="I28" s="6">
        <v>0</v>
      </c>
      <c r="J28" s="6">
        <v>21555</v>
      </c>
      <c r="K28" s="6">
        <v>35764</v>
      </c>
      <c r="L28" s="6">
        <f>21573</f>
        <v>21573</v>
      </c>
      <c r="M28" s="6">
        <v>28139</v>
      </c>
      <c r="N28" s="6">
        <f>35243</f>
        <v>35243</v>
      </c>
      <c r="O28" s="6">
        <v>25652</v>
      </c>
      <c r="P28" s="6">
        <v>31840</v>
      </c>
      <c r="Q28" s="6">
        <v>43499</v>
      </c>
      <c r="R28" s="6">
        <v>34555</v>
      </c>
      <c r="S28" s="6">
        <v>39389</v>
      </c>
      <c r="T28" s="6">
        <v>38730</v>
      </c>
      <c r="U28" s="6">
        <v>38749</v>
      </c>
      <c r="V28" s="6">
        <v>38245</v>
      </c>
      <c r="W28" s="6">
        <v>74463</v>
      </c>
      <c r="X28" s="6">
        <v>85375</v>
      </c>
      <c r="Y28" s="6">
        <v>97444</v>
      </c>
      <c r="Z28" s="6">
        <v>101834</v>
      </c>
      <c r="AA28" s="6">
        <v>85627</v>
      </c>
      <c r="AB28" s="27">
        <v>103526</v>
      </c>
      <c r="AC28" s="27">
        <v>127741</v>
      </c>
      <c r="AD28" s="27">
        <v>90273</v>
      </c>
      <c r="AE28" s="33">
        <f t="shared" si="6"/>
        <v>1199216</v>
      </c>
      <c r="AF28" s="33"/>
      <c r="AG28" s="40">
        <v>4.4999999999999998E-2</v>
      </c>
      <c r="AH28" s="33">
        <f t="shared" si="7"/>
        <v>53964.72</v>
      </c>
      <c r="AI28" s="46">
        <f t="shared" si="8"/>
        <v>1.2992731702519471</v>
      </c>
      <c r="AJ28" s="46">
        <f t="shared" si="9"/>
        <v>259854.6340503894</v>
      </c>
      <c r="AK28" s="46">
        <f t="shared" si="10"/>
        <v>5774547.4233419867</v>
      </c>
      <c r="AL28" s="46">
        <f t="shared" si="16"/>
        <v>183394.43311081282</v>
      </c>
      <c r="AM28" s="46">
        <f t="shared" si="11"/>
        <v>15282.86942590107</v>
      </c>
      <c r="AN28" s="48">
        <v>46718</v>
      </c>
      <c r="AP28" s="74">
        <f>საპენსიო!D28</f>
        <v>118.71681415929204</v>
      </c>
      <c r="AQ28" s="74">
        <f>შშმპ!D27</f>
        <v>133.17948717948718</v>
      </c>
      <c r="AR28" s="9">
        <f t="shared" si="12"/>
        <v>125.94815066938961</v>
      </c>
      <c r="AS28" s="9">
        <f t="shared" si="13"/>
        <v>31.487037667347401</v>
      </c>
      <c r="AT28" s="9">
        <f t="shared" si="14"/>
        <v>377.84445200816879</v>
      </c>
      <c r="AU28" s="76">
        <f t="shared" si="17"/>
        <v>370.93041661749726</v>
      </c>
    </row>
    <row r="29" spans="1:48" ht="26.25" hidden="1" customHeight="1">
      <c r="A29" s="16">
        <v>29</v>
      </c>
      <c r="B29" s="16" t="s">
        <v>113</v>
      </c>
      <c r="C29" s="16" t="s">
        <v>114</v>
      </c>
      <c r="D29" s="20" t="s">
        <v>79</v>
      </c>
      <c r="E29" s="78">
        <f t="shared" si="18"/>
        <v>754.2</v>
      </c>
      <c r="F29" s="78">
        <f t="shared" si="19"/>
        <v>1018.25</v>
      </c>
      <c r="G29" s="78">
        <f t="shared" si="4"/>
        <v>1003.75</v>
      </c>
      <c r="H29" s="78">
        <f t="shared" si="5"/>
        <v>1529</v>
      </c>
      <c r="I29" s="6">
        <v>547</v>
      </c>
      <c r="J29" s="6">
        <v>464</v>
      </c>
      <c r="K29" s="6">
        <v>356</v>
      </c>
      <c r="L29" s="6">
        <v>1050</v>
      </c>
      <c r="M29" s="6">
        <v>1342</v>
      </c>
      <c r="N29" s="6">
        <f>559</f>
        <v>559</v>
      </c>
      <c r="O29" s="6">
        <v>776</v>
      </c>
      <c r="P29" s="6">
        <v>1012</v>
      </c>
      <c r="Q29" s="6">
        <v>664</v>
      </c>
      <c r="R29" s="6">
        <v>926</v>
      </c>
      <c r="S29" s="6">
        <v>1161</v>
      </c>
      <c r="T29" s="6">
        <v>918</v>
      </c>
      <c r="U29" s="6">
        <v>1668</v>
      </c>
      <c r="V29" s="6">
        <v>1021</v>
      </c>
      <c r="W29" s="6">
        <v>513</v>
      </c>
      <c r="X29" s="6">
        <v>1320</v>
      </c>
      <c r="Y29" s="6">
        <v>1348</v>
      </c>
      <c r="Z29" s="6">
        <v>834</v>
      </c>
      <c r="AA29" s="6">
        <f>1971+1640</f>
        <v>3611</v>
      </c>
      <c r="AB29" s="27">
        <v>1204</v>
      </c>
      <c r="AC29" s="27">
        <v>898</v>
      </c>
      <c r="AD29" s="27">
        <v>403</v>
      </c>
      <c r="AE29" s="33">
        <f t="shared" si="6"/>
        <v>22595</v>
      </c>
      <c r="AF29" s="33"/>
      <c r="AG29" s="50">
        <v>3.2294999999999998</v>
      </c>
      <c r="AH29" s="33">
        <f t="shared" si="7"/>
        <v>72970.552499999991</v>
      </c>
      <c r="AI29" s="46">
        <f t="shared" si="8"/>
        <v>1.7568641342290137</v>
      </c>
      <c r="AJ29" s="46">
        <f t="shared" si="9"/>
        <v>351372.82684580272</v>
      </c>
      <c r="AK29" s="46">
        <f t="shared" si="10"/>
        <v>108800.99917813987</v>
      </c>
      <c r="AL29" s="46">
        <f t="shared" si="16"/>
        <v>36571.764429626848</v>
      </c>
      <c r="AM29" s="46">
        <f t="shared" si="11"/>
        <v>3047.647035802237</v>
      </c>
      <c r="AN29" s="51">
        <v>2687</v>
      </c>
      <c r="AP29" s="74">
        <f>საპენსიო!D25</f>
        <v>14.3</v>
      </c>
      <c r="AQ29" s="74">
        <f>შშმპ!D25</f>
        <v>9.5</v>
      </c>
      <c r="AR29" s="9">
        <f t="shared" si="12"/>
        <v>11.9</v>
      </c>
      <c r="AS29" s="9">
        <f t="shared" si="13"/>
        <v>2.9750000000000001</v>
      </c>
      <c r="AT29" s="9">
        <f t="shared" si="14"/>
        <v>35.700000000000003</v>
      </c>
      <c r="AU29" s="76">
        <f t="shared" si="17"/>
        <v>225.79831932773109</v>
      </c>
    </row>
    <row r="30" spans="1:48" ht="39.75" hidden="1" customHeight="1">
      <c r="A30" s="16">
        <v>30</v>
      </c>
      <c r="B30" s="16" t="s">
        <v>115</v>
      </c>
      <c r="C30" s="16" t="s">
        <v>116</v>
      </c>
      <c r="D30" s="20" t="s">
        <v>117</v>
      </c>
      <c r="E30" s="78">
        <f t="shared" si="18"/>
        <v>105.2</v>
      </c>
      <c r="F30" s="78">
        <f t="shared" si="19"/>
        <v>119.375</v>
      </c>
      <c r="G30" s="78">
        <f t="shared" si="4"/>
        <v>107.5</v>
      </c>
      <c r="H30" s="78">
        <f t="shared" si="5"/>
        <v>1125</v>
      </c>
      <c r="I30" s="6">
        <v>290</v>
      </c>
      <c r="J30" s="6">
        <v>46</v>
      </c>
      <c r="K30" s="6">
        <v>110</v>
      </c>
      <c r="L30" s="6">
        <v>131</v>
      </c>
      <c r="M30" s="6">
        <v>165</v>
      </c>
      <c r="N30" s="6">
        <f>74</f>
        <v>74</v>
      </c>
      <c r="O30" s="6">
        <v>0</v>
      </c>
      <c r="P30" s="6">
        <v>55</v>
      </c>
      <c r="Q30" s="6">
        <v>100</v>
      </c>
      <c r="R30" s="6">
        <v>400</v>
      </c>
      <c r="S30" s="6">
        <v>80</v>
      </c>
      <c r="T30" s="6">
        <v>90</v>
      </c>
      <c r="U30" s="6">
        <v>184</v>
      </c>
      <c r="V30" s="6">
        <v>46</v>
      </c>
      <c r="W30" s="6">
        <v>40</v>
      </c>
      <c r="X30" s="6">
        <v>120</v>
      </c>
      <c r="Y30" s="6">
        <v>203</v>
      </c>
      <c r="Z30" s="6">
        <v>67</v>
      </c>
      <c r="AA30" s="6">
        <v>1125</v>
      </c>
      <c r="AB30" s="32"/>
      <c r="AC30" s="32"/>
      <c r="AD30" s="32"/>
      <c r="AE30" s="54">
        <f t="shared" si="6"/>
        <v>3326</v>
      </c>
      <c r="AF30" s="54"/>
      <c r="AG30" s="32"/>
      <c r="AH30" s="54">
        <f t="shared" si="7"/>
        <v>0</v>
      </c>
      <c r="AI30" s="46">
        <f t="shared" si="8"/>
        <v>0</v>
      </c>
      <c r="AJ30" s="46">
        <f t="shared" si="9"/>
        <v>0</v>
      </c>
      <c r="AL30" s="46">
        <f t="shared" si="16"/>
        <v>0</v>
      </c>
      <c r="AM30" s="46">
        <f t="shared" si="11"/>
        <v>0</v>
      </c>
      <c r="AN30" s="32"/>
      <c r="AP30" s="74">
        <f>საპენსიო!D21</f>
        <v>30</v>
      </c>
      <c r="AQ30" s="74"/>
      <c r="AR30" s="9">
        <f t="shared" si="12"/>
        <v>30</v>
      </c>
      <c r="AS30" s="9">
        <f t="shared" si="13"/>
        <v>7.5</v>
      </c>
      <c r="AT30" s="9">
        <f t="shared" si="14"/>
        <v>90</v>
      </c>
      <c r="AU30" s="76">
        <f t="shared" si="17"/>
        <v>0</v>
      </c>
    </row>
    <row r="31" spans="1:48" ht="60.75" hidden="1" customHeight="1">
      <c r="A31" s="16">
        <v>31</v>
      </c>
      <c r="B31" s="16" t="s">
        <v>118</v>
      </c>
      <c r="C31" s="16" t="s">
        <v>119</v>
      </c>
      <c r="D31" s="20" t="s">
        <v>120</v>
      </c>
      <c r="E31" s="78">
        <f t="shared" si="18"/>
        <v>952.6</v>
      </c>
      <c r="F31" s="78">
        <f t="shared" si="19"/>
        <v>1313.125</v>
      </c>
      <c r="G31" s="78">
        <f t="shared" si="4"/>
        <v>1168.5</v>
      </c>
      <c r="H31" s="78">
        <f t="shared" si="5"/>
        <v>1485.5</v>
      </c>
      <c r="I31" s="6">
        <v>2050</v>
      </c>
      <c r="J31" s="6">
        <f>40+3+752</f>
        <v>795</v>
      </c>
      <c r="K31" s="6">
        <v>579</v>
      </c>
      <c r="L31" s="6">
        <f>52+45+1091+191</f>
        <v>1379</v>
      </c>
      <c r="M31" s="6">
        <v>1075</v>
      </c>
      <c r="N31" s="6">
        <f>12+393+530</f>
        <v>935</v>
      </c>
      <c r="O31" s="6">
        <v>1306</v>
      </c>
      <c r="P31" s="6">
        <v>1200</v>
      </c>
      <c r="Q31" s="6">
        <v>1273</v>
      </c>
      <c r="R31" s="6">
        <v>684</v>
      </c>
      <c r="S31" s="6">
        <v>1911</v>
      </c>
      <c r="T31" s="6">
        <v>1457</v>
      </c>
      <c r="U31" s="6">
        <v>1090</v>
      </c>
      <c r="V31" s="6">
        <v>1584</v>
      </c>
      <c r="W31" s="6">
        <v>2118</v>
      </c>
      <c r="X31" s="6">
        <v>1484</v>
      </c>
      <c r="Y31" s="6">
        <v>916</v>
      </c>
      <c r="Z31" s="6">
        <v>156</v>
      </c>
      <c r="AA31" s="6">
        <v>2685</v>
      </c>
      <c r="AB31" s="27">
        <v>854</v>
      </c>
      <c r="AC31" s="27">
        <v>1062</v>
      </c>
      <c r="AD31" s="27">
        <v>1341</v>
      </c>
      <c r="AE31" s="33">
        <f t="shared" si="6"/>
        <v>27934</v>
      </c>
      <c r="AF31" s="33"/>
      <c r="AG31" s="52">
        <v>30.998999999999999</v>
      </c>
      <c r="AH31" s="33">
        <f t="shared" si="7"/>
        <v>865926.06599999999</v>
      </c>
      <c r="AI31" s="46">
        <f t="shared" si="8"/>
        <v>20.848333966628878</v>
      </c>
      <c r="AJ31" s="46">
        <f t="shared" si="9"/>
        <v>4169666.7933257758</v>
      </c>
      <c r="AK31" s="46">
        <f t="shared" si="10"/>
        <v>134509.71945307191</v>
      </c>
      <c r="AL31" s="46">
        <f t="shared" si="16"/>
        <v>291234.75565687951</v>
      </c>
      <c r="AM31" s="46">
        <f t="shared" si="11"/>
        <v>24269.562971406627</v>
      </c>
      <c r="AN31" s="48">
        <v>5045</v>
      </c>
      <c r="AP31" s="74">
        <f>საპენსიო!D22</f>
        <v>1.9014925373134328</v>
      </c>
      <c r="AQ31" s="74">
        <f>შშმპ!D22</f>
        <v>1.7933884297520661</v>
      </c>
      <c r="AR31" s="9">
        <f t="shared" si="12"/>
        <v>1.8474404835327496</v>
      </c>
      <c r="AS31" s="9">
        <f t="shared" si="13"/>
        <v>0.4618601208831874</v>
      </c>
      <c r="AT31" s="9">
        <f t="shared" si="14"/>
        <v>5.5423214505982488</v>
      </c>
      <c r="AU31" s="76">
        <f t="shared" si="17"/>
        <v>2730.8051571722349</v>
      </c>
    </row>
    <row r="32" spans="1:48" ht="60.75" hidden="1" customHeight="1">
      <c r="A32" s="16">
        <v>32</v>
      </c>
      <c r="B32" s="16" t="s">
        <v>121</v>
      </c>
      <c r="C32" s="16" t="s">
        <v>122</v>
      </c>
      <c r="D32" s="20" t="s">
        <v>68</v>
      </c>
      <c r="E32" s="78"/>
      <c r="F32" s="78"/>
      <c r="G32" s="78" t="e">
        <f t="shared" si="4"/>
        <v>#DIV/0!</v>
      </c>
      <c r="H32" s="78">
        <f t="shared" si="5"/>
        <v>642.5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>
        <v>168</v>
      </c>
      <c r="AB32" s="27">
        <v>1752</v>
      </c>
      <c r="AC32" s="27">
        <v>472</v>
      </c>
      <c r="AD32" s="27">
        <v>178</v>
      </c>
      <c r="AE32" s="33">
        <f t="shared" si="6"/>
        <v>2570</v>
      </c>
      <c r="AF32" s="33"/>
      <c r="AG32" s="40">
        <v>25.76</v>
      </c>
      <c r="AH32" s="33">
        <f t="shared" si="7"/>
        <v>66203.199999999997</v>
      </c>
      <c r="AI32" s="46">
        <f t="shared" si="8"/>
        <v>1.5939310265081279</v>
      </c>
      <c r="AJ32" s="46">
        <f t="shared" si="9"/>
        <v>318786.2053016256</v>
      </c>
      <c r="AK32" s="46">
        <f t="shared" si="10"/>
        <v>12375.240889038259</v>
      </c>
      <c r="AN32" s="53">
        <v>4750</v>
      </c>
      <c r="AP32" s="74"/>
      <c r="AQ32" s="74"/>
      <c r="AR32" s="9"/>
      <c r="AS32" s="9">
        <f t="shared" si="13"/>
        <v>0</v>
      </c>
      <c r="AT32" s="9">
        <f t="shared" si="14"/>
        <v>0</v>
      </c>
      <c r="AU32" s="76"/>
    </row>
    <row r="33" spans="1:47" ht="48.75" hidden="1" customHeight="1">
      <c r="A33" s="16">
        <v>33</v>
      </c>
      <c r="B33" s="14" t="s">
        <v>123</v>
      </c>
      <c r="C33" s="14" t="s">
        <v>124</v>
      </c>
      <c r="D33" s="20" t="s">
        <v>47</v>
      </c>
      <c r="E33" s="78">
        <f>AVERAGE(J33:N33)</f>
        <v>401.4</v>
      </c>
      <c r="F33" s="78">
        <f>AVERAGE(O33:V33)</f>
        <v>514.5</v>
      </c>
      <c r="G33" s="78">
        <f t="shared" si="4"/>
        <v>882.75</v>
      </c>
      <c r="H33" s="78">
        <f t="shared" si="5"/>
        <v>838.25</v>
      </c>
      <c r="I33" s="6">
        <v>647</v>
      </c>
      <c r="J33" s="6">
        <f>118+269</f>
        <v>387</v>
      </c>
      <c r="K33" s="6">
        <f>20+54+196</f>
        <v>270</v>
      </c>
      <c r="L33" s="6">
        <f>254+23+229</f>
        <v>506</v>
      </c>
      <c r="M33" s="6">
        <f>90+362</f>
        <v>452</v>
      </c>
      <c r="N33" s="6">
        <f>215+143+8+26</f>
        <v>392</v>
      </c>
      <c r="O33" s="6">
        <v>422</v>
      </c>
      <c r="P33" s="6">
        <v>557</v>
      </c>
      <c r="Q33" s="6">
        <v>504</v>
      </c>
      <c r="R33" s="6">
        <v>431</v>
      </c>
      <c r="S33" s="6">
        <v>653</v>
      </c>
      <c r="T33" s="6">
        <v>459</v>
      </c>
      <c r="U33" s="6">
        <v>534</v>
      </c>
      <c r="V33" s="6">
        <v>556</v>
      </c>
      <c r="W33" s="6">
        <v>849</v>
      </c>
      <c r="X33" s="6">
        <v>896</v>
      </c>
      <c r="Y33" s="6">
        <v>844</v>
      </c>
      <c r="Z33" s="6">
        <v>942</v>
      </c>
      <c r="AA33" s="6">
        <v>956</v>
      </c>
      <c r="AB33" s="27">
        <v>888</v>
      </c>
      <c r="AC33" s="27">
        <v>844</v>
      </c>
      <c r="AD33" s="27">
        <v>665</v>
      </c>
      <c r="AE33" s="33">
        <f t="shared" si="6"/>
        <v>13654</v>
      </c>
      <c r="AF33" s="33"/>
      <c r="AG33" s="43">
        <v>4.8</v>
      </c>
      <c r="AH33" s="33">
        <f t="shared" si="7"/>
        <v>65539.199999999997</v>
      </c>
      <c r="AI33" s="46">
        <f t="shared" si="8"/>
        <v>1.5779443339977752</v>
      </c>
      <c r="AJ33" s="46">
        <f t="shared" si="9"/>
        <v>315588.86679955502</v>
      </c>
      <c r="AK33" s="46">
        <f>AJ33/AG33</f>
        <v>65747.680583240639</v>
      </c>
      <c r="AL33" s="46">
        <f t="shared" ref="AL33:AL41" si="20">AK33/AS33</f>
        <v>131494.49337641359</v>
      </c>
      <c r="AM33" s="46">
        <f t="shared" si="11"/>
        <v>10957.874448034465</v>
      </c>
      <c r="AN33" s="48">
        <v>2015</v>
      </c>
      <c r="AP33" s="74">
        <f>საპენსიო!D23</f>
        <v>1.9255583126550868</v>
      </c>
      <c r="AQ33" s="74">
        <f>შშმპ!D23</f>
        <v>2.0744680851063828</v>
      </c>
      <c r="AR33" s="9">
        <f t="shared" si="12"/>
        <v>2.000013198880735</v>
      </c>
      <c r="AS33" s="9">
        <f t="shared" si="13"/>
        <v>0.50000329972018376</v>
      </c>
      <c r="AT33" s="9">
        <f t="shared" si="14"/>
        <v>6.0000395966422051</v>
      </c>
      <c r="AU33" s="76">
        <f t="shared" ref="AU33:AU41" si="21">AN33/AR33</f>
        <v>1007.4933511077087</v>
      </c>
    </row>
    <row r="34" spans="1:47" ht="85.5" hidden="1" customHeight="1">
      <c r="A34" s="16">
        <v>34</v>
      </c>
      <c r="B34" s="16" t="s">
        <v>125</v>
      </c>
      <c r="C34" s="16" t="s">
        <v>126</v>
      </c>
      <c r="D34" s="20" t="s">
        <v>106</v>
      </c>
      <c r="E34" s="78">
        <f>AVERAGE(J34:N34)</f>
        <v>53.2</v>
      </c>
      <c r="F34" s="78">
        <f>AVERAGE(O34:V34)</f>
        <v>113.75</v>
      </c>
      <c r="G34" s="78">
        <f t="shared" si="4"/>
        <v>252.5</v>
      </c>
      <c r="H34" s="78">
        <f t="shared" si="5"/>
        <v>310.5</v>
      </c>
      <c r="I34" s="6">
        <v>0</v>
      </c>
      <c r="J34" s="6">
        <v>10</v>
      </c>
      <c r="K34" s="6">
        <v>41</v>
      </c>
      <c r="L34" s="6">
        <v>62</v>
      </c>
      <c r="M34" s="6">
        <v>65</v>
      </c>
      <c r="N34" s="6">
        <v>88</v>
      </c>
      <c r="O34" s="6">
        <v>84</v>
      </c>
      <c r="P34" s="6">
        <v>83</v>
      </c>
      <c r="Q34" s="6">
        <v>104</v>
      </c>
      <c r="R34" s="6">
        <v>114</v>
      </c>
      <c r="S34" s="6">
        <v>141</v>
      </c>
      <c r="T34" s="6">
        <v>142</v>
      </c>
      <c r="U34" s="6">
        <v>104</v>
      </c>
      <c r="V34" s="6">
        <v>138</v>
      </c>
      <c r="W34" s="6">
        <v>190</v>
      </c>
      <c r="X34" s="6">
        <v>242</v>
      </c>
      <c r="Y34" s="6">
        <v>258</v>
      </c>
      <c r="Z34" s="6">
        <v>320</v>
      </c>
      <c r="AA34" s="6">
        <v>340</v>
      </c>
      <c r="AB34" s="27">
        <v>282</v>
      </c>
      <c r="AC34" s="27">
        <v>338</v>
      </c>
      <c r="AD34" s="27">
        <v>282</v>
      </c>
      <c r="AE34" s="33">
        <f t="shared" si="6"/>
        <v>3428</v>
      </c>
      <c r="AF34" s="33"/>
      <c r="AG34" s="40">
        <v>79.558000000000007</v>
      </c>
      <c r="AH34" s="33">
        <f t="shared" si="7"/>
        <v>272724.82400000002</v>
      </c>
      <c r="AI34" s="46">
        <f t="shared" si="8"/>
        <v>6.5662167187170493</v>
      </c>
      <c r="AJ34" s="46">
        <f t="shared" si="9"/>
        <v>1313243.3437434097</v>
      </c>
      <c r="AK34" s="46">
        <f t="shared" si="10"/>
        <v>16506.741543822238</v>
      </c>
      <c r="AL34" s="46">
        <f t="shared" si="20"/>
        <v>31818.9425198024</v>
      </c>
      <c r="AM34" s="46">
        <f t="shared" si="11"/>
        <v>2651.5785433168667</v>
      </c>
      <c r="AN34" s="48">
        <v>2530</v>
      </c>
      <c r="AP34" s="74">
        <f>საპენსიო!D26</f>
        <v>2.034782608695652</v>
      </c>
      <c r="AQ34" s="74">
        <f>შშმპ!D24</f>
        <v>2.1153846153846154</v>
      </c>
      <c r="AR34" s="9">
        <f t="shared" si="12"/>
        <v>2.0750836120401335</v>
      </c>
      <c r="AS34" s="9">
        <f t="shared" si="13"/>
        <v>0.51877090301003337</v>
      </c>
      <c r="AT34" s="9">
        <f t="shared" si="14"/>
        <v>6.2252508361204004</v>
      </c>
      <c r="AU34" s="76">
        <f t="shared" si="21"/>
        <v>1219.2279796921591</v>
      </c>
    </row>
    <row r="35" spans="1:47" ht="45" hidden="1" customHeight="1">
      <c r="A35" s="16">
        <v>35</v>
      </c>
      <c r="B35" s="16" t="s">
        <v>127</v>
      </c>
      <c r="C35" s="16" t="s">
        <v>128</v>
      </c>
      <c r="D35" s="20" t="s">
        <v>129</v>
      </c>
      <c r="E35" s="78">
        <f>AVERAGE(J35:N35)</f>
        <v>458.2</v>
      </c>
      <c r="F35" s="78">
        <f>AVERAGE(O35:V35)</f>
        <v>496.5</v>
      </c>
      <c r="G35" s="78">
        <f t="shared" si="4"/>
        <v>733</v>
      </c>
      <c r="H35" s="78">
        <f t="shared" si="5"/>
        <v>713</v>
      </c>
      <c r="I35" s="6">
        <v>401</v>
      </c>
      <c r="J35" s="6">
        <f>101+62</f>
        <v>163</v>
      </c>
      <c r="K35" s="6">
        <f>18+30+176</f>
        <v>224</v>
      </c>
      <c r="L35" s="6">
        <f>25+8+1017</f>
        <v>1050</v>
      </c>
      <c r="M35" s="6">
        <v>539</v>
      </c>
      <c r="N35" s="6">
        <v>315</v>
      </c>
      <c r="O35" s="6">
        <v>419</v>
      </c>
      <c r="P35" s="6">
        <v>564</v>
      </c>
      <c r="Q35" s="6">
        <v>377</v>
      </c>
      <c r="R35" s="6">
        <v>511</v>
      </c>
      <c r="S35" s="6">
        <v>477</v>
      </c>
      <c r="T35" s="6">
        <v>435</v>
      </c>
      <c r="U35" s="6">
        <v>530</v>
      </c>
      <c r="V35" s="6">
        <v>659</v>
      </c>
      <c r="W35" s="6">
        <v>515</v>
      </c>
      <c r="X35" s="6">
        <v>837</v>
      </c>
      <c r="Y35" s="6">
        <v>827</v>
      </c>
      <c r="Z35" s="6">
        <v>753</v>
      </c>
      <c r="AA35" s="6">
        <v>1084</v>
      </c>
      <c r="AB35" s="27">
        <v>482</v>
      </c>
      <c r="AC35" s="27">
        <v>611</v>
      </c>
      <c r="AD35" s="27">
        <v>675</v>
      </c>
      <c r="AE35" s="33">
        <f t="shared" si="6"/>
        <v>12448</v>
      </c>
      <c r="AF35" s="33"/>
      <c r="AG35" s="41">
        <v>0.36980000000000002</v>
      </c>
      <c r="AH35" s="33">
        <f t="shared" si="7"/>
        <v>4603.2704000000003</v>
      </c>
      <c r="AI35" s="46">
        <f t="shared" si="8"/>
        <v>0.11082992232953214</v>
      </c>
      <c r="AJ35" s="46">
        <f t="shared" si="9"/>
        <v>22165.984465906429</v>
      </c>
      <c r="AK35" s="46">
        <f t="shared" si="10"/>
        <v>59940.466376166652</v>
      </c>
      <c r="AL35" s="46">
        <f t="shared" si="20"/>
        <v>16836.977818572112</v>
      </c>
      <c r="AM35" s="46">
        <f t="shared" si="11"/>
        <v>1403.0814848810094</v>
      </c>
      <c r="AN35" s="48">
        <v>8533</v>
      </c>
      <c r="AP35" s="74">
        <f>საპენსიო!D24</f>
        <v>14.980392156862745</v>
      </c>
      <c r="AQ35" s="74">
        <f>შშმპ!D21</f>
        <v>13.5</v>
      </c>
      <c r="AR35" s="9">
        <f t="shared" si="12"/>
        <v>14.240196078431373</v>
      </c>
      <c r="AS35" s="9">
        <f t="shared" si="13"/>
        <v>3.5600490196078431</v>
      </c>
      <c r="AT35" s="9">
        <f t="shared" si="14"/>
        <v>42.720588235294116</v>
      </c>
      <c r="AU35" s="76">
        <f t="shared" si="21"/>
        <v>599.21927710843374</v>
      </c>
    </row>
    <row r="36" spans="1:47" ht="24.75">
      <c r="A36" s="16">
        <v>36</v>
      </c>
      <c r="B36" s="24" t="s">
        <v>130</v>
      </c>
      <c r="C36" s="7" t="s">
        <v>131</v>
      </c>
      <c r="D36" s="8" t="s">
        <v>89</v>
      </c>
      <c r="E36" s="78"/>
      <c r="F36" s="78"/>
      <c r="G36" s="78">
        <f t="shared" si="4"/>
        <v>12111</v>
      </c>
      <c r="H36" s="78">
        <f t="shared" si="5"/>
        <v>40549.5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6">
        <v>12111</v>
      </c>
      <c r="AA36" s="6">
        <v>37545</v>
      </c>
      <c r="AB36" s="27">
        <v>37213</v>
      </c>
      <c r="AC36" s="27">
        <v>44342</v>
      </c>
      <c r="AD36" s="27">
        <v>43098</v>
      </c>
      <c r="AE36" s="33">
        <f t="shared" si="6"/>
        <v>174309</v>
      </c>
      <c r="AF36" s="33"/>
      <c r="AG36" s="43">
        <v>0.57999999999999996</v>
      </c>
      <c r="AH36" s="33">
        <f t="shared" si="7"/>
        <v>101099.21999999999</v>
      </c>
      <c r="AI36" s="46">
        <f t="shared" si="8"/>
        <v>2.4340996132176547</v>
      </c>
      <c r="AJ36" s="46">
        <f t="shared" si="9"/>
        <v>486819.92264353094</v>
      </c>
      <c r="AK36" s="46">
        <f t="shared" si="10"/>
        <v>839344.69421298441</v>
      </c>
      <c r="AL36" s="46">
        <f t="shared" si="20"/>
        <v>28187.520302096942</v>
      </c>
      <c r="AM36" s="46">
        <f t="shared" si="11"/>
        <v>2348.9600251747447</v>
      </c>
      <c r="AN36" s="48">
        <v>310319</v>
      </c>
      <c r="AP36" s="74">
        <f>საპენსიო!D34</f>
        <v>128.21739130434781</v>
      </c>
      <c r="AQ36" s="74">
        <f>შშმპ!D35</f>
        <v>110</v>
      </c>
      <c r="AR36" s="9">
        <f t="shared" si="12"/>
        <v>119.10869565217391</v>
      </c>
      <c r="AS36" s="9">
        <f t="shared" si="13"/>
        <v>29.777173913043477</v>
      </c>
      <c r="AT36" s="9">
        <f t="shared" si="14"/>
        <v>357.32608695652175</v>
      </c>
      <c r="AU36" s="76">
        <f t="shared" si="21"/>
        <v>2605.3429457930279</v>
      </c>
    </row>
    <row r="37" spans="1:47" ht="36.75">
      <c r="A37" s="16">
        <v>37</v>
      </c>
      <c r="B37" s="24" t="s">
        <v>132</v>
      </c>
      <c r="C37" s="7" t="s">
        <v>133</v>
      </c>
      <c r="D37" s="8" t="s">
        <v>106</v>
      </c>
      <c r="E37" s="78"/>
      <c r="F37" s="78"/>
      <c r="G37" s="78">
        <f t="shared" si="4"/>
        <v>2522</v>
      </c>
      <c r="H37" s="78">
        <f t="shared" si="5"/>
        <v>13491.75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6">
        <v>2522</v>
      </c>
      <c r="AA37" s="6">
        <v>11386</v>
      </c>
      <c r="AB37" s="27">
        <v>12128</v>
      </c>
      <c r="AC37" s="27">
        <v>16396</v>
      </c>
      <c r="AD37" s="27">
        <v>14057</v>
      </c>
      <c r="AE37" s="33">
        <f t="shared" si="6"/>
        <v>56489</v>
      </c>
      <c r="AF37" s="33"/>
      <c r="AG37" s="43">
        <v>0.39</v>
      </c>
      <c r="AH37" s="33">
        <f t="shared" si="7"/>
        <v>22030.71</v>
      </c>
      <c r="AI37" s="46">
        <f t="shared" si="8"/>
        <v>0.53041895565475505</v>
      </c>
      <c r="AJ37" s="46">
        <f t="shared" si="9"/>
        <v>106083.79113095101</v>
      </c>
      <c r="AK37" s="46">
        <f t="shared" si="10"/>
        <v>272009.72084859235</v>
      </c>
      <c r="AL37" s="46">
        <f t="shared" si="20"/>
        <v>8053.5816683521052</v>
      </c>
      <c r="AM37" s="46">
        <f t="shared" si="11"/>
        <v>671.13180569600888</v>
      </c>
      <c r="AN37" s="48">
        <v>194503</v>
      </c>
      <c r="AP37" s="74">
        <f>საპენსიო!D33</f>
        <v>170.2</v>
      </c>
      <c r="AQ37" s="74">
        <f>შშმპ!D34</f>
        <v>100</v>
      </c>
      <c r="AR37" s="9">
        <f t="shared" si="12"/>
        <v>135.1</v>
      </c>
      <c r="AS37" s="9">
        <f t="shared" si="13"/>
        <v>33.774999999999999</v>
      </c>
      <c r="AT37" s="9">
        <f t="shared" si="14"/>
        <v>405.29999999999995</v>
      </c>
      <c r="AU37" s="76">
        <f t="shared" si="21"/>
        <v>1439.696521095485</v>
      </c>
    </row>
    <row r="38" spans="1:47" ht="24.75" hidden="1">
      <c r="A38" s="16">
        <v>38</v>
      </c>
      <c r="B38" s="25" t="s">
        <v>134</v>
      </c>
      <c r="C38" s="7" t="s">
        <v>135</v>
      </c>
      <c r="D38" s="8" t="s">
        <v>136</v>
      </c>
      <c r="E38" s="78"/>
      <c r="F38" s="78"/>
      <c r="G38" s="78">
        <f t="shared" si="4"/>
        <v>2254</v>
      </c>
      <c r="H38" s="78">
        <f t="shared" si="5"/>
        <v>13798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6">
        <v>2254</v>
      </c>
      <c r="AA38" s="6">
        <v>9669</v>
      </c>
      <c r="AB38" s="27">
        <v>16679</v>
      </c>
      <c r="AC38" s="27">
        <v>15229</v>
      </c>
      <c r="AD38" s="27">
        <v>13615</v>
      </c>
      <c r="AE38" s="33">
        <f t="shared" si="6"/>
        <v>57446</v>
      </c>
      <c r="AF38" s="33"/>
      <c r="AG38" s="44">
        <v>0.70299999999999996</v>
      </c>
      <c r="AH38" s="33">
        <f t="shared" si="7"/>
        <v>40384.538</v>
      </c>
      <c r="AI38" s="46">
        <f t="shared" si="8"/>
        <v>0.97231203490762541</v>
      </c>
      <c r="AJ38" s="46">
        <f t="shared" si="9"/>
        <v>194462.4069815251</v>
      </c>
      <c r="AK38" s="46">
        <f t="shared" si="10"/>
        <v>276617.93311738991</v>
      </c>
      <c r="AL38" s="46">
        <f t="shared" si="20"/>
        <v>9069.4404300783572</v>
      </c>
      <c r="AM38" s="46">
        <f t="shared" si="11"/>
        <v>755.78670250652976</v>
      </c>
      <c r="AN38" s="48">
        <v>1841431</v>
      </c>
      <c r="AP38" s="74">
        <f>საპენსიო!D32</f>
        <v>30</v>
      </c>
      <c r="AQ38" s="74">
        <f>შშმპ!D33</f>
        <v>214</v>
      </c>
      <c r="AR38" s="9">
        <f t="shared" si="12"/>
        <v>122</v>
      </c>
      <c r="AS38" s="9">
        <f t="shared" si="13"/>
        <v>30.5</v>
      </c>
      <c r="AT38" s="9">
        <f t="shared" si="14"/>
        <v>366</v>
      </c>
      <c r="AU38" s="76">
        <f t="shared" si="21"/>
        <v>15093.696721311475</v>
      </c>
    </row>
    <row r="39" spans="1:47" hidden="1">
      <c r="A39" s="16">
        <v>39</v>
      </c>
      <c r="B39" s="25" t="s">
        <v>137</v>
      </c>
      <c r="C39" s="7" t="s">
        <v>138</v>
      </c>
      <c r="D39" s="8" t="s">
        <v>139</v>
      </c>
      <c r="E39" s="78"/>
      <c r="F39" s="78"/>
      <c r="G39" s="78">
        <f t="shared" si="4"/>
        <v>3581</v>
      </c>
      <c r="H39" s="78">
        <f t="shared" si="5"/>
        <v>34071.75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6">
        <v>3581</v>
      </c>
      <c r="AA39" s="6">
        <v>29394</v>
      </c>
      <c r="AB39" s="27">
        <v>42380</v>
      </c>
      <c r="AC39" s="27">
        <v>29080</v>
      </c>
      <c r="AD39" s="27">
        <v>35433</v>
      </c>
      <c r="AE39" s="33">
        <f t="shared" si="6"/>
        <v>139868</v>
      </c>
      <c r="AF39" s="33"/>
      <c r="AG39" s="41">
        <v>6.9599999999999995E-2</v>
      </c>
      <c r="AH39" s="33">
        <f t="shared" si="7"/>
        <v>9734.8127999999997</v>
      </c>
      <c r="AI39" s="46">
        <f t="shared" si="8"/>
        <v>0.23437870313169851</v>
      </c>
      <c r="AJ39" s="46">
        <f t="shared" si="9"/>
        <v>46875.740626339699</v>
      </c>
      <c r="AK39" s="46">
        <f t="shared" si="10"/>
        <v>673502.02049338655</v>
      </c>
      <c r="AL39" s="46">
        <f t="shared" si="20"/>
        <v>8379.4963669472672</v>
      </c>
      <c r="AM39" s="46">
        <f t="shared" si="11"/>
        <v>698.29136391227223</v>
      </c>
      <c r="AN39" s="48">
        <v>948766</v>
      </c>
      <c r="AP39" s="74">
        <f>საპენსიო!D36</f>
        <v>275</v>
      </c>
      <c r="AQ39" s="74">
        <f>შშმპ!D37</f>
        <v>368</v>
      </c>
      <c r="AR39" s="9">
        <f t="shared" si="12"/>
        <v>321.5</v>
      </c>
      <c r="AS39" s="9">
        <f t="shared" si="13"/>
        <v>80.375</v>
      </c>
      <c r="AT39" s="9">
        <f t="shared" si="14"/>
        <v>964.5</v>
      </c>
      <c r="AU39" s="76">
        <f t="shared" si="21"/>
        <v>2951.0606531881804</v>
      </c>
    </row>
    <row r="40" spans="1:47" ht="24.75" hidden="1">
      <c r="A40" s="16">
        <v>40</v>
      </c>
      <c r="B40" s="24" t="s">
        <v>140</v>
      </c>
      <c r="C40" s="7" t="s">
        <v>141</v>
      </c>
      <c r="D40" s="8" t="s">
        <v>142</v>
      </c>
      <c r="E40" s="78"/>
      <c r="F40" s="78"/>
      <c r="G40" s="78">
        <f t="shared" si="4"/>
        <v>92</v>
      </c>
      <c r="H40" s="78">
        <f t="shared" si="5"/>
        <v>5311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6">
        <v>92</v>
      </c>
      <c r="AA40" s="6">
        <v>5662</v>
      </c>
      <c r="AB40" s="27">
        <v>3330</v>
      </c>
      <c r="AC40" s="27">
        <v>4580</v>
      </c>
      <c r="AD40" s="27">
        <v>7672</v>
      </c>
      <c r="AE40" s="33">
        <f t="shared" si="6"/>
        <v>21336</v>
      </c>
      <c r="AF40" s="33"/>
      <c r="AG40" s="41">
        <f>0.0653*3.0274</f>
        <v>0.19768922</v>
      </c>
      <c r="AH40" s="33">
        <f t="shared" si="7"/>
        <v>4217.8971979199996</v>
      </c>
      <c r="AI40" s="46">
        <f t="shared" si="8"/>
        <v>0.10155154449311185</v>
      </c>
      <c r="AJ40" s="46">
        <f t="shared" si="9"/>
        <v>20310.30889862237</v>
      </c>
      <c r="AK40" s="46">
        <f t="shared" si="10"/>
        <v>102738.57572315967</v>
      </c>
      <c r="AL40" s="46">
        <f t="shared" si="20"/>
        <v>4466.8945966591155</v>
      </c>
      <c r="AM40" s="46">
        <f t="shared" si="11"/>
        <v>372.24121638825966</v>
      </c>
      <c r="AN40" s="48">
        <v>235752</v>
      </c>
      <c r="AP40" s="74"/>
      <c r="AQ40" s="74">
        <f>შშმპ!D29</f>
        <v>92</v>
      </c>
      <c r="AR40" s="9">
        <f t="shared" si="12"/>
        <v>92</v>
      </c>
      <c r="AS40" s="9">
        <f t="shared" si="13"/>
        <v>23</v>
      </c>
      <c r="AT40" s="9">
        <f t="shared" si="14"/>
        <v>276</v>
      </c>
      <c r="AU40" s="76">
        <f t="shared" si="21"/>
        <v>2562.521739130435</v>
      </c>
    </row>
    <row r="41" spans="1:47" ht="24.75" hidden="1">
      <c r="A41" s="16">
        <v>41</v>
      </c>
      <c r="B41" s="24" t="s">
        <v>143</v>
      </c>
      <c r="C41" s="7" t="s">
        <v>144</v>
      </c>
      <c r="D41" s="8" t="s">
        <v>106</v>
      </c>
      <c r="E41" s="78"/>
      <c r="F41" s="78"/>
      <c r="G41" s="78">
        <f t="shared" si="4"/>
        <v>276</v>
      </c>
      <c r="H41" s="78">
        <f t="shared" si="5"/>
        <v>13475.5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6">
        <v>276</v>
      </c>
      <c r="AA41" s="6">
        <v>11673</v>
      </c>
      <c r="AB41" s="27">
        <v>12009</v>
      </c>
      <c r="AC41" s="27">
        <v>11266</v>
      </c>
      <c r="AD41" s="27">
        <v>18954</v>
      </c>
      <c r="AE41" s="33">
        <f t="shared" si="6"/>
        <v>54178</v>
      </c>
      <c r="AF41" s="33"/>
      <c r="AG41" s="41">
        <f>0.0911*3.0274</f>
        <v>0.27579614000000002</v>
      </c>
      <c r="AH41" s="33">
        <f t="shared" si="7"/>
        <v>14942.083272920001</v>
      </c>
      <c r="AI41" s="46">
        <f t="shared" si="8"/>
        <v>0.35975073907870475</v>
      </c>
      <c r="AJ41" s="46">
        <f t="shared" si="9"/>
        <v>71950.147815740944</v>
      </c>
      <c r="AK41" s="46">
        <f t="shared" si="10"/>
        <v>260881.63458611473</v>
      </c>
      <c r="AL41" s="46">
        <f t="shared" si="20"/>
        <v>11594.739314938432</v>
      </c>
      <c r="AM41" s="46">
        <f t="shared" si="11"/>
        <v>966.22827624486933</v>
      </c>
      <c r="AN41" s="48">
        <v>1175322</v>
      </c>
      <c r="AP41" s="74"/>
      <c r="AQ41" s="74">
        <f>შშმპ!D30</f>
        <v>90</v>
      </c>
      <c r="AR41" s="9">
        <f t="shared" si="12"/>
        <v>90</v>
      </c>
      <c r="AS41" s="9">
        <f t="shared" si="13"/>
        <v>22.5</v>
      </c>
      <c r="AT41" s="9">
        <f t="shared" si="14"/>
        <v>270</v>
      </c>
      <c r="AU41" s="76">
        <f t="shared" si="21"/>
        <v>13059.133333333333</v>
      </c>
    </row>
    <row r="42" spans="1:47" hidden="1">
      <c r="A42" s="16">
        <v>42</v>
      </c>
      <c r="B42" s="25" t="s">
        <v>145</v>
      </c>
      <c r="C42" s="7" t="s">
        <v>146</v>
      </c>
      <c r="D42" s="8" t="s">
        <v>147</v>
      </c>
      <c r="E42" s="78"/>
      <c r="F42" s="78"/>
      <c r="G42" s="78"/>
      <c r="H42" s="78">
        <f t="shared" si="5"/>
        <v>2032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6"/>
      <c r="AA42" s="6">
        <v>1803</v>
      </c>
      <c r="AB42" s="27">
        <v>1784</v>
      </c>
      <c r="AC42" s="27">
        <v>1724</v>
      </c>
      <c r="AD42" s="27">
        <v>2817</v>
      </c>
      <c r="AE42" s="33">
        <f t="shared" si="6"/>
        <v>8128</v>
      </c>
      <c r="AF42" s="33"/>
      <c r="AG42" s="41">
        <v>1.0943000000000001</v>
      </c>
      <c r="AH42" s="33">
        <f t="shared" si="7"/>
        <v>8894.4704000000002</v>
      </c>
      <c r="AI42" s="46">
        <f t="shared" si="8"/>
        <v>0.21414633031210215</v>
      </c>
      <c r="AJ42" s="46">
        <f t="shared" si="9"/>
        <v>42829.266062420429</v>
      </c>
      <c r="AK42" s="46">
        <f t="shared" si="10"/>
        <v>39138.505037394156</v>
      </c>
      <c r="AN42" s="48">
        <v>449555</v>
      </c>
      <c r="AP42" s="74"/>
      <c r="AQ42" s="74"/>
      <c r="AR42" s="9"/>
      <c r="AS42" s="9">
        <f t="shared" si="13"/>
        <v>0</v>
      </c>
      <c r="AT42" s="9">
        <f t="shared" si="14"/>
        <v>0</v>
      </c>
      <c r="AU42" s="76"/>
    </row>
    <row r="43" spans="1:47" hidden="1">
      <c r="A43" s="16">
        <v>43</v>
      </c>
      <c r="B43" s="25" t="s">
        <v>148</v>
      </c>
      <c r="C43" s="7" t="s">
        <v>149</v>
      </c>
      <c r="D43" s="8" t="s">
        <v>150</v>
      </c>
      <c r="E43" s="78"/>
      <c r="F43" s="78"/>
      <c r="G43" s="78">
        <f t="shared" si="4"/>
        <v>990</v>
      </c>
      <c r="H43" s="78">
        <f t="shared" si="5"/>
        <v>6296.5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6">
        <v>990</v>
      </c>
      <c r="AA43" s="6">
        <v>2878</v>
      </c>
      <c r="AB43" s="27">
        <v>5373</v>
      </c>
      <c r="AC43" s="27">
        <v>6512</v>
      </c>
      <c r="AD43" s="27">
        <v>10423</v>
      </c>
      <c r="AE43" s="33">
        <f t="shared" si="6"/>
        <v>26176</v>
      </c>
      <c r="AF43" s="33"/>
      <c r="AG43" s="43">
        <v>0.37</v>
      </c>
      <c r="AH43" s="33">
        <f t="shared" si="7"/>
        <v>9685.119999999999</v>
      </c>
      <c r="AI43" s="46">
        <f t="shared" si="8"/>
        <v>0.23318228217751405</v>
      </c>
      <c r="AJ43" s="46">
        <f t="shared" si="9"/>
        <v>46636.456435502812</v>
      </c>
      <c r="AK43" s="46">
        <f>AJ43/AG43</f>
        <v>126044.4768527103</v>
      </c>
      <c r="AL43" s="46">
        <f>AK43/AS43</f>
        <v>3734.6511660062311</v>
      </c>
      <c r="AM43" s="46">
        <f t="shared" si="11"/>
        <v>311.22093050051927</v>
      </c>
      <c r="AN43" s="48">
        <v>165836</v>
      </c>
      <c r="AP43" s="74"/>
      <c r="AQ43" s="74">
        <f>შშმპ!D32</f>
        <v>135</v>
      </c>
      <c r="AR43" s="9">
        <f t="shared" si="12"/>
        <v>135</v>
      </c>
      <c r="AS43" s="9">
        <f t="shared" si="13"/>
        <v>33.75</v>
      </c>
      <c r="AT43" s="9">
        <f t="shared" si="14"/>
        <v>405</v>
      </c>
      <c r="AU43" s="76">
        <f>AN43/AR43</f>
        <v>1228.4148148148149</v>
      </c>
    </row>
    <row r="44" spans="1:47" hidden="1">
      <c r="E44" s="78"/>
      <c r="F44" s="80"/>
      <c r="G44" s="80"/>
      <c r="H44" s="80"/>
      <c r="AB44" s="30"/>
      <c r="AC44" s="30"/>
      <c r="AD44" s="30"/>
      <c r="AE44" s="76">
        <f>SUM(AE2:AE43)</f>
        <v>28656834</v>
      </c>
      <c r="AH44" s="33">
        <f>SUM(AH2:AH43)</f>
        <v>4153454.5033001406</v>
      </c>
      <c r="AJ44" s="46">
        <v>20000000</v>
      </c>
      <c r="AM44" s="46">
        <f>SUM(AM2:AM43)</f>
        <v>529846.14803571731</v>
      </c>
    </row>
    <row r="45" spans="1:47" hidden="1"/>
    <row r="46" spans="1:47" hidden="1"/>
  </sheetData>
  <mergeCells count="1">
    <mergeCell ref="A2:A3"/>
  </mergeCells>
  <pageMargins left="0.7" right="0.7" top="0.75" bottom="0.75" header="0.3" footer="0.3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44"/>
  <sheetViews>
    <sheetView workbookViewId="0">
      <selection activeCell="BO50" sqref="BO50"/>
    </sheetView>
  </sheetViews>
  <sheetFormatPr defaultRowHeight="15"/>
  <cols>
    <col min="1" max="1" width="4" style="2" customWidth="1"/>
    <col min="2" max="2" width="24.42578125" style="2" customWidth="1"/>
    <col min="3" max="3" width="19.85546875" style="2" hidden="1" customWidth="1"/>
    <col min="4" max="4" width="9.28515625" style="2" hidden="1" customWidth="1"/>
    <col min="5" max="6" width="11.85546875" style="79" hidden="1" customWidth="1"/>
    <col min="7" max="8" width="11.85546875" style="79" customWidth="1"/>
    <col min="9" max="9" width="8.28515625" style="2" hidden="1" customWidth="1"/>
    <col min="10" max="10" width="0" style="2" hidden="1" customWidth="1"/>
    <col min="11" max="13" width="7.5703125" style="2" hidden="1" customWidth="1"/>
    <col min="14" max="14" width="10.28515625" style="2" hidden="1" customWidth="1"/>
    <col min="15" max="15" width="10.5703125" style="2" hidden="1" customWidth="1"/>
    <col min="16" max="16" width="11.140625" style="2" hidden="1" customWidth="1"/>
    <col min="17" max="17" width="10.42578125" style="2" hidden="1" customWidth="1"/>
    <col min="18" max="25" width="11" style="2" hidden="1" customWidth="1"/>
    <col min="26" max="27" width="11" style="3" hidden="1" customWidth="1"/>
    <col min="28" max="28" width="8.28515625" style="31" hidden="1" customWidth="1"/>
    <col min="29" max="29" width="9.85546875" style="31" hidden="1" customWidth="1"/>
    <col min="30" max="30" width="9.28515625" style="31" hidden="1" customWidth="1"/>
    <col min="31" max="32" width="15.28515625" style="2" hidden="1" customWidth="1"/>
    <col min="33" max="33" width="12.5703125" style="45" hidden="1" customWidth="1"/>
    <col min="34" max="34" width="20.7109375" style="33" hidden="1" customWidth="1"/>
    <col min="35" max="39" width="20.7109375" style="46" hidden="1" customWidth="1"/>
    <col min="40" max="40" width="12.42578125" style="49" hidden="1" customWidth="1"/>
    <col min="41" max="41" width="38.5703125" style="2" hidden="1" customWidth="1"/>
    <col min="42" max="42" width="0" style="73" hidden="1" customWidth="1"/>
    <col min="43" max="46" width="0" style="2" hidden="1" customWidth="1"/>
    <col min="47" max="47" width="13.140625" style="2" hidden="1" customWidth="1"/>
    <col min="48" max="48" width="16.7109375" style="2" hidden="1" customWidth="1"/>
    <col min="49" max="66" width="0" style="2" hidden="1" customWidth="1"/>
    <col min="67" max="260" width="9.140625" style="2"/>
    <col min="261" max="261" width="4" style="2" customWidth="1"/>
    <col min="262" max="262" width="24.42578125" style="2" customWidth="1"/>
    <col min="263" max="263" width="19.85546875" style="2" customWidth="1"/>
    <col min="264" max="264" width="9.28515625" style="2" customWidth="1"/>
    <col min="265" max="265" width="10" style="2" customWidth="1"/>
    <col min="266" max="266" width="8.42578125" style="2" customWidth="1"/>
    <col min="267" max="267" width="12.28515625" style="2" customWidth="1"/>
    <col min="268" max="268" width="7.5703125" style="2" customWidth="1"/>
    <col min="269" max="269" width="7.85546875" style="2" customWidth="1"/>
    <col min="270" max="270" width="8.28515625" style="2" customWidth="1"/>
    <col min="271" max="271" width="9.140625" style="2"/>
    <col min="272" max="274" width="7.5703125" style="2" customWidth="1"/>
    <col min="275" max="275" width="10.28515625" style="2" customWidth="1"/>
    <col min="276" max="276" width="10.5703125" style="2" customWidth="1"/>
    <col min="277" max="277" width="11.140625" style="2" customWidth="1"/>
    <col min="278" max="278" width="10.42578125" style="2" customWidth="1"/>
    <col min="279" max="288" width="11" style="2" customWidth="1"/>
    <col min="289" max="289" width="9.140625" style="2" customWidth="1"/>
    <col min="290" max="290" width="6.85546875" style="2" customWidth="1"/>
    <col min="291" max="291" width="15" style="2" bestFit="1" customWidth="1"/>
    <col min="292" max="516" width="9.140625" style="2"/>
    <col min="517" max="517" width="4" style="2" customWidth="1"/>
    <col min="518" max="518" width="24.42578125" style="2" customWidth="1"/>
    <col min="519" max="519" width="19.85546875" style="2" customWidth="1"/>
    <col min="520" max="520" width="9.28515625" style="2" customWidth="1"/>
    <col min="521" max="521" width="10" style="2" customWidth="1"/>
    <col min="522" max="522" width="8.42578125" style="2" customWidth="1"/>
    <col min="523" max="523" width="12.28515625" style="2" customWidth="1"/>
    <col min="524" max="524" width="7.5703125" style="2" customWidth="1"/>
    <col min="525" max="525" width="7.85546875" style="2" customWidth="1"/>
    <col min="526" max="526" width="8.28515625" style="2" customWidth="1"/>
    <col min="527" max="527" width="9.140625" style="2"/>
    <col min="528" max="530" width="7.5703125" style="2" customWidth="1"/>
    <col min="531" max="531" width="10.28515625" style="2" customWidth="1"/>
    <col min="532" max="532" width="10.5703125" style="2" customWidth="1"/>
    <col min="533" max="533" width="11.140625" style="2" customWidth="1"/>
    <col min="534" max="534" width="10.42578125" style="2" customWidth="1"/>
    <col min="535" max="544" width="11" style="2" customWidth="1"/>
    <col min="545" max="545" width="9.140625" style="2" customWidth="1"/>
    <col min="546" max="546" width="6.85546875" style="2" customWidth="1"/>
    <col min="547" max="547" width="15" style="2" bestFit="1" customWidth="1"/>
    <col min="548" max="772" width="9.140625" style="2"/>
    <col min="773" max="773" width="4" style="2" customWidth="1"/>
    <col min="774" max="774" width="24.42578125" style="2" customWidth="1"/>
    <col min="775" max="775" width="19.85546875" style="2" customWidth="1"/>
    <col min="776" max="776" width="9.28515625" style="2" customWidth="1"/>
    <col min="777" max="777" width="10" style="2" customWidth="1"/>
    <col min="778" max="778" width="8.42578125" style="2" customWidth="1"/>
    <col min="779" max="779" width="12.28515625" style="2" customWidth="1"/>
    <col min="780" max="780" width="7.5703125" style="2" customWidth="1"/>
    <col min="781" max="781" width="7.85546875" style="2" customWidth="1"/>
    <col min="782" max="782" width="8.28515625" style="2" customWidth="1"/>
    <col min="783" max="783" width="9.140625" style="2"/>
    <col min="784" max="786" width="7.5703125" style="2" customWidth="1"/>
    <col min="787" max="787" width="10.28515625" style="2" customWidth="1"/>
    <col min="788" max="788" width="10.5703125" style="2" customWidth="1"/>
    <col min="789" max="789" width="11.140625" style="2" customWidth="1"/>
    <col min="790" max="790" width="10.42578125" style="2" customWidth="1"/>
    <col min="791" max="800" width="11" style="2" customWidth="1"/>
    <col min="801" max="801" width="9.140625" style="2" customWidth="1"/>
    <col min="802" max="802" width="6.85546875" style="2" customWidth="1"/>
    <col min="803" max="803" width="15" style="2" bestFit="1" customWidth="1"/>
    <col min="804" max="1028" width="9.140625" style="2"/>
    <col min="1029" max="1029" width="4" style="2" customWidth="1"/>
    <col min="1030" max="1030" width="24.42578125" style="2" customWidth="1"/>
    <col min="1031" max="1031" width="19.85546875" style="2" customWidth="1"/>
    <col min="1032" max="1032" width="9.28515625" style="2" customWidth="1"/>
    <col min="1033" max="1033" width="10" style="2" customWidth="1"/>
    <col min="1034" max="1034" width="8.42578125" style="2" customWidth="1"/>
    <col min="1035" max="1035" width="12.28515625" style="2" customWidth="1"/>
    <col min="1036" max="1036" width="7.5703125" style="2" customWidth="1"/>
    <col min="1037" max="1037" width="7.85546875" style="2" customWidth="1"/>
    <col min="1038" max="1038" width="8.28515625" style="2" customWidth="1"/>
    <col min="1039" max="1039" width="9.140625" style="2"/>
    <col min="1040" max="1042" width="7.5703125" style="2" customWidth="1"/>
    <col min="1043" max="1043" width="10.28515625" style="2" customWidth="1"/>
    <col min="1044" max="1044" width="10.5703125" style="2" customWidth="1"/>
    <col min="1045" max="1045" width="11.140625" style="2" customWidth="1"/>
    <col min="1046" max="1046" width="10.42578125" style="2" customWidth="1"/>
    <col min="1047" max="1056" width="11" style="2" customWidth="1"/>
    <col min="1057" max="1057" width="9.140625" style="2" customWidth="1"/>
    <col min="1058" max="1058" width="6.85546875" style="2" customWidth="1"/>
    <col min="1059" max="1059" width="15" style="2" bestFit="1" customWidth="1"/>
    <col min="1060" max="1284" width="9.140625" style="2"/>
    <col min="1285" max="1285" width="4" style="2" customWidth="1"/>
    <col min="1286" max="1286" width="24.42578125" style="2" customWidth="1"/>
    <col min="1287" max="1287" width="19.85546875" style="2" customWidth="1"/>
    <col min="1288" max="1288" width="9.28515625" style="2" customWidth="1"/>
    <col min="1289" max="1289" width="10" style="2" customWidth="1"/>
    <col min="1290" max="1290" width="8.42578125" style="2" customWidth="1"/>
    <col min="1291" max="1291" width="12.28515625" style="2" customWidth="1"/>
    <col min="1292" max="1292" width="7.5703125" style="2" customWidth="1"/>
    <col min="1293" max="1293" width="7.85546875" style="2" customWidth="1"/>
    <col min="1294" max="1294" width="8.28515625" style="2" customWidth="1"/>
    <col min="1295" max="1295" width="9.140625" style="2"/>
    <col min="1296" max="1298" width="7.5703125" style="2" customWidth="1"/>
    <col min="1299" max="1299" width="10.28515625" style="2" customWidth="1"/>
    <col min="1300" max="1300" width="10.5703125" style="2" customWidth="1"/>
    <col min="1301" max="1301" width="11.140625" style="2" customWidth="1"/>
    <col min="1302" max="1302" width="10.42578125" style="2" customWidth="1"/>
    <col min="1303" max="1312" width="11" style="2" customWidth="1"/>
    <col min="1313" max="1313" width="9.140625" style="2" customWidth="1"/>
    <col min="1314" max="1314" width="6.85546875" style="2" customWidth="1"/>
    <col min="1315" max="1315" width="15" style="2" bestFit="1" customWidth="1"/>
    <col min="1316" max="1540" width="9.140625" style="2"/>
    <col min="1541" max="1541" width="4" style="2" customWidth="1"/>
    <col min="1542" max="1542" width="24.42578125" style="2" customWidth="1"/>
    <col min="1543" max="1543" width="19.85546875" style="2" customWidth="1"/>
    <col min="1544" max="1544" width="9.28515625" style="2" customWidth="1"/>
    <col min="1545" max="1545" width="10" style="2" customWidth="1"/>
    <col min="1546" max="1546" width="8.42578125" style="2" customWidth="1"/>
    <col min="1547" max="1547" width="12.28515625" style="2" customWidth="1"/>
    <col min="1548" max="1548" width="7.5703125" style="2" customWidth="1"/>
    <col min="1549" max="1549" width="7.85546875" style="2" customWidth="1"/>
    <col min="1550" max="1550" width="8.28515625" style="2" customWidth="1"/>
    <col min="1551" max="1551" width="9.140625" style="2"/>
    <col min="1552" max="1554" width="7.5703125" style="2" customWidth="1"/>
    <col min="1555" max="1555" width="10.28515625" style="2" customWidth="1"/>
    <col min="1556" max="1556" width="10.5703125" style="2" customWidth="1"/>
    <col min="1557" max="1557" width="11.140625" style="2" customWidth="1"/>
    <col min="1558" max="1558" width="10.42578125" style="2" customWidth="1"/>
    <col min="1559" max="1568" width="11" style="2" customWidth="1"/>
    <col min="1569" max="1569" width="9.140625" style="2" customWidth="1"/>
    <col min="1570" max="1570" width="6.85546875" style="2" customWidth="1"/>
    <col min="1571" max="1571" width="15" style="2" bestFit="1" customWidth="1"/>
    <col min="1572" max="1796" width="9.140625" style="2"/>
    <col min="1797" max="1797" width="4" style="2" customWidth="1"/>
    <col min="1798" max="1798" width="24.42578125" style="2" customWidth="1"/>
    <col min="1799" max="1799" width="19.85546875" style="2" customWidth="1"/>
    <col min="1800" max="1800" width="9.28515625" style="2" customWidth="1"/>
    <col min="1801" max="1801" width="10" style="2" customWidth="1"/>
    <col min="1802" max="1802" width="8.42578125" style="2" customWidth="1"/>
    <col min="1803" max="1803" width="12.28515625" style="2" customWidth="1"/>
    <col min="1804" max="1804" width="7.5703125" style="2" customWidth="1"/>
    <col min="1805" max="1805" width="7.85546875" style="2" customWidth="1"/>
    <col min="1806" max="1806" width="8.28515625" style="2" customWidth="1"/>
    <col min="1807" max="1807" width="9.140625" style="2"/>
    <col min="1808" max="1810" width="7.5703125" style="2" customWidth="1"/>
    <col min="1811" max="1811" width="10.28515625" style="2" customWidth="1"/>
    <col min="1812" max="1812" width="10.5703125" style="2" customWidth="1"/>
    <col min="1813" max="1813" width="11.140625" style="2" customWidth="1"/>
    <col min="1814" max="1814" width="10.42578125" style="2" customWidth="1"/>
    <col min="1815" max="1824" width="11" style="2" customWidth="1"/>
    <col min="1825" max="1825" width="9.140625" style="2" customWidth="1"/>
    <col min="1826" max="1826" width="6.85546875" style="2" customWidth="1"/>
    <col min="1827" max="1827" width="15" style="2" bestFit="1" customWidth="1"/>
    <col min="1828" max="2052" width="9.140625" style="2"/>
    <col min="2053" max="2053" width="4" style="2" customWidth="1"/>
    <col min="2054" max="2054" width="24.42578125" style="2" customWidth="1"/>
    <col min="2055" max="2055" width="19.85546875" style="2" customWidth="1"/>
    <col min="2056" max="2056" width="9.28515625" style="2" customWidth="1"/>
    <col min="2057" max="2057" width="10" style="2" customWidth="1"/>
    <col min="2058" max="2058" width="8.42578125" style="2" customWidth="1"/>
    <col min="2059" max="2059" width="12.28515625" style="2" customWidth="1"/>
    <col min="2060" max="2060" width="7.5703125" style="2" customWidth="1"/>
    <col min="2061" max="2061" width="7.85546875" style="2" customWidth="1"/>
    <col min="2062" max="2062" width="8.28515625" style="2" customWidth="1"/>
    <col min="2063" max="2063" width="9.140625" style="2"/>
    <col min="2064" max="2066" width="7.5703125" style="2" customWidth="1"/>
    <col min="2067" max="2067" width="10.28515625" style="2" customWidth="1"/>
    <col min="2068" max="2068" width="10.5703125" style="2" customWidth="1"/>
    <col min="2069" max="2069" width="11.140625" style="2" customWidth="1"/>
    <col min="2070" max="2070" width="10.42578125" style="2" customWidth="1"/>
    <col min="2071" max="2080" width="11" style="2" customWidth="1"/>
    <col min="2081" max="2081" width="9.140625" style="2" customWidth="1"/>
    <col min="2082" max="2082" width="6.85546875" style="2" customWidth="1"/>
    <col min="2083" max="2083" width="15" style="2" bestFit="1" customWidth="1"/>
    <col min="2084" max="2308" width="9.140625" style="2"/>
    <col min="2309" max="2309" width="4" style="2" customWidth="1"/>
    <col min="2310" max="2310" width="24.42578125" style="2" customWidth="1"/>
    <col min="2311" max="2311" width="19.85546875" style="2" customWidth="1"/>
    <col min="2312" max="2312" width="9.28515625" style="2" customWidth="1"/>
    <col min="2313" max="2313" width="10" style="2" customWidth="1"/>
    <col min="2314" max="2314" width="8.42578125" style="2" customWidth="1"/>
    <col min="2315" max="2315" width="12.28515625" style="2" customWidth="1"/>
    <col min="2316" max="2316" width="7.5703125" style="2" customWidth="1"/>
    <col min="2317" max="2317" width="7.85546875" style="2" customWidth="1"/>
    <col min="2318" max="2318" width="8.28515625" style="2" customWidth="1"/>
    <col min="2319" max="2319" width="9.140625" style="2"/>
    <col min="2320" max="2322" width="7.5703125" style="2" customWidth="1"/>
    <col min="2323" max="2323" width="10.28515625" style="2" customWidth="1"/>
    <col min="2324" max="2324" width="10.5703125" style="2" customWidth="1"/>
    <col min="2325" max="2325" width="11.140625" style="2" customWidth="1"/>
    <col min="2326" max="2326" width="10.42578125" style="2" customWidth="1"/>
    <col min="2327" max="2336" width="11" style="2" customWidth="1"/>
    <col min="2337" max="2337" width="9.140625" style="2" customWidth="1"/>
    <col min="2338" max="2338" width="6.85546875" style="2" customWidth="1"/>
    <col min="2339" max="2339" width="15" style="2" bestFit="1" customWidth="1"/>
    <col min="2340" max="2564" width="9.140625" style="2"/>
    <col min="2565" max="2565" width="4" style="2" customWidth="1"/>
    <col min="2566" max="2566" width="24.42578125" style="2" customWidth="1"/>
    <col min="2567" max="2567" width="19.85546875" style="2" customWidth="1"/>
    <col min="2568" max="2568" width="9.28515625" style="2" customWidth="1"/>
    <col min="2569" max="2569" width="10" style="2" customWidth="1"/>
    <col min="2570" max="2570" width="8.42578125" style="2" customWidth="1"/>
    <col min="2571" max="2571" width="12.28515625" style="2" customWidth="1"/>
    <col min="2572" max="2572" width="7.5703125" style="2" customWidth="1"/>
    <col min="2573" max="2573" width="7.85546875" style="2" customWidth="1"/>
    <col min="2574" max="2574" width="8.28515625" style="2" customWidth="1"/>
    <col min="2575" max="2575" width="9.140625" style="2"/>
    <col min="2576" max="2578" width="7.5703125" style="2" customWidth="1"/>
    <col min="2579" max="2579" width="10.28515625" style="2" customWidth="1"/>
    <col min="2580" max="2580" width="10.5703125" style="2" customWidth="1"/>
    <col min="2581" max="2581" width="11.140625" style="2" customWidth="1"/>
    <col min="2582" max="2582" width="10.42578125" style="2" customWidth="1"/>
    <col min="2583" max="2592" width="11" style="2" customWidth="1"/>
    <col min="2593" max="2593" width="9.140625" style="2" customWidth="1"/>
    <col min="2594" max="2594" width="6.85546875" style="2" customWidth="1"/>
    <col min="2595" max="2595" width="15" style="2" bestFit="1" customWidth="1"/>
    <col min="2596" max="2820" width="9.140625" style="2"/>
    <col min="2821" max="2821" width="4" style="2" customWidth="1"/>
    <col min="2822" max="2822" width="24.42578125" style="2" customWidth="1"/>
    <col min="2823" max="2823" width="19.85546875" style="2" customWidth="1"/>
    <col min="2824" max="2824" width="9.28515625" style="2" customWidth="1"/>
    <col min="2825" max="2825" width="10" style="2" customWidth="1"/>
    <col min="2826" max="2826" width="8.42578125" style="2" customWidth="1"/>
    <col min="2827" max="2827" width="12.28515625" style="2" customWidth="1"/>
    <col min="2828" max="2828" width="7.5703125" style="2" customWidth="1"/>
    <col min="2829" max="2829" width="7.85546875" style="2" customWidth="1"/>
    <col min="2830" max="2830" width="8.28515625" style="2" customWidth="1"/>
    <col min="2831" max="2831" width="9.140625" style="2"/>
    <col min="2832" max="2834" width="7.5703125" style="2" customWidth="1"/>
    <col min="2835" max="2835" width="10.28515625" style="2" customWidth="1"/>
    <col min="2836" max="2836" width="10.5703125" style="2" customWidth="1"/>
    <col min="2837" max="2837" width="11.140625" style="2" customWidth="1"/>
    <col min="2838" max="2838" width="10.42578125" style="2" customWidth="1"/>
    <col min="2839" max="2848" width="11" style="2" customWidth="1"/>
    <col min="2849" max="2849" width="9.140625" style="2" customWidth="1"/>
    <col min="2850" max="2850" width="6.85546875" style="2" customWidth="1"/>
    <col min="2851" max="2851" width="15" style="2" bestFit="1" customWidth="1"/>
    <col min="2852" max="3076" width="9.140625" style="2"/>
    <col min="3077" max="3077" width="4" style="2" customWidth="1"/>
    <col min="3078" max="3078" width="24.42578125" style="2" customWidth="1"/>
    <col min="3079" max="3079" width="19.85546875" style="2" customWidth="1"/>
    <col min="3080" max="3080" width="9.28515625" style="2" customWidth="1"/>
    <col min="3081" max="3081" width="10" style="2" customWidth="1"/>
    <col min="3082" max="3082" width="8.42578125" style="2" customWidth="1"/>
    <col min="3083" max="3083" width="12.28515625" style="2" customWidth="1"/>
    <col min="3084" max="3084" width="7.5703125" style="2" customWidth="1"/>
    <col min="3085" max="3085" width="7.85546875" style="2" customWidth="1"/>
    <col min="3086" max="3086" width="8.28515625" style="2" customWidth="1"/>
    <col min="3087" max="3087" width="9.140625" style="2"/>
    <col min="3088" max="3090" width="7.5703125" style="2" customWidth="1"/>
    <col min="3091" max="3091" width="10.28515625" style="2" customWidth="1"/>
    <col min="3092" max="3092" width="10.5703125" style="2" customWidth="1"/>
    <col min="3093" max="3093" width="11.140625" style="2" customWidth="1"/>
    <col min="3094" max="3094" width="10.42578125" style="2" customWidth="1"/>
    <col min="3095" max="3104" width="11" style="2" customWidth="1"/>
    <col min="3105" max="3105" width="9.140625" style="2" customWidth="1"/>
    <col min="3106" max="3106" width="6.85546875" style="2" customWidth="1"/>
    <col min="3107" max="3107" width="15" style="2" bestFit="1" customWidth="1"/>
    <col min="3108" max="3332" width="9.140625" style="2"/>
    <col min="3333" max="3333" width="4" style="2" customWidth="1"/>
    <col min="3334" max="3334" width="24.42578125" style="2" customWidth="1"/>
    <col min="3335" max="3335" width="19.85546875" style="2" customWidth="1"/>
    <col min="3336" max="3336" width="9.28515625" style="2" customWidth="1"/>
    <col min="3337" max="3337" width="10" style="2" customWidth="1"/>
    <col min="3338" max="3338" width="8.42578125" style="2" customWidth="1"/>
    <col min="3339" max="3339" width="12.28515625" style="2" customWidth="1"/>
    <col min="3340" max="3340" width="7.5703125" style="2" customWidth="1"/>
    <col min="3341" max="3341" width="7.85546875" style="2" customWidth="1"/>
    <col min="3342" max="3342" width="8.28515625" style="2" customWidth="1"/>
    <col min="3343" max="3343" width="9.140625" style="2"/>
    <col min="3344" max="3346" width="7.5703125" style="2" customWidth="1"/>
    <col min="3347" max="3347" width="10.28515625" style="2" customWidth="1"/>
    <col min="3348" max="3348" width="10.5703125" style="2" customWidth="1"/>
    <col min="3349" max="3349" width="11.140625" style="2" customWidth="1"/>
    <col min="3350" max="3350" width="10.42578125" style="2" customWidth="1"/>
    <col min="3351" max="3360" width="11" style="2" customWidth="1"/>
    <col min="3361" max="3361" width="9.140625" style="2" customWidth="1"/>
    <col min="3362" max="3362" width="6.85546875" style="2" customWidth="1"/>
    <col min="3363" max="3363" width="15" style="2" bestFit="1" customWidth="1"/>
    <col min="3364" max="3588" width="9.140625" style="2"/>
    <col min="3589" max="3589" width="4" style="2" customWidth="1"/>
    <col min="3590" max="3590" width="24.42578125" style="2" customWidth="1"/>
    <col min="3591" max="3591" width="19.85546875" style="2" customWidth="1"/>
    <col min="3592" max="3592" width="9.28515625" style="2" customWidth="1"/>
    <col min="3593" max="3593" width="10" style="2" customWidth="1"/>
    <col min="3594" max="3594" width="8.42578125" style="2" customWidth="1"/>
    <col min="3595" max="3595" width="12.28515625" style="2" customWidth="1"/>
    <col min="3596" max="3596" width="7.5703125" style="2" customWidth="1"/>
    <col min="3597" max="3597" width="7.85546875" style="2" customWidth="1"/>
    <col min="3598" max="3598" width="8.28515625" style="2" customWidth="1"/>
    <col min="3599" max="3599" width="9.140625" style="2"/>
    <col min="3600" max="3602" width="7.5703125" style="2" customWidth="1"/>
    <col min="3603" max="3603" width="10.28515625" style="2" customWidth="1"/>
    <col min="3604" max="3604" width="10.5703125" style="2" customWidth="1"/>
    <col min="3605" max="3605" width="11.140625" style="2" customWidth="1"/>
    <col min="3606" max="3606" width="10.42578125" style="2" customWidth="1"/>
    <col min="3607" max="3616" width="11" style="2" customWidth="1"/>
    <col min="3617" max="3617" width="9.140625" style="2" customWidth="1"/>
    <col min="3618" max="3618" width="6.85546875" style="2" customWidth="1"/>
    <col min="3619" max="3619" width="15" style="2" bestFit="1" customWidth="1"/>
    <col min="3620" max="3844" width="9.140625" style="2"/>
    <col min="3845" max="3845" width="4" style="2" customWidth="1"/>
    <col min="3846" max="3846" width="24.42578125" style="2" customWidth="1"/>
    <col min="3847" max="3847" width="19.85546875" style="2" customWidth="1"/>
    <col min="3848" max="3848" width="9.28515625" style="2" customWidth="1"/>
    <col min="3849" max="3849" width="10" style="2" customWidth="1"/>
    <col min="3850" max="3850" width="8.42578125" style="2" customWidth="1"/>
    <col min="3851" max="3851" width="12.28515625" style="2" customWidth="1"/>
    <col min="3852" max="3852" width="7.5703125" style="2" customWidth="1"/>
    <col min="3853" max="3853" width="7.85546875" style="2" customWidth="1"/>
    <col min="3854" max="3854" width="8.28515625" style="2" customWidth="1"/>
    <col min="3855" max="3855" width="9.140625" style="2"/>
    <col min="3856" max="3858" width="7.5703125" style="2" customWidth="1"/>
    <col min="3859" max="3859" width="10.28515625" style="2" customWidth="1"/>
    <col min="3860" max="3860" width="10.5703125" style="2" customWidth="1"/>
    <col min="3861" max="3861" width="11.140625" style="2" customWidth="1"/>
    <col min="3862" max="3862" width="10.42578125" style="2" customWidth="1"/>
    <col min="3863" max="3872" width="11" style="2" customWidth="1"/>
    <col min="3873" max="3873" width="9.140625" style="2" customWidth="1"/>
    <col min="3874" max="3874" width="6.85546875" style="2" customWidth="1"/>
    <col min="3875" max="3875" width="15" style="2" bestFit="1" customWidth="1"/>
    <col min="3876" max="4100" width="9.140625" style="2"/>
    <col min="4101" max="4101" width="4" style="2" customWidth="1"/>
    <col min="4102" max="4102" width="24.42578125" style="2" customWidth="1"/>
    <col min="4103" max="4103" width="19.85546875" style="2" customWidth="1"/>
    <col min="4104" max="4104" width="9.28515625" style="2" customWidth="1"/>
    <col min="4105" max="4105" width="10" style="2" customWidth="1"/>
    <col min="4106" max="4106" width="8.42578125" style="2" customWidth="1"/>
    <col min="4107" max="4107" width="12.28515625" style="2" customWidth="1"/>
    <col min="4108" max="4108" width="7.5703125" style="2" customWidth="1"/>
    <col min="4109" max="4109" width="7.85546875" style="2" customWidth="1"/>
    <col min="4110" max="4110" width="8.28515625" style="2" customWidth="1"/>
    <col min="4111" max="4111" width="9.140625" style="2"/>
    <col min="4112" max="4114" width="7.5703125" style="2" customWidth="1"/>
    <col min="4115" max="4115" width="10.28515625" style="2" customWidth="1"/>
    <col min="4116" max="4116" width="10.5703125" style="2" customWidth="1"/>
    <col min="4117" max="4117" width="11.140625" style="2" customWidth="1"/>
    <col min="4118" max="4118" width="10.42578125" style="2" customWidth="1"/>
    <col min="4119" max="4128" width="11" style="2" customWidth="1"/>
    <col min="4129" max="4129" width="9.140625" style="2" customWidth="1"/>
    <col min="4130" max="4130" width="6.85546875" style="2" customWidth="1"/>
    <col min="4131" max="4131" width="15" style="2" bestFit="1" customWidth="1"/>
    <col min="4132" max="4356" width="9.140625" style="2"/>
    <col min="4357" max="4357" width="4" style="2" customWidth="1"/>
    <col min="4358" max="4358" width="24.42578125" style="2" customWidth="1"/>
    <col min="4359" max="4359" width="19.85546875" style="2" customWidth="1"/>
    <col min="4360" max="4360" width="9.28515625" style="2" customWidth="1"/>
    <col min="4361" max="4361" width="10" style="2" customWidth="1"/>
    <col min="4362" max="4362" width="8.42578125" style="2" customWidth="1"/>
    <col min="4363" max="4363" width="12.28515625" style="2" customWidth="1"/>
    <col min="4364" max="4364" width="7.5703125" style="2" customWidth="1"/>
    <col min="4365" max="4365" width="7.85546875" style="2" customWidth="1"/>
    <col min="4366" max="4366" width="8.28515625" style="2" customWidth="1"/>
    <col min="4367" max="4367" width="9.140625" style="2"/>
    <col min="4368" max="4370" width="7.5703125" style="2" customWidth="1"/>
    <col min="4371" max="4371" width="10.28515625" style="2" customWidth="1"/>
    <col min="4372" max="4372" width="10.5703125" style="2" customWidth="1"/>
    <col min="4373" max="4373" width="11.140625" style="2" customWidth="1"/>
    <col min="4374" max="4374" width="10.42578125" style="2" customWidth="1"/>
    <col min="4375" max="4384" width="11" style="2" customWidth="1"/>
    <col min="4385" max="4385" width="9.140625" style="2" customWidth="1"/>
    <col min="4386" max="4386" width="6.85546875" style="2" customWidth="1"/>
    <col min="4387" max="4387" width="15" style="2" bestFit="1" customWidth="1"/>
    <col min="4388" max="4612" width="9.140625" style="2"/>
    <col min="4613" max="4613" width="4" style="2" customWidth="1"/>
    <col min="4614" max="4614" width="24.42578125" style="2" customWidth="1"/>
    <col min="4615" max="4615" width="19.85546875" style="2" customWidth="1"/>
    <col min="4616" max="4616" width="9.28515625" style="2" customWidth="1"/>
    <col min="4617" max="4617" width="10" style="2" customWidth="1"/>
    <col min="4618" max="4618" width="8.42578125" style="2" customWidth="1"/>
    <col min="4619" max="4619" width="12.28515625" style="2" customWidth="1"/>
    <col min="4620" max="4620" width="7.5703125" style="2" customWidth="1"/>
    <col min="4621" max="4621" width="7.85546875" style="2" customWidth="1"/>
    <col min="4622" max="4622" width="8.28515625" style="2" customWidth="1"/>
    <col min="4623" max="4623" width="9.140625" style="2"/>
    <col min="4624" max="4626" width="7.5703125" style="2" customWidth="1"/>
    <col min="4627" max="4627" width="10.28515625" style="2" customWidth="1"/>
    <col min="4628" max="4628" width="10.5703125" style="2" customWidth="1"/>
    <col min="4629" max="4629" width="11.140625" style="2" customWidth="1"/>
    <col min="4630" max="4630" width="10.42578125" style="2" customWidth="1"/>
    <col min="4631" max="4640" width="11" style="2" customWidth="1"/>
    <col min="4641" max="4641" width="9.140625" style="2" customWidth="1"/>
    <col min="4642" max="4642" width="6.85546875" style="2" customWidth="1"/>
    <col min="4643" max="4643" width="15" style="2" bestFit="1" customWidth="1"/>
    <col min="4644" max="4868" width="9.140625" style="2"/>
    <col min="4869" max="4869" width="4" style="2" customWidth="1"/>
    <col min="4870" max="4870" width="24.42578125" style="2" customWidth="1"/>
    <col min="4871" max="4871" width="19.85546875" style="2" customWidth="1"/>
    <col min="4872" max="4872" width="9.28515625" style="2" customWidth="1"/>
    <col min="4873" max="4873" width="10" style="2" customWidth="1"/>
    <col min="4874" max="4874" width="8.42578125" style="2" customWidth="1"/>
    <col min="4875" max="4875" width="12.28515625" style="2" customWidth="1"/>
    <col min="4876" max="4876" width="7.5703125" style="2" customWidth="1"/>
    <col min="4877" max="4877" width="7.85546875" style="2" customWidth="1"/>
    <col min="4878" max="4878" width="8.28515625" style="2" customWidth="1"/>
    <col min="4879" max="4879" width="9.140625" style="2"/>
    <col min="4880" max="4882" width="7.5703125" style="2" customWidth="1"/>
    <col min="4883" max="4883" width="10.28515625" style="2" customWidth="1"/>
    <col min="4884" max="4884" width="10.5703125" style="2" customWidth="1"/>
    <col min="4885" max="4885" width="11.140625" style="2" customWidth="1"/>
    <col min="4886" max="4886" width="10.42578125" style="2" customWidth="1"/>
    <col min="4887" max="4896" width="11" style="2" customWidth="1"/>
    <col min="4897" max="4897" width="9.140625" style="2" customWidth="1"/>
    <col min="4898" max="4898" width="6.85546875" style="2" customWidth="1"/>
    <col min="4899" max="4899" width="15" style="2" bestFit="1" customWidth="1"/>
    <col min="4900" max="5124" width="9.140625" style="2"/>
    <col min="5125" max="5125" width="4" style="2" customWidth="1"/>
    <col min="5126" max="5126" width="24.42578125" style="2" customWidth="1"/>
    <col min="5127" max="5127" width="19.85546875" style="2" customWidth="1"/>
    <col min="5128" max="5128" width="9.28515625" style="2" customWidth="1"/>
    <col min="5129" max="5129" width="10" style="2" customWidth="1"/>
    <col min="5130" max="5130" width="8.42578125" style="2" customWidth="1"/>
    <col min="5131" max="5131" width="12.28515625" style="2" customWidth="1"/>
    <col min="5132" max="5132" width="7.5703125" style="2" customWidth="1"/>
    <col min="5133" max="5133" width="7.85546875" style="2" customWidth="1"/>
    <col min="5134" max="5134" width="8.28515625" style="2" customWidth="1"/>
    <col min="5135" max="5135" width="9.140625" style="2"/>
    <col min="5136" max="5138" width="7.5703125" style="2" customWidth="1"/>
    <col min="5139" max="5139" width="10.28515625" style="2" customWidth="1"/>
    <col min="5140" max="5140" width="10.5703125" style="2" customWidth="1"/>
    <col min="5141" max="5141" width="11.140625" style="2" customWidth="1"/>
    <col min="5142" max="5142" width="10.42578125" style="2" customWidth="1"/>
    <col min="5143" max="5152" width="11" style="2" customWidth="1"/>
    <col min="5153" max="5153" width="9.140625" style="2" customWidth="1"/>
    <col min="5154" max="5154" width="6.85546875" style="2" customWidth="1"/>
    <col min="5155" max="5155" width="15" style="2" bestFit="1" customWidth="1"/>
    <col min="5156" max="5380" width="9.140625" style="2"/>
    <col min="5381" max="5381" width="4" style="2" customWidth="1"/>
    <col min="5382" max="5382" width="24.42578125" style="2" customWidth="1"/>
    <col min="5383" max="5383" width="19.85546875" style="2" customWidth="1"/>
    <col min="5384" max="5384" width="9.28515625" style="2" customWidth="1"/>
    <col min="5385" max="5385" width="10" style="2" customWidth="1"/>
    <col min="5386" max="5386" width="8.42578125" style="2" customWidth="1"/>
    <col min="5387" max="5387" width="12.28515625" style="2" customWidth="1"/>
    <col min="5388" max="5388" width="7.5703125" style="2" customWidth="1"/>
    <col min="5389" max="5389" width="7.85546875" style="2" customWidth="1"/>
    <col min="5390" max="5390" width="8.28515625" style="2" customWidth="1"/>
    <col min="5391" max="5391" width="9.140625" style="2"/>
    <col min="5392" max="5394" width="7.5703125" style="2" customWidth="1"/>
    <col min="5395" max="5395" width="10.28515625" style="2" customWidth="1"/>
    <col min="5396" max="5396" width="10.5703125" style="2" customWidth="1"/>
    <col min="5397" max="5397" width="11.140625" style="2" customWidth="1"/>
    <col min="5398" max="5398" width="10.42578125" style="2" customWidth="1"/>
    <col min="5399" max="5408" width="11" style="2" customWidth="1"/>
    <col min="5409" max="5409" width="9.140625" style="2" customWidth="1"/>
    <col min="5410" max="5410" width="6.85546875" style="2" customWidth="1"/>
    <col min="5411" max="5411" width="15" style="2" bestFit="1" customWidth="1"/>
    <col min="5412" max="5636" width="9.140625" style="2"/>
    <col min="5637" max="5637" width="4" style="2" customWidth="1"/>
    <col min="5638" max="5638" width="24.42578125" style="2" customWidth="1"/>
    <col min="5639" max="5639" width="19.85546875" style="2" customWidth="1"/>
    <col min="5640" max="5640" width="9.28515625" style="2" customWidth="1"/>
    <col min="5641" max="5641" width="10" style="2" customWidth="1"/>
    <col min="5642" max="5642" width="8.42578125" style="2" customWidth="1"/>
    <col min="5643" max="5643" width="12.28515625" style="2" customWidth="1"/>
    <col min="5644" max="5644" width="7.5703125" style="2" customWidth="1"/>
    <col min="5645" max="5645" width="7.85546875" style="2" customWidth="1"/>
    <col min="5646" max="5646" width="8.28515625" style="2" customWidth="1"/>
    <col min="5647" max="5647" width="9.140625" style="2"/>
    <col min="5648" max="5650" width="7.5703125" style="2" customWidth="1"/>
    <col min="5651" max="5651" width="10.28515625" style="2" customWidth="1"/>
    <col min="5652" max="5652" width="10.5703125" style="2" customWidth="1"/>
    <col min="5653" max="5653" width="11.140625" style="2" customWidth="1"/>
    <col min="5654" max="5654" width="10.42578125" style="2" customWidth="1"/>
    <col min="5655" max="5664" width="11" style="2" customWidth="1"/>
    <col min="5665" max="5665" width="9.140625" style="2" customWidth="1"/>
    <col min="5666" max="5666" width="6.85546875" style="2" customWidth="1"/>
    <col min="5667" max="5667" width="15" style="2" bestFit="1" customWidth="1"/>
    <col min="5668" max="5892" width="9.140625" style="2"/>
    <col min="5893" max="5893" width="4" style="2" customWidth="1"/>
    <col min="5894" max="5894" width="24.42578125" style="2" customWidth="1"/>
    <col min="5895" max="5895" width="19.85546875" style="2" customWidth="1"/>
    <col min="5896" max="5896" width="9.28515625" style="2" customWidth="1"/>
    <col min="5897" max="5897" width="10" style="2" customWidth="1"/>
    <col min="5898" max="5898" width="8.42578125" style="2" customWidth="1"/>
    <col min="5899" max="5899" width="12.28515625" style="2" customWidth="1"/>
    <col min="5900" max="5900" width="7.5703125" style="2" customWidth="1"/>
    <col min="5901" max="5901" width="7.85546875" style="2" customWidth="1"/>
    <col min="5902" max="5902" width="8.28515625" style="2" customWidth="1"/>
    <col min="5903" max="5903" width="9.140625" style="2"/>
    <col min="5904" max="5906" width="7.5703125" style="2" customWidth="1"/>
    <col min="5907" max="5907" width="10.28515625" style="2" customWidth="1"/>
    <col min="5908" max="5908" width="10.5703125" style="2" customWidth="1"/>
    <col min="5909" max="5909" width="11.140625" style="2" customWidth="1"/>
    <col min="5910" max="5910" width="10.42578125" style="2" customWidth="1"/>
    <col min="5911" max="5920" width="11" style="2" customWidth="1"/>
    <col min="5921" max="5921" width="9.140625" style="2" customWidth="1"/>
    <col min="5922" max="5922" width="6.85546875" style="2" customWidth="1"/>
    <col min="5923" max="5923" width="15" style="2" bestFit="1" customWidth="1"/>
    <col min="5924" max="6148" width="9.140625" style="2"/>
    <col min="6149" max="6149" width="4" style="2" customWidth="1"/>
    <col min="6150" max="6150" width="24.42578125" style="2" customWidth="1"/>
    <col min="6151" max="6151" width="19.85546875" style="2" customWidth="1"/>
    <col min="6152" max="6152" width="9.28515625" style="2" customWidth="1"/>
    <col min="6153" max="6153" width="10" style="2" customWidth="1"/>
    <col min="6154" max="6154" width="8.42578125" style="2" customWidth="1"/>
    <col min="6155" max="6155" width="12.28515625" style="2" customWidth="1"/>
    <col min="6156" max="6156" width="7.5703125" style="2" customWidth="1"/>
    <col min="6157" max="6157" width="7.85546875" style="2" customWidth="1"/>
    <col min="6158" max="6158" width="8.28515625" style="2" customWidth="1"/>
    <col min="6159" max="6159" width="9.140625" style="2"/>
    <col min="6160" max="6162" width="7.5703125" style="2" customWidth="1"/>
    <col min="6163" max="6163" width="10.28515625" style="2" customWidth="1"/>
    <col min="6164" max="6164" width="10.5703125" style="2" customWidth="1"/>
    <col min="6165" max="6165" width="11.140625" style="2" customWidth="1"/>
    <col min="6166" max="6166" width="10.42578125" style="2" customWidth="1"/>
    <col min="6167" max="6176" width="11" style="2" customWidth="1"/>
    <col min="6177" max="6177" width="9.140625" style="2" customWidth="1"/>
    <col min="6178" max="6178" width="6.85546875" style="2" customWidth="1"/>
    <col min="6179" max="6179" width="15" style="2" bestFit="1" customWidth="1"/>
    <col min="6180" max="6404" width="9.140625" style="2"/>
    <col min="6405" max="6405" width="4" style="2" customWidth="1"/>
    <col min="6406" max="6406" width="24.42578125" style="2" customWidth="1"/>
    <col min="6407" max="6407" width="19.85546875" style="2" customWidth="1"/>
    <col min="6408" max="6408" width="9.28515625" style="2" customWidth="1"/>
    <col min="6409" max="6409" width="10" style="2" customWidth="1"/>
    <col min="6410" max="6410" width="8.42578125" style="2" customWidth="1"/>
    <col min="6411" max="6411" width="12.28515625" style="2" customWidth="1"/>
    <col min="6412" max="6412" width="7.5703125" style="2" customWidth="1"/>
    <col min="6413" max="6413" width="7.85546875" style="2" customWidth="1"/>
    <col min="6414" max="6414" width="8.28515625" style="2" customWidth="1"/>
    <col min="6415" max="6415" width="9.140625" style="2"/>
    <col min="6416" max="6418" width="7.5703125" style="2" customWidth="1"/>
    <col min="6419" max="6419" width="10.28515625" style="2" customWidth="1"/>
    <col min="6420" max="6420" width="10.5703125" style="2" customWidth="1"/>
    <col min="6421" max="6421" width="11.140625" style="2" customWidth="1"/>
    <col min="6422" max="6422" width="10.42578125" style="2" customWidth="1"/>
    <col min="6423" max="6432" width="11" style="2" customWidth="1"/>
    <col min="6433" max="6433" width="9.140625" style="2" customWidth="1"/>
    <col min="6434" max="6434" width="6.85546875" style="2" customWidth="1"/>
    <col min="6435" max="6435" width="15" style="2" bestFit="1" customWidth="1"/>
    <col min="6436" max="6660" width="9.140625" style="2"/>
    <col min="6661" max="6661" width="4" style="2" customWidth="1"/>
    <col min="6662" max="6662" width="24.42578125" style="2" customWidth="1"/>
    <col min="6663" max="6663" width="19.85546875" style="2" customWidth="1"/>
    <col min="6664" max="6664" width="9.28515625" style="2" customWidth="1"/>
    <col min="6665" max="6665" width="10" style="2" customWidth="1"/>
    <col min="6666" max="6666" width="8.42578125" style="2" customWidth="1"/>
    <col min="6667" max="6667" width="12.28515625" style="2" customWidth="1"/>
    <col min="6668" max="6668" width="7.5703125" style="2" customWidth="1"/>
    <col min="6669" max="6669" width="7.85546875" style="2" customWidth="1"/>
    <col min="6670" max="6670" width="8.28515625" style="2" customWidth="1"/>
    <col min="6671" max="6671" width="9.140625" style="2"/>
    <col min="6672" max="6674" width="7.5703125" style="2" customWidth="1"/>
    <col min="6675" max="6675" width="10.28515625" style="2" customWidth="1"/>
    <col min="6676" max="6676" width="10.5703125" style="2" customWidth="1"/>
    <col min="6677" max="6677" width="11.140625" style="2" customWidth="1"/>
    <col min="6678" max="6678" width="10.42578125" style="2" customWidth="1"/>
    <col min="6679" max="6688" width="11" style="2" customWidth="1"/>
    <col min="6689" max="6689" width="9.140625" style="2" customWidth="1"/>
    <col min="6690" max="6690" width="6.85546875" style="2" customWidth="1"/>
    <col min="6691" max="6691" width="15" style="2" bestFit="1" customWidth="1"/>
    <col min="6692" max="6916" width="9.140625" style="2"/>
    <col min="6917" max="6917" width="4" style="2" customWidth="1"/>
    <col min="6918" max="6918" width="24.42578125" style="2" customWidth="1"/>
    <col min="6919" max="6919" width="19.85546875" style="2" customWidth="1"/>
    <col min="6920" max="6920" width="9.28515625" style="2" customWidth="1"/>
    <col min="6921" max="6921" width="10" style="2" customWidth="1"/>
    <col min="6922" max="6922" width="8.42578125" style="2" customWidth="1"/>
    <col min="6923" max="6923" width="12.28515625" style="2" customWidth="1"/>
    <col min="6924" max="6924" width="7.5703125" style="2" customWidth="1"/>
    <col min="6925" max="6925" width="7.85546875" style="2" customWidth="1"/>
    <col min="6926" max="6926" width="8.28515625" style="2" customWidth="1"/>
    <col min="6927" max="6927" width="9.140625" style="2"/>
    <col min="6928" max="6930" width="7.5703125" style="2" customWidth="1"/>
    <col min="6931" max="6931" width="10.28515625" style="2" customWidth="1"/>
    <col min="6932" max="6932" width="10.5703125" style="2" customWidth="1"/>
    <col min="6933" max="6933" width="11.140625" style="2" customWidth="1"/>
    <col min="6934" max="6934" width="10.42578125" style="2" customWidth="1"/>
    <col min="6935" max="6944" width="11" style="2" customWidth="1"/>
    <col min="6945" max="6945" width="9.140625" style="2" customWidth="1"/>
    <col min="6946" max="6946" width="6.85546875" style="2" customWidth="1"/>
    <col min="6947" max="6947" width="15" style="2" bestFit="1" customWidth="1"/>
    <col min="6948" max="7172" width="9.140625" style="2"/>
    <col min="7173" max="7173" width="4" style="2" customWidth="1"/>
    <col min="7174" max="7174" width="24.42578125" style="2" customWidth="1"/>
    <col min="7175" max="7175" width="19.85546875" style="2" customWidth="1"/>
    <col min="7176" max="7176" width="9.28515625" style="2" customWidth="1"/>
    <col min="7177" max="7177" width="10" style="2" customWidth="1"/>
    <col min="7178" max="7178" width="8.42578125" style="2" customWidth="1"/>
    <col min="7179" max="7179" width="12.28515625" style="2" customWidth="1"/>
    <col min="7180" max="7180" width="7.5703125" style="2" customWidth="1"/>
    <col min="7181" max="7181" width="7.85546875" style="2" customWidth="1"/>
    <col min="7182" max="7182" width="8.28515625" style="2" customWidth="1"/>
    <col min="7183" max="7183" width="9.140625" style="2"/>
    <col min="7184" max="7186" width="7.5703125" style="2" customWidth="1"/>
    <col min="7187" max="7187" width="10.28515625" style="2" customWidth="1"/>
    <col min="7188" max="7188" width="10.5703125" style="2" customWidth="1"/>
    <col min="7189" max="7189" width="11.140625" style="2" customWidth="1"/>
    <col min="7190" max="7190" width="10.42578125" style="2" customWidth="1"/>
    <col min="7191" max="7200" width="11" style="2" customWidth="1"/>
    <col min="7201" max="7201" width="9.140625" style="2" customWidth="1"/>
    <col min="7202" max="7202" width="6.85546875" style="2" customWidth="1"/>
    <col min="7203" max="7203" width="15" style="2" bestFit="1" customWidth="1"/>
    <col min="7204" max="7428" width="9.140625" style="2"/>
    <col min="7429" max="7429" width="4" style="2" customWidth="1"/>
    <col min="7430" max="7430" width="24.42578125" style="2" customWidth="1"/>
    <col min="7431" max="7431" width="19.85546875" style="2" customWidth="1"/>
    <col min="7432" max="7432" width="9.28515625" style="2" customWidth="1"/>
    <col min="7433" max="7433" width="10" style="2" customWidth="1"/>
    <col min="7434" max="7434" width="8.42578125" style="2" customWidth="1"/>
    <col min="7435" max="7435" width="12.28515625" style="2" customWidth="1"/>
    <col min="7436" max="7436" width="7.5703125" style="2" customWidth="1"/>
    <col min="7437" max="7437" width="7.85546875" style="2" customWidth="1"/>
    <col min="7438" max="7438" width="8.28515625" style="2" customWidth="1"/>
    <col min="7439" max="7439" width="9.140625" style="2"/>
    <col min="7440" max="7442" width="7.5703125" style="2" customWidth="1"/>
    <col min="7443" max="7443" width="10.28515625" style="2" customWidth="1"/>
    <col min="7444" max="7444" width="10.5703125" style="2" customWidth="1"/>
    <col min="7445" max="7445" width="11.140625" style="2" customWidth="1"/>
    <col min="7446" max="7446" width="10.42578125" style="2" customWidth="1"/>
    <col min="7447" max="7456" width="11" style="2" customWidth="1"/>
    <col min="7457" max="7457" width="9.140625" style="2" customWidth="1"/>
    <col min="7458" max="7458" width="6.85546875" style="2" customWidth="1"/>
    <col min="7459" max="7459" width="15" style="2" bestFit="1" customWidth="1"/>
    <col min="7460" max="7684" width="9.140625" style="2"/>
    <col min="7685" max="7685" width="4" style="2" customWidth="1"/>
    <col min="7686" max="7686" width="24.42578125" style="2" customWidth="1"/>
    <col min="7687" max="7687" width="19.85546875" style="2" customWidth="1"/>
    <col min="7688" max="7688" width="9.28515625" style="2" customWidth="1"/>
    <col min="7689" max="7689" width="10" style="2" customWidth="1"/>
    <col min="7690" max="7690" width="8.42578125" style="2" customWidth="1"/>
    <col min="7691" max="7691" width="12.28515625" style="2" customWidth="1"/>
    <col min="7692" max="7692" width="7.5703125" style="2" customWidth="1"/>
    <col min="7693" max="7693" width="7.85546875" style="2" customWidth="1"/>
    <col min="7694" max="7694" width="8.28515625" style="2" customWidth="1"/>
    <col min="7695" max="7695" width="9.140625" style="2"/>
    <col min="7696" max="7698" width="7.5703125" style="2" customWidth="1"/>
    <col min="7699" max="7699" width="10.28515625" style="2" customWidth="1"/>
    <col min="7700" max="7700" width="10.5703125" style="2" customWidth="1"/>
    <col min="7701" max="7701" width="11.140625" style="2" customWidth="1"/>
    <col min="7702" max="7702" width="10.42578125" style="2" customWidth="1"/>
    <col min="7703" max="7712" width="11" style="2" customWidth="1"/>
    <col min="7713" max="7713" width="9.140625" style="2" customWidth="1"/>
    <col min="7714" max="7714" width="6.85546875" style="2" customWidth="1"/>
    <col min="7715" max="7715" width="15" style="2" bestFit="1" customWidth="1"/>
    <col min="7716" max="7940" width="9.140625" style="2"/>
    <col min="7941" max="7941" width="4" style="2" customWidth="1"/>
    <col min="7942" max="7942" width="24.42578125" style="2" customWidth="1"/>
    <col min="7943" max="7943" width="19.85546875" style="2" customWidth="1"/>
    <col min="7944" max="7944" width="9.28515625" style="2" customWidth="1"/>
    <col min="7945" max="7945" width="10" style="2" customWidth="1"/>
    <col min="7946" max="7946" width="8.42578125" style="2" customWidth="1"/>
    <col min="7947" max="7947" width="12.28515625" style="2" customWidth="1"/>
    <col min="7948" max="7948" width="7.5703125" style="2" customWidth="1"/>
    <col min="7949" max="7949" width="7.85546875" style="2" customWidth="1"/>
    <col min="7950" max="7950" width="8.28515625" style="2" customWidth="1"/>
    <col min="7951" max="7951" width="9.140625" style="2"/>
    <col min="7952" max="7954" width="7.5703125" style="2" customWidth="1"/>
    <col min="7955" max="7955" width="10.28515625" style="2" customWidth="1"/>
    <col min="7956" max="7956" width="10.5703125" style="2" customWidth="1"/>
    <col min="7957" max="7957" width="11.140625" style="2" customWidth="1"/>
    <col min="7958" max="7958" width="10.42578125" style="2" customWidth="1"/>
    <col min="7959" max="7968" width="11" style="2" customWidth="1"/>
    <col min="7969" max="7969" width="9.140625" style="2" customWidth="1"/>
    <col min="7970" max="7970" width="6.85546875" style="2" customWidth="1"/>
    <col min="7971" max="7971" width="15" style="2" bestFit="1" customWidth="1"/>
    <col min="7972" max="8196" width="9.140625" style="2"/>
    <col min="8197" max="8197" width="4" style="2" customWidth="1"/>
    <col min="8198" max="8198" width="24.42578125" style="2" customWidth="1"/>
    <col min="8199" max="8199" width="19.85546875" style="2" customWidth="1"/>
    <col min="8200" max="8200" width="9.28515625" style="2" customWidth="1"/>
    <col min="8201" max="8201" width="10" style="2" customWidth="1"/>
    <col min="8202" max="8202" width="8.42578125" style="2" customWidth="1"/>
    <col min="8203" max="8203" width="12.28515625" style="2" customWidth="1"/>
    <col min="8204" max="8204" width="7.5703125" style="2" customWidth="1"/>
    <col min="8205" max="8205" width="7.85546875" style="2" customWidth="1"/>
    <col min="8206" max="8206" width="8.28515625" style="2" customWidth="1"/>
    <col min="8207" max="8207" width="9.140625" style="2"/>
    <col min="8208" max="8210" width="7.5703125" style="2" customWidth="1"/>
    <col min="8211" max="8211" width="10.28515625" style="2" customWidth="1"/>
    <col min="8212" max="8212" width="10.5703125" style="2" customWidth="1"/>
    <col min="8213" max="8213" width="11.140625" style="2" customWidth="1"/>
    <col min="8214" max="8214" width="10.42578125" style="2" customWidth="1"/>
    <col min="8215" max="8224" width="11" style="2" customWidth="1"/>
    <col min="8225" max="8225" width="9.140625" style="2" customWidth="1"/>
    <col min="8226" max="8226" width="6.85546875" style="2" customWidth="1"/>
    <col min="8227" max="8227" width="15" style="2" bestFit="1" customWidth="1"/>
    <col min="8228" max="8452" width="9.140625" style="2"/>
    <col min="8453" max="8453" width="4" style="2" customWidth="1"/>
    <col min="8454" max="8454" width="24.42578125" style="2" customWidth="1"/>
    <col min="8455" max="8455" width="19.85546875" style="2" customWidth="1"/>
    <col min="8456" max="8456" width="9.28515625" style="2" customWidth="1"/>
    <col min="8457" max="8457" width="10" style="2" customWidth="1"/>
    <col min="8458" max="8458" width="8.42578125" style="2" customWidth="1"/>
    <col min="8459" max="8459" width="12.28515625" style="2" customWidth="1"/>
    <col min="8460" max="8460" width="7.5703125" style="2" customWidth="1"/>
    <col min="8461" max="8461" width="7.85546875" style="2" customWidth="1"/>
    <col min="8462" max="8462" width="8.28515625" style="2" customWidth="1"/>
    <col min="8463" max="8463" width="9.140625" style="2"/>
    <col min="8464" max="8466" width="7.5703125" style="2" customWidth="1"/>
    <col min="8467" max="8467" width="10.28515625" style="2" customWidth="1"/>
    <col min="8468" max="8468" width="10.5703125" style="2" customWidth="1"/>
    <col min="8469" max="8469" width="11.140625" style="2" customWidth="1"/>
    <col min="8470" max="8470" width="10.42578125" style="2" customWidth="1"/>
    <col min="8471" max="8480" width="11" style="2" customWidth="1"/>
    <col min="8481" max="8481" width="9.140625" style="2" customWidth="1"/>
    <col min="8482" max="8482" width="6.85546875" style="2" customWidth="1"/>
    <col min="8483" max="8483" width="15" style="2" bestFit="1" customWidth="1"/>
    <col min="8484" max="8708" width="9.140625" style="2"/>
    <col min="8709" max="8709" width="4" style="2" customWidth="1"/>
    <col min="8710" max="8710" width="24.42578125" style="2" customWidth="1"/>
    <col min="8711" max="8711" width="19.85546875" style="2" customWidth="1"/>
    <col min="8712" max="8712" width="9.28515625" style="2" customWidth="1"/>
    <col min="8713" max="8713" width="10" style="2" customWidth="1"/>
    <col min="8714" max="8714" width="8.42578125" style="2" customWidth="1"/>
    <col min="8715" max="8715" width="12.28515625" style="2" customWidth="1"/>
    <col min="8716" max="8716" width="7.5703125" style="2" customWidth="1"/>
    <col min="8717" max="8717" width="7.85546875" style="2" customWidth="1"/>
    <col min="8718" max="8718" width="8.28515625" style="2" customWidth="1"/>
    <col min="8719" max="8719" width="9.140625" style="2"/>
    <col min="8720" max="8722" width="7.5703125" style="2" customWidth="1"/>
    <col min="8723" max="8723" width="10.28515625" style="2" customWidth="1"/>
    <col min="8724" max="8724" width="10.5703125" style="2" customWidth="1"/>
    <col min="8725" max="8725" width="11.140625" style="2" customWidth="1"/>
    <col min="8726" max="8726" width="10.42578125" style="2" customWidth="1"/>
    <col min="8727" max="8736" width="11" style="2" customWidth="1"/>
    <col min="8737" max="8737" width="9.140625" style="2" customWidth="1"/>
    <col min="8738" max="8738" width="6.85546875" style="2" customWidth="1"/>
    <col min="8739" max="8739" width="15" style="2" bestFit="1" customWidth="1"/>
    <col min="8740" max="8964" width="9.140625" style="2"/>
    <col min="8965" max="8965" width="4" style="2" customWidth="1"/>
    <col min="8966" max="8966" width="24.42578125" style="2" customWidth="1"/>
    <col min="8967" max="8967" width="19.85546875" style="2" customWidth="1"/>
    <col min="8968" max="8968" width="9.28515625" style="2" customWidth="1"/>
    <col min="8969" max="8969" width="10" style="2" customWidth="1"/>
    <col min="8970" max="8970" width="8.42578125" style="2" customWidth="1"/>
    <col min="8971" max="8971" width="12.28515625" style="2" customWidth="1"/>
    <col min="8972" max="8972" width="7.5703125" style="2" customWidth="1"/>
    <col min="8973" max="8973" width="7.85546875" style="2" customWidth="1"/>
    <col min="8974" max="8974" width="8.28515625" style="2" customWidth="1"/>
    <col min="8975" max="8975" width="9.140625" style="2"/>
    <col min="8976" max="8978" width="7.5703125" style="2" customWidth="1"/>
    <col min="8979" max="8979" width="10.28515625" style="2" customWidth="1"/>
    <col min="8980" max="8980" width="10.5703125" style="2" customWidth="1"/>
    <col min="8981" max="8981" width="11.140625" style="2" customWidth="1"/>
    <col min="8982" max="8982" width="10.42578125" style="2" customWidth="1"/>
    <col min="8983" max="8992" width="11" style="2" customWidth="1"/>
    <col min="8993" max="8993" width="9.140625" style="2" customWidth="1"/>
    <col min="8994" max="8994" width="6.85546875" style="2" customWidth="1"/>
    <col min="8995" max="8995" width="15" style="2" bestFit="1" customWidth="1"/>
    <col min="8996" max="9220" width="9.140625" style="2"/>
    <col min="9221" max="9221" width="4" style="2" customWidth="1"/>
    <col min="9222" max="9222" width="24.42578125" style="2" customWidth="1"/>
    <col min="9223" max="9223" width="19.85546875" style="2" customWidth="1"/>
    <col min="9224" max="9224" width="9.28515625" style="2" customWidth="1"/>
    <col min="9225" max="9225" width="10" style="2" customWidth="1"/>
    <col min="9226" max="9226" width="8.42578125" style="2" customWidth="1"/>
    <col min="9227" max="9227" width="12.28515625" style="2" customWidth="1"/>
    <col min="9228" max="9228" width="7.5703125" style="2" customWidth="1"/>
    <col min="9229" max="9229" width="7.85546875" style="2" customWidth="1"/>
    <col min="9230" max="9230" width="8.28515625" style="2" customWidth="1"/>
    <col min="9231" max="9231" width="9.140625" style="2"/>
    <col min="9232" max="9234" width="7.5703125" style="2" customWidth="1"/>
    <col min="9235" max="9235" width="10.28515625" style="2" customWidth="1"/>
    <col min="9236" max="9236" width="10.5703125" style="2" customWidth="1"/>
    <col min="9237" max="9237" width="11.140625" style="2" customWidth="1"/>
    <col min="9238" max="9238" width="10.42578125" style="2" customWidth="1"/>
    <col min="9239" max="9248" width="11" style="2" customWidth="1"/>
    <col min="9249" max="9249" width="9.140625" style="2" customWidth="1"/>
    <col min="9250" max="9250" width="6.85546875" style="2" customWidth="1"/>
    <col min="9251" max="9251" width="15" style="2" bestFit="1" customWidth="1"/>
    <col min="9252" max="9476" width="9.140625" style="2"/>
    <col min="9477" max="9477" width="4" style="2" customWidth="1"/>
    <col min="9478" max="9478" width="24.42578125" style="2" customWidth="1"/>
    <col min="9479" max="9479" width="19.85546875" style="2" customWidth="1"/>
    <col min="9480" max="9480" width="9.28515625" style="2" customWidth="1"/>
    <col min="9481" max="9481" width="10" style="2" customWidth="1"/>
    <col min="9482" max="9482" width="8.42578125" style="2" customWidth="1"/>
    <col min="9483" max="9483" width="12.28515625" style="2" customWidth="1"/>
    <col min="9484" max="9484" width="7.5703125" style="2" customWidth="1"/>
    <col min="9485" max="9485" width="7.85546875" style="2" customWidth="1"/>
    <col min="9486" max="9486" width="8.28515625" style="2" customWidth="1"/>
    <col min="9487" max="9487" width="9.140625" style="2"/>
    <col min="9488" max="9490" width="7.5703125" style="2" customWidth="1"/>
    <col min="9491" max="9491" width="10.28515625" style="2" customWidth="1"/>
    <col min="9492" max="9492" width="10.5703125" style="2" customWidth="1"/>
    <col min="9493" max="9493" width="11.140625" style="2" customWidth="1"/>
    <col min="9494" max="9494" width="10.42578125" style="2" customWidth="1"/>
    <col min="9495" max="9504" width="11" style="2" customWidth="1"/>
    <col min="9505" max="9505" width="9.140625" style="2" customWidth="1"/>
    <col min="9506" max="9506" width="6.85546875" style="2" customWidth="1"/>
    <col min="9507" max="9507" width="15" style="2" bestFit="1" customWidth="1"/>
    <col min="9508" max="9732" width="9.140625" style="2"/>
    <col min="9733" max="9733" width="4" style="2" customWidth="1"/>
    <col min="9734" max="9734" width="24.42578125" style="2" customWidth="1"/>
    <col min="9735" max="9735" width="19.85546875" style="2" customWidth="1"/>
    <col min="9736" max="9736" width="9.28515625" style="2" customWidth="1"/>
    <col min="9737" max="9737" width="10" style="2" customWidth="1"/>
    <col min="9738" max="9738" width="8.42578125" style="2" customWidth="1"/>
    <col min="9739" max="9739" width="12.28515625" style="2" customWidth="1"/>
    <col min="9740" max="9740" width="7.5703125" style="2" customWidth="1"/>
    <col min="9741" max="9741" width="7.85546875" style="2" customWidth="1"/>
    <col min="9742" max="9742" width="8.28515625" style="2" customWidth="1"/>
    <col min="9743" max="9743" width="9.140625" style="2"/>
    <col min="9744" max="9746" width="7.5703125" style="2" customWidth="1"/>
    <col min="9747" max="9747" width="10.28515625" style="2" customWidth="1"/>
    <col min="9748" max="9748" width="10.5703125" style="2" customWidth="1"/>
    <col min="9749" max="9749" width="11.140625" style="2" customWidth="1"/>
    <col min="9750" max="9750" width="10.42578125" style="2" customWidth="1"/>
    <col min="9751" max="9760" width="11" style="2" customWidth="1"/>
    <col min="9761" max="9761" width="9.140625" style="2" customWidth="1"/>
    <col min="9762" max="9762" width="6.85546875" style="2" customWidth="1"/>
    <col min="9763" max="9763" width="15" style="2" bestFit="1" customWidth="1"/>
    <col min="9764" max="9988" width="9.140625" style="2"/>
    <col min="9989" max="9989" width="4" style="2" customWidth="1"/>
    <col min="9990" max="9990" width="24.42578125" style="2" customWidth="1"/>
    <col min="9991" max="9991" width="19.85546875" style="2" customWidth="1"/>
    <col min="9992" max="9992" width="9.28515625" style="2" customWidth="1"/>
    <col min="9993" max="9993" width="10" style="2" customWidth="1"/>
    <col min="9994" max="9994" width="8.42578125" style="2" customWidth="1"/>
    <col min="9995" max="9995" width="12.28515625" style="2" customWidth="1"/>
    <col min="9996" max="9996" width="7.5703125" style="2" customWidth="1"/>
    <col min="9997" max="9997" width="7.85546875" style="2" customWidth="1"/>
    <col min="9998" max="9998" width="8.28515625" style="2" customWidth="1"/>
    <col min="9999" max="9999" width="9.140625" style="2"/>
    <col min="10000" max="10002" width="7.5703125" style="2" customWidth="1"/>
    <col min="10003" max="10003" width="10.28515625" style="2" customWidth="1"/>
    <col min="10004" max="10004" width="10.5703125" style="2" customWidth="1"/>
    <col min="10005" max="10005" width="11.140625" style="2" customWidth="1"/>
    <col min="10006" max="10006" width="10.42578125" style="2" customWidth="1"/>
    <col min="10007" max="10016" width="11" style="2" customWidth="1"/>
    <col min="10017" max="10017" width="9.140625" style="2" customWidth="1"/>
    <col min="10018" max="10018" width="6.85546875" style="2" customWidth="1"/>
    <col min="10019" max="10019" width="15" style="2" bestFit="1" customWidth="1"/>
    <col min="10020" max="10244" width="9.140625" style="2"/>
    <col min="10245" max="10245" width="4" style="2" customWidth="1"/>
    <col min="10246" max="10246" width="24.42578125" style="2" customWidth="1"/>
    <col min="10247" max="10247" width="19.85546875" style="2" customWidth="1"/>
    <col min="10248" max="10248" width="9.28515625" style="2" customWidth="1"/>
    <col min="10249" max="10249" width="10" style="2" customWidth="1"/>
    <col min="10250" max="10250" width="8.42578125" style="2" customWidth="1"/>
    <col min="10251" max="10251" width="12.28515625" style="2" customWidth="1"/>
    <col min="10252" max="10252" width="7.5703125" style="2" customWidth="1"/>
    <col min="10253" max="10253" width="7.85546875" style="2" customWidth="1"/>
    <col min="10254" max="10254" width="8.28515625" style="2" customWidth="1"/>
    <col min="10255" max="10255" width="9.140625" style="2"/>
    <col min="10256" max="10258" width="7.5703125" style="2" customWidth="1"/>
    <col min="10259" max="10259" width="10.28515625" style="2" customWidth="1"/>
    <col min="10260" max="10260" width="10.5703125" style="2" customWidth="1"/>
    <col min="10261" max="10261" width="11.140625" style="2" customWidth="1"/>
    <col min="10262" max="10262" width="10.42578125" style="2" customWidth="1"/>
    <col min="10263" max="10272" width="11" style="2" customWidth="1"/>
    <col min="10273" max="10273" width="9.140625" style="2" customWidth="1"/>
    <col min="10274" max="10274" width="6.85546875" style="2" customWidth="1"/>
    <col min="10275" max="10275" width="15" style="2" bestFit="1" customWidth="1"/>
    <col min="10276" max="10500" width="9.140625" style="2"/>
    <col min="10501" max="10501" width="4" style="2" customWidth="1"/>
    <col min="10502" max="10502" width="24.42578125" style="2" customWidth="1"/>
    <col min="10503" max="10503" width="19.85546875" style="2" customWidth="1"/>
    <col min="10504" max="10504" width="9.28515625" style="2" customWidth="1"/>
    <col min="10505" max="10505" width="10" style="2" customWidth="1"/>
    <col min="10506" max="10506" width="8.42578125" style="2" customWidth="1"/>
    <col min="10507" max="10507" width="12.28515625" style="2" customWidth="1"/>
    <col min="10508" max="10508" width="7.5703125" style="2" customWidth="1"/>
    <col min="10509" max="10509" width="7.85546875" style="2" customWidth="1"/>
    <col min="10510" max="10510" width="8.28515625" style="2" customWidth="1"/>
    <col min="10511" max="10511" width="9.140625" style="2"/>
    <col min="10512" max="10514" width="7.5703125" style="2" customWidth="1"/>
    <col min="10515" max="10515" width="10.28515625" style="2" customWidth="1"/>
    <col min="10516" max="10516" width="10.5703125" style="2" customWidth="1"/>
    <col min="10517" max="10517" width="11.140625" style="2" customWidth="1"/>
    <col min="10518" max="10518" width="10.42578125" style="2" customWidth="1"/>
    <col min="10519" max="10528" width="11" style="2" customWidth="1"/>
    <col min="10529" max="10529" width="9.140625" style="2" customWidth="1"/>
    <col min="10530" max="10530" width="6.85546875" style="2" customWidth="1"/>
    <col min="10531" max="10531" width="15" style="2" bestFit="1" customWidth="1"/>
    <col min="10532" max="10756" width="9.140625" style="2"/>
    <col min="10757" max="10757" width="4" style="2" customWidth="1"/>
    <col min="10758" max="10758" width="24.42578125" style="2" customWidth="1"/>
    <col min="10759" max="10759" width="19.85546875" style="2" customWidth="1"/>
    <col min="10760" max="10760" width="9.28515625" style="2" customWidth="1"/>
    <col min="10761" max="10761" width="10" style="2" customWidth="1"/>
    <col min="10762" max="10762" width="8.42578125" style="2" customWidth="1"/>
    <col min="10763" max="10763" width="12.28515625" style="2" customWidth="1"/>
    <col min="10764" max="10764" width="7.5703125" style="2" customWidth="1"/>
    <col min="10765" max="10765" width="7.85546875" style="2" customWidth="1"/>
    <col min="10766" max="10766" width="8.28515625" style="2" customWidth="1"/>
    <col min="10767" max="10767" width="9.140625" style="2"/>
    <col min="10768" max="10770" width="7.5703125" style="2" customWidth="1"/>
    <col min="10771" max="10771" width="10.28515625" style="2" customWidth="1"/>
    <col min="10772" max="10772" width="10.5703125" style="2" customWidth="1"/>
    <col min="10773" max="10773" width="11.140625" style="2" customWidth="1"/>
    <col min="10774" max="10774" width="10.42578125" style="2" customWidth="1"/>
    <col min="10775" max="10784" width="11" style="2" customWidth="1"/>
    <col min="10785" max="10785" width="9.140625" style="2" customWidth="1"/>
    <col min="10786" max="10786" width="6.85546875" style="2" customWidth="1"/>
    <col min="10787" max="10787" width="15" style="2" bestFit="1" customWidth="1"/>
    <col min="10788" max="11012" width="9.140625" style="2"/>
    <col min="11013" max="11013" width="4" style="2" customWidth="1"/>
    <col min="11014" max="11014" width="24.42578125" style="2" customWidth="1"/>
    <col min="11015" max="11015" width="19.85546875" style="2" customWidth="1"/>
    <col min="11016" max="11016" width="9.28515625" style="2" customWidth="1"/>
    <col min="11017" max="11017" width="10" style="2" customWidth="1"/>
    <col min="11018" max="11018" width="8.42578125" style="2" customWidth="1"/>
    <col min="11019" max="11019" width="12.28515625" style="2" customWidth="1"/>
    <col min="11020" max="11020" width="7.5703125" style="2" customWidth="1"/>
    <col min="11021" max="11021" width="7.85546875" style="2" customWidth="1"/>
    <col min="11022" max="11022" width="8.28515625" style="2" customWidth="1"/>
    <col min="11023" max="11023" width="9.140625" style="2"/>
    <col min="11024" max="11026" width="7.5703125" style="2" customWidth="1"/>
    <col min="11027" max="11027" width="10.28515625" style="2" customWidth="1"/>
    <col min="11028" max="11028" width="10.5703125" style="2" customWidth="1"/>
    <col min="11029" max="11029" width="11.140625" style="2" customWidth="1"/>
    <col min="11030" max="11030" width="10.42578125" style="2" customWidth="1"/>
    <col min="11031" max="11040" width="11" style="2" customWidth="1"/>
    <col min="11041" max="11041" width="9.140625" style="2" customWidth="1"/>
    <col min="11042" max="11042" width="6.85546875" style="2" customWidth="1"/>
    <col min="11043" max="11043" width="15" style="2" bestFit="1" customWidth="1"/>
    <col min="11044" max="11268" width="9.140625" style="2"/>
    <col min="11269" max="11269" width="4" style="2" customWidth="1"/>
    <col min="11270" max="11270" width="24.42578125" style="2" customWidth="1"/>
    <col min="11271" max="11271" width="19.85546875" style="2" customWidth="1"/>
    <col min="11272" max="11272" width="9.28515625" style="2" customWidth="1"/>
    <col min="11273" max="11273" width="10" style="2" customWidth="1"/>
    <col min="11274" max="11274" width="8.42578125" style="2" customWidth="1"/>
    <col min="11275" max="11275" width="12.28515625" style="2" customWidth="1"/>
    <col min="11276" max="11276" width="7.5703125" style="2" customWidth="1"/>
    <col min="11277" max="11277" width="7.85546875" style="2" customWidth="1"/>
    <col min="11278" max="11278" width="8.28515625" style="2" customWidth="1"/>
    <col min="11279" max="11279" width="9.140625" style="2"/>
    <col min="11280" max="11282" width="7.5703125" style="2" customWidth="1"/>
    <col min="11283" max="11283" width="10.28515625" style="2" customWidth="1"/>
    <col min="11284" max="11284" width="10.5703125" style="2" customWidth="1"/>
    <col min="11285" max="11285" width="11.140625" style="2" customWidth="1"/>
    <col min="11286" max="11286" width="10.42578125" style="2" customWidth="1"/>
    <col min="11287" max="11296" width="11" style="2" customWidth="1"/>
    <col min="11297" max="11297" width="9.140625" style="2" customWidth="1"/>
    <col min="11298" max="11298" width="6.85546875" style="2" customWidth="1"/>
    <col min="11299" max="11299" width="15" style="2" bestFit="1" customWidth="1"/>
    <col min="11300" max="11524" width="9.140625" style="2"/>
    <col min="11525" max="11525" width="4" style="2" customWidth="1"/>
    <col min="11526" max="11526" width="24.42578125" style="2" customWidth="1"/>
    <col min="11527" max="11527" width="19.85546875" style="2" customWidth="1"/>
    <col min="11528" max="11528" width="9.28515625" style="2" customWidth="1"/>
    <col min="11529" max="11529" width="10" style="2" customWidth="1"/>
    <col min="11530" max="11530" width="8.42578125" style="2" customWidth="1"/>
    <col min="11531" max="11531" width="12.28515625" style="2" customWidth="1"/>
    <col min="11532" max="11532" width="7.5703125" style="2" customWidth="1"/>
    <col min="11533" max="11533" width="7.85546875" style="2" customWidth="1"/>
    <col min="11534" max="11534" width="8.28515625" style="2" customWidth="1"/>
    <col min="11535" max="11535" width="9.140625" style="2"/>
    <col min="11536" max="11538" width="7.5703125" style="2" customWidth="1"/>
    <col min="11539" max="11539" width="10.28515625" style="2" customWidth="1"/>
    <col min="11540" max="11540" width="10.5703125" style="2" customWidth="1"/>
    <col min="11541" max="11541" width="11.140625" style="2" customWidth="1"/>
    <col min="11542" max="11542" width="10.42578125" style="2" customWidth="1"/>
    <col min="11543" max="11552" width="11" style="2" customWidth="1"/>
    <col min="11553" max="11553" width="9.140625" style="2" customWidth="1"/>
    <col min="11554" max="11554" width="6.85546875" style="2" customWidth="1"/>
    <col min="11555" max="11555" width="15" style="2" bestFit="1" customWidth="1"/>
    <col min="11556" max="11780" width="9.140625" style="2"/>
    <col min="11781" max="11781" width="4" style="2" customWidth="1"/>
    <col min="11782" max="11782" width="24.42578125" style="2" customWidth="1"/>
    <col min="11783" max="11783" width="19.85546875" style="2" customWidth="1"/>
    <col min="11784" max="11784" width="9.28515625" style="2" customWidth="1"/>
    <col min="11785" max="11785" width="10" style="2" customWidth="1"/>
    <col min="11786" max="11786" width="8.42578125" style="2" customWidth="1"/>
    <col min="11787" max="11787" width="12.28515625" style="2" customWidth="1"/>
    <col min="11788" max="11788" width="7.5703125" style="2" customWidth="1"/>
    <col min="11789" max="11789" width="7.85546875" style="2" customWidth="1"/>
    <col min="11790" max="11790" width="8.28515625" style="2" customWidth="1"/>
    <col min="11791" max="11791" width="9.140625" style="2"/>
    <col min="11792" max="11794" width="7.5703125" style="2" customWidth="1"/>
    <col min="11795" max="11795" width="10.28515625" style="2" customWidth="1"/>
    <col min="11796" max="11796" width="10.5703125" style="2" customWidth="1"/>
    <col min="11797" max="11797" width="11.140625" style="2" customWidth="1"/>
    <col min="11798" max="11798" width="10.42578125" style="2" customWidth="1"/>
    <col min="11799" max="11808" width="11" style="2" customWidth="1"/>
    <col min="11809" max="11809" width="9.140625" style="2" customWidth="1"/>
    <col min="11810" max="11810" width="6.85546875" style="2" customWidth="1"/>
    <col min="11811" max="11811" width="15" style="2" bestFit="1" customWidth="1"/>
    <col min="11812" max="12036" width="9.140625" style="2"/>
    <col min="12037" max="12037" width="4" style="2" customWidth="1"/>
    <col min="12038" max="12038" width="24.42578125" style="2" customWidth="1"/>
    <col min="12039" max="12039" width="19.85546875" style="2" customWidth="1"/>
    <col min="12040" max="12040" width="9.28515625" style="2" customWidth="1"/>
    <col min="12041" max="12041" width="10" style="2" customWidth="1"/>
    <col min="12042" max="12042" width="8.42578125" style="2" customWidth="1"/>
    <col min="12043" max="12043" width="12.28515625" style="2" customWidth="1"/>
    <col min="12044" max="12044" width="7.5703125" style="2" customWidth="1"/>
    <col min="12045" max="12045" width="7.85546875" style="2" customWidth="1"/>
    <col min="12046" max="12046" width="8.28515625" style="2" customWidth="1"/>
    <col min="12047" max="12047" width="9.140625" style="2"/>
    <col min="12048" max="12050" width="7.5703125" style="2" customWidth="1"/>
    <col min="12051" max="12051" width="10.28515625" style="2" customWidth="1"/>
    <col min="12052" max="12052" width="10.5703125" style="2" customWidth="1"/>
    <col min="12053" max="12053" width="11.140625" style="2" customWidth="1"/>
    <col min="12054" max="12054" width="10.42578125" style="2" customWidth="1"/>
    <col min="12055" max="12064" width="11" style="2" customWidth="1"/>
    <col min="12065" max="12065" width="9.140625" style="2" customWidth="1"/>
    <col min="12066" max="12066" width="6.85546875" style="2" customWidth="1"/>
    <col min="12067" max="12067" width="15" style="2" bestFit="1" customWidth="1"/>
    <col min="12068" max="12292" width="9.140625" style="2"/>
    <col min="12293" max="12293" width="4" style="2" customWidth="1"/>
    <col min="12294" max="12294" width="24.42578125" style="2" customWidth="1"/>
    <col min="12295" max="12295" width="19.85546875" style="2" customWidth="1"/>
    <col min="12296" max="12296" width="9.28515625" style="2" customWidth="1"/>
    <col min="12297" max="12297" width="10" style="2" customWidth="1"/>
    <col min="12298" max="12298" width="8.42578125" style="2" customWidth="1"/>
    <col min="12299" max="12299" width="12.28515625" style="2" customWidth="1"/>
    <col min="12300" max="12300" width="7.5703125" style="2" customWidth="1"/>
    <col min="12301" max="12301" width="7.85546875" style="2" customWidth="1"/>
    <col min="12302" max="12302" width="8.28515625" style="2" customWidth="1"/>
    <col min="12303" max="12303" width="9.140625" style="2"/>
    <col min="12304" max="12306" width="7.5703125" style="2" customWidth="1"/>
    <col min="12307" max="12307" width="10.28515625" style="2" customWidth="1"/>
    <col min="12308" max="12308" width="10.5703125" style="2" customWidth="1"/>
    <col min="12309" max="12309" width="11.140625" style="2" customWidth="1"/>
    <col min="12310" max="12310" width="10.42578125" style="2" customWidth="1"/>
    <col min="12311" max="12320" width="11" style="2" customWidth="1"/>
    <col min="12321" max="12321" width="9.140625" style="2" customWidth="1"/>
    <col min="12322" max="12322" width="6.85546875" style="2" customWidth="1"/>
    <col min="12323" max="12323" width="15" style="2" bestFit="1" customWidth="1"/>
    <col min="12324" max="12548" width="9.140625" style="2"/>
    <col min="12549" max="12549" width="4" style="2" customWidth="1"/>
    <col min="12550" max="12550" width="24.42578125" style="2" customWidth="1"/>
    <col min="12551" max="12551" width="19.85546875" style="2" customWidth="1"/>
    <col min="12552" max="12552" width="9.28515625" style="2" customWidth="1"/>
    <col min="12553" max="12553" width="10" style="2" customWidth="1"/>
    <col min="12554" max="12554" width="8.42578125" style="2" customWidth="1"/>
    <col min="12555" max="12555" width="12.28515625" style="2" customWidth="1"/>
    <col min="12556" max="12556" width="7.5703125" style="2" customWidth="1"/>
    <col min="12557" max="12557" width="7.85546875" style="2" customWidth="1"/>
    <col min="12558" max="12558" width="8.28515625" style="2" customWidth="1"/>
    <col min="12559" max="12559" width="9.140625" style="2"/>
    <col min="12560" max="12562" width="7.5703125" style="2" customWidth="1"/>
    <col min="12563" max="12563" width="10.28515625" style="2" customWidth="1"/>
    <col min="12564" max="12564" width="10.5703125" style="2" customWidth="1"/>
    <col min="12565" max="12565" width="11.140625" style="2" customWidth="1"/>
    <col min="12566" max="12566" width="10.42578125" style="2" customWidth="1"/>
    <col min="12567" max="12576" width="11" style="2" customWidth="1"/>
    <col min="12577" max="12577" width="9.140625" style="2" customWidth="1"/>
    <col min="12578" max="12578" width="6.85546875" style="2" customWidth="1"/>
    <col min="12579" max="12579" width="15" style="2" bestFit="1" customWidth="1"/>
    <col min="12580" max="12804" width="9.140625" style="2"/>
    <col min="12805" max="12805" width="4" style="2" customWidth="1"/>
    <col min="12806" max="12806" width="24.42578125" style="2" customWidth="1"/>
    <col min="12807" max="12807" width="19.85546875" style="2" customWidth="1"/>
    <col min="12808" max="12808" width="9.28515625" style="2" customWidth="1"/>
    <col min="12809" max="12809" width="10" style="2" customWidth="1"/>
    <col min="12810" max="12810" width="8.42578125" style="2" customWidth="1"/>
    <col min="12811" max="12811" width="12.28515625" style="2" customWidth="1"/>
    <col min="12812" max="12812" width="7.5703125" style="2" customWidth="1"/>
    <col min="12813" max="12813" width="7.85546875" style="2" customWidth="1"/>
    <col min="12814" max="12814" width="8.28515625" style="2" customWidth="1"/>
    <col min="12815" max="12815" width="9.140625" style="2"/>
    <col min="12816" max="12818" width="7.5703125" style="2" customWidth="1"/>
    <col min="12819" max="12819" width="10.28515625" style="2" customWidth="1"/>
    <col min="12820" max="12820" width="10.5703125" style="2" customWidth="1"/>
    <col min="12821" max="12821" width="11.140625" style="2" customWidth="1"/>
    <col min="12822" max="12822" width="10.42578125" style="2" customWidth="1"/>
    <col min="12823" max="12832" width="11" style="2" customWidth="1"/>
    <col min="12833" max="12833" width="9.140625" style="2" customWidth="1"/>
    <col min="12834" max="12834" width="6.85546875" style="2" customWidth="1"/>
    <col min="12835" max="12835" width="15" style="2" bestFit="1" customWidth="1"/>
    <col min="12836" max="13060" width="9.140625" style="2"/>
    <col min="13061" max="13061" width="4" style="2" customWidth="1"/>
    <col min="13062" max="13062" width="24.42578125" style="2" customWidth="1"/>
    <col min="13063" max="13063" width="19.85546875" style="2" customWidth="1"/>
    <col min="13064" max="13064" width="9.28515625" style="2" customWidth="1"/>
    <col min="13065" max="13065" width="10" style="2" customWidth="1"/>
    <col min="13066" max="13066" width="8.42578125" style="2" customWidth="1"/>
    <col min="13067" max="13067" width="12.28515625" style="2" customWidth="1"/>
    <col min="13068" max="13068" width="7.5703125" style="2" customWidth="1"/>
    <col min="13069" max="13069" width="7.85546875" style="2" customWidth="1"/>
    <col min="13070" max="13070" width="8.28515625" style="2" customWidth="1"/>
    <col min="13071" max="13071" width="9.140625" style="2"/>
    <col min="13072" max="13074" width="7.5703125" style="2" customWidth="1"/>
    <col min="13075" max="13075" width="10.28515625" style="2" customWidth="1"/>
    <col min="13076" max="13076" width="10.5703125" style="2" customWidth="1"/>
    <col min="13077" max="13077" width="11.140625" style="2" customWidth="1"/>
    <col min="13078" max="13078" width="10.42578125" style="2" customWidth="1"/>
    <col min="13079" max="13088" width="11" style="2" customWidth="1"/>
    <col min="13089" max="13089" width="9.140625" style="2" customWidth="1"/>
    <col min="13090" max="13090" width="6.85546875" style="2" customWidth="1"/>
    <col min="13091" max="13091" width="15" style="2" bestFit="1" customWidth="1"/>
    <col min="13092" max="13316" width="9.140625" style="2"/>
    <col min="13317" max="13317" width="4" style="2" customWidth="1"/>
    <col min="13318" max="13318" width="24.42578125" style="2" customWidth="1"/>
    <col min="13319" max="13319" width="19.85546875" style="2" customWidth="1"/>
    <col min="13320" max="13320" width="9.28515625" style="2" customWidth="1"/>
    <col min="13321" max="13321" width="10" style="2" customWidth="1"/>
    <col min="13322" max="13322" width="8.42578125" style="2" customWidth="1"/>
    <col min="13323" max="13323" width="12.28515625" style="2" customWidth="1"/>
    <col min="13324" max="13324" width="7.5703125" style="2" customWidth="1"/>
    <col min="13325" max="13325" width="7.85546875" style="2" customWidth="1"/>
    <col min="13326" max="13326" width="8.28515625" style="2" customWidth="1"/>
    <col min="13327" max="13327" width="9.140625" style="2"/>
    <col min="13328" max="13330" width="7.5703125" style="2" customWidth="1"/>
    <col min="13331" max="13331" width="10.28515625" style="2" customWidth="1"/>
    <col min="13332" max="13332" width="10.5703125" style="2" customWidth="1"/>
    <col min="13333" max="13333" width="11.140625" style="2" customWidth="1"/>
    <col min="13334" max="13334" width="10.42578125" style="2" customWidth="1"/>
    <col min="13335" max="13344" width="11" style="2" customWidth="1"/>
    <col min="13345" max="13345" width="9.140625" style="2" customWidth="1"/>
    <col min="13346" max="13346" width="6.85546875" style="2" customWidth="1"/>
    <col min="13347" max="13347" width="15" style="2" bestFit="1" customWidth="1"/>
    <col min="13348" max="13572" width="9.140625" style="2"/>
    <col min="13573" max="13573" width="4" style="2" customWidth="1"/>
    <col min="13574" max="13574" width="24.42578125" style="2" customWidth="1"/>
    <col min="13575" max="13575" width="19.85546875" style="2" customWidth="1"/>
    <col min="13576" max="13576" width="9.28515625" style="2" customWidth="1"/>
    <col min="13577" max="13577" width="10" style="2" customWidth="1"/>
    <col min="13578" max="13578" width="8.42578125" style="2" customWidth="1"/>
    <col min="13579" max="13579" width="12.28515625" style="2" customWidth="1"/>
    <col min="13580" max="13580" width="7.5703125" style="2" customWidth="1"/>
    <col min="13581" max="13581" width="7.85546875" style="2" customWidth="1"/>
    <col min="13582" max="13582" width="8.28515625" style="2" customWidth="1"/>
    <col min="13583" max="13583" width="9.140625" style="2"/>
    <col min="13584" max="13586" width="7.5703125" style="2" customWidth="1"/>
    <col min="13587" max="13587" width="10.28515625" style="2" customWidth="1"/>
    <col min="13588" max="13588" width="10.5703125" style="2" customWidth="1"/>
    <col min="13589" max="13589" width="11.140625" style="2" customWidth="1"/>
    <col min="13590" max="13590" width="10.42578125" style="2" customWidth="1"/>
    <col min="13591" max="13600" width="11" style="2" customWidth="1"/>
    <col min="13601" max="13601" width="9.140625" style="2" customWidth="1"/>
    <col min="13602" max="13602" width="6.85546875" style="2" customWidth="1"/>
    <col min="13603" max="13603" width="15" style="2" bestFit="1" customWidth="1"/>
    <col min="13604" max="13828" width="9.140625" style="2"/>
    <col min="13829" max="13829" width="4" style="2" customWidth="1"/>
    <col min="13830" max="13830" width="24.42578125" style="2" customWidth="1"/>
    <col min="13831" max="13831" width="19.85546875" style="2" customWidth="1"/>
    <col min="13832" max="13832" width="9.28515625" style="2" customWidth="1"/>
    <col min="13833" max="13833" width="10" style="2" customWidth="1"/>
    <col min="13834" max="13834" width="8.42578125" style="2" customWidth="1"/>
    <col min="13835" max="13835" width="12.28515625" style="2" customWidth="1"/>
    <col min="13836" max="13836" width="7.5703125" style="2" customWidth="1"/>
    <col min="13837" max="13837" width="7.85546875" style="2" customWidth="1"/>
    <col min="13838" max="13838" width="8.28515625" style="2" customWidth="1"/>
    <col min="13839" max="13839" width="9.140625" style="2"/>
    <col min="13840" max="13842" width="7.5703125" style="2" customWidth="1"/>
    <col min="13843" max="13843" width="10.28515625" style="2" customWidth="1"/>
    <col min="13844" max="13844" width="10.5703125" style="2" customWidth="1"/>
    <col min="13845" max="13845" width="11.140625" style="2" customWidth="1"/>
    <col min="13846" max="13846" width="10.42578125" style="2" customWidth="1"/>
    <col min="13847" max="13856" width="11" style="2" customWidth="1"/>
    <col min="13857" max="13857" width="9.140625" style="2" customWidth="1"/>
    <col min="13858" max="13858" width="6.85546875" style="2" customWidth="1"/>
    <col min="13859" max="13859" width="15" style="2" bestFit="1" customWidth="1"/>
    <col min="13860" max="14084" width="9.140625" style="2"/>
    <col min="14085" max="14085" width="4" style="2" customWidth="1"/>
    <col min="14086" max="14086" width="24.42578125" style="2" customWidth="1"/>
    <col min="14087" max="14087" width="19.85546875" style="2" customWidth="1"/>
    <col min="14088" max="14088" width="9.28515625" style="2" customWidth="1"/>
    <col min="14089" max="14089" width="10" style="2" customWidth="1"/>
    <col min="14090" max="14090" width="8.42578125" style="2" customWidth="1"/>
    <col min="14091" max="14091" width="12.28515625" style="2" customWidth="1"/>
    <col min="14092" max="14092" width="7.5703125" style="2" customWidth="1"/>
    <col min="14093" max="14093" width="7.85546875" style="2" customWidth="1"/>
    <col min="14094" max="14094" width="8.28515625" style="2" customWidth="1"/>
    <col min="14095" max="14095" width="9.140625" style="2"/>
    <col min="14096" max="14098" width="7.5703125" style="2" customWidth="1"/>
    <col min="14099" max="14099" width="10.28515625" style="2" customWidth="1"/>
    <col min="14100" max="14100" width="10.5703125" style="2" customWidth="1"/>
    <col min="14101" max="14101" width="11.140625" style="2" customWidth="1"/>
    <col min="14102" max="14102" width="10.42578125" style="2" customWidth="1"/>
    <col min="14103" max="14112" width="11" style="2" customWidth="1"/>
    <col min="14113" max="14113" width="9.140625" style="2" customWidth="1"/>
    <col min="14114" max="14114" width="6.85546875" style="2" customWidth="1"/>
    <col min="14115" max="14115" width="15" style="2" bestFit="1" customWidth="1"/>
    <col min="14116" max="14340" width="9.140625" style="2"/>
    <col min="14341" max="14341" width="4" style="2" customWidth="1"/>
    <col min="14342" max="14342" width="24.42578125" style="2" customWidth="1"/>
    <col min="14343" max="14343" width="19.85546875" style="2" customWidth="1"/>
    <col min="14344" max="14344" width="9.28515625" style="2" customWidth="1"/>
    <col min="14345" max="14345" width="10" style="2" customWidth="1"/>
    <col min="14346" max="14346" width="8.42578125" style="2" customWidth="1"/>
    <col min="14347" max="14347" width="12.28515625" style="2" customWidth="1"/>
    <col min="14348" max="14348" width="7.5703125" style="2" customWidth="1"/>
    <col min="14349" max="14349" width="7.85546875" style="2" customWidth="1"/>
    <col min="14350" max="14350" width="8.28515625" style="2" customWidth="1"/>
    <col min="14351" max="14351" width="9.140625" style="2"/>
    <col min="14352" max="14354" width="7.5703125" style="2" customWidth="1"/>
    <col min="14355" max="14355" width="10.28515625" style="2" customWidth="1"/>
    <col min="14356" max="14356" width="10.5703125" style="2" customWidth="1"/>
    <col min="14357" max="14357" width="11.140625" style="2" customWidth="1"/>
    <col min="14358" max="14358" width="10.42578125" style="2" customWidth="1"/>
    <col min="14359" max="14368" width="11" style="2" customWidth="1"/>
    <col min="14369" max="14369" width="9.140625" style="2" customWidth="1"/>
    <col min="14370" max="14370" width="6.85546875" style="2" customWidth="1"/>
    <col min="14371" max="14371" width="15" style="2" bestFit="1" customWidth="1"/>
    <col min="14372" max="14596" width="9.140625" style="2"/>
    <col min="14597" max="14597" width="4" style="2" customWidth="1"/>
    <col min="14598" max="14598" width="24.42578125" style="2" customWidth="1"/>
    <col min="14599" max="14599" width="19.85546875" style="2" customWidth="1"/>
    <col min="14600" max="14600" width="9.28515625" style="2" customWidth="1"/>
    <col min="14601" max="14601" width="10" style="2" customWidth="1"/>
    <col min="14602" max="14602" width="8.42578125" style="2" customWidth="1"/>
    <col min="14603" max="14603" width="12.28515625" style="2" customWidth="1"/>
    <col min="14604" max="14604" width="7.5703125" style="2" customWidth="1"/>
    <col min="14605" max="14605" width="7.85546875" style="2" customWidth="1"/>
    <col min="14606" max="14606" width="8.28515625" style="2" customWidth="1"/>
    <col min="14607" max="14607" width="9.140625" style="2"/>
    <col min="14608" max="14610" width="7.5703125" style="2" customWidth="1"/>
    <col min="14611" max="14611" width="10.28515625" style="2" customWidth="1"/>
    <col min="14612" max="14612" width="10.5703125" style="2" customWidth="1"/>
    <col min="14613" max="14613" width="11.140625" style="2" customWidth="1"/>
    <col min="14614" max="14614" width="10.42578125" style="2" customWidth="1"/>
    <col min="14615" max="14624" width="11" style="2" customWidth="1"/>
    <col min="14625" max="14625" width="9.140625" style="2" customWidth="1"/>
    <col min="14626" max="14626" width="6.85546875" style="2" customWidth="1"/>
    <col min="14627" max="14627" width="15" style="2" bestFit="1" customWidth="1"/>
    <col min="14628" max="14852" width="9.140625" style="2"/>
    <col min="14853" max="14853" width="4" style="2" customWidth="1"/>
    <col min="14854" max="14854" width="24.42578125" style="2" customWidth="1"/>
    <col min="14855" max="14855" width="19.85546875" style="2" customWidth="1"/>
    <col min="14856" max="14856" width="9.28515625" style="2" customWidth="1"/>
    <col min="14857" max="14857" width="10" style="2" customWidth="1"/>
    <col min="14858" max="14858" width="8.42578125" style="2" customWidth="1"/>
    <col min="14859" max="14859" width="12.28515625" style="2" customWidth="1"/>
    <col min="14860" max="14860" width="7.5703125" style="2" customWidth="1"/>
    <col min="14861" max="14861" width="7.85546875" style="2" customWidth="1"/>
    <col min="14862" max="14862" width="8.28515625" style="2" customWidth="1"/>
    <col min="14863" max="14863" width="9.140625" style="2"/>
    <col min="14864" max="14866" width="7.5703125" style="2" customWidth="1"/>
    <col min="14867" max="14867" width="10.28515625" style="2" customWidth="1"/>
    <col min="14868" max="14868" width="10.5703125" style="2" customWidth="1"/>
    <col min="14869" max="14869" width="11.140625" style="2" customWidth="1"/>
    <col min="14870" max="14870" width="10.42578125" style="2" customWidth="1"/>
    <col min="14871" max="14880" width="11" style="2" customWidth="1"/>
    <col min="14881" max="14881" width="9.140625" style="2" customWidth="1"/>
    <col min="14882" max="14882" width="6.85546875" style="2" customWidth="1"/>
    <col min="14883" max="14883" width="15" style="2" bestFit="1" customWidth="1"/>
    <col min="14884" max="15108" width="9.140625" style="2"/>
    <col min="15109" max="15109" width="4" style="2" customWidth="1"/>
    <col min="15110" max="15110" width="24.42578125" style="2" customWidth="1"/>
    <col min="15111" max="15111" width="19.85546875" style="2" customWidth="1"/>
    <col min="15112" max="15112" width="9.28515625" style="2" customWidth="1"/>
    <col min="15113" max="15113" width="10" style="2" customWidth="1"/>
    <col min="15114" max="15114" width="8.42578125" style="2" customWidth="1"/>
    <col min="15115" max="15115" width="12.28515625" style="2" customWidth="1"/>
    <col min="15116" max="15116" width="7.5703125" style="2" customWidth="1"/>
    <col min="15117" max="15117" width="7.85546875" style="2" customWidth="1"/>
    <col min="15118" max="15118" width="8.28515625" style="2" customWidth="1"/>
    <col min="15119" max="15119" width="9.140625" style="2"/>
    <col min="15120" max="15122" width="7.5703125" style="2" customWidth="1"/>
    <col min="15123" max="15123" width="10.28515625" style="2" customWidth="1"/>
    <col min="15124" max="15124" width="10.5703125" style="2" customWidth="1"/>
    <col min="15125" max="15125" width="11.140625" style="2" customWidth="1"/>
    <col min="15126" max="15126" width="10.42578125" style="2" customWidth="1"/>
    <col min="15127" max="15136" width="11" style="2" customWidth="1"/>
    <col min="15137" max="15137" width="9.140625" style="2" customWidth="1"/>
    <col min="15138" max="15138" width="6.85546875" style="2" customWidth="1"/>
    <col min="15139" max="15139" width="15" style="2" bestFit="1" customWidth="1"/>
    <col min="15140" max="15364" width="9.140625" style="2"/>
    <col min="15365" max="15365" width="4" style="2" customWidth="1"/>
    <col min="15366" max="15366" width="24.42578125" style="2" customWidth="1"/>
    <col min="15367" max="15367" width="19.85546875" style="2" customWidth="1"/>
    <col min="15368" max="15368" width="9.28515625" style="2" customWidth="1"/>
    <col min="15369" max="15369" width="10" style="2" customWidth="1"/>
    <col min="15370" max="15370" width="8.42578125" style="2" customWidth="1"/>
    <col min="15371" max="15371" width="12.28515625" style="2" customWidth="1"/>
    <col min="15372" max="15372" width="7.5703125" style="2" customWidth="1"/>
    <col min="15373" max="15373" width="7.85546875" style="2" customWidth="1"/>
    <col min="15374" max="15374" width="8.28515625" style="2" customWidth="1"/>
    <col min="15375" max="15375" width="9.140625" style="2"/>
    <col min="15376" max="15378" width="7.5703125" style="2" customWidth="1"/>
    <col min="15379" max="15379" width="10.28515625" style="2" customWidth="1"/>
    <col min="15380" max="15380" width="10.5703125" style="2" customWidth="1"/>
    <col min="15381" max="15381" width="11.140625" style="2" customWidth="1"/>
    <col min="15382" max="15382" width="10.42578125" style="2" customWidth="1"/>
    <col min="15383" max="15392" width="11" style="2" customWidth="1"/>
    <col min="15393" max="15393" width="9.140625" style="2" customWidth="1"/>
    <col min="15394" max="15394" width="6.85546875" style="2" customWidth="1"/>
    <col min="15395" max="15395" width="15" style="2" bestFit="1" customWidth="1"/>
    <col min="15396" max="15620" width="9.140625" style="2"/>
    <col min="15621" max="15621" width="4" style="2" customWidth="1"/>
    <col min="15622" max="15622" width="24.42578125" style="2" customWidth="1"/>
    <col min="15623" max="15623" width="19.85546875" style="2" customWidth="1"/>
    <col min="15624" max="15624" width="9.28515625" style="2" customWidth="1"/>
    <col min="15625" max="15625" width="10" style="2" customWidth="1"/>
    <col min="15626" max="15626" width="8.42578125" style="2" customWidth="1"/>
    <col min="15627" max="15627" width="12.28515625" style="2" customWidth="1"/>
    <col min="15628" max="15628" width="7.5703125" style="2" customWidth="1"/>
    <col min="15629" max="15629" width="7.85546875" style="2" customWidth="1"/>
    <col min="15630" max="15630" width="8.28515625" style="2" customWidth="1"/>
    <col min="15631" max="15631" width="9.140625" style="2"/>
    <col min="15632" max="15634" width="7.5703125" style="2" customWidth="1"/>
    <col min="15635" max="15635" width="10.28515625" style="2" customWidth="1"/>
    <col min="15636" max="15636" width="10.5703125" style="2" customWidth="1"/>
    <col min="15637" max="15637" width="11.140625" style="2" customWidth="1"/>
    <col min="15638" max="15638" width="10.42578125" style="2" customWidth="1"/>
    <col min="15639" max="15648" width="11" style="2" customWidth="1"/>
    <col min="15649" max="15649" width="9.140625" style="2" customWidth="1"/>
    <col min="15650" max="15650" width="6.85546875" style="2" customWidth="1"/>
    <col min="15651" max="15651" width="15" style="2" bestFit="1" customWidth="1"/>
    <col min="15652" max="15876" width="9.140625" style="2"/>
    <col min="15877" max="15877" width="4" style="2" customWidth="1"/>
    <col min="15878" max="15878" width="24.42578125" style="2" customWidth="1"/>
    <col min="15879" max="15879" width="19.85546875" style="2" customWidth="1"/>
    <col min="15880" max="15880" width="9.28515625" style="2" customWidth="1"/>
    <col min="15881" max="15881" width="10" style="2" customWidth="1"/>
    <col min="15882" max="15882" width="8.42578125" style="2" customWidth="1"/>
    <col min="15883" max="15883" width="12.28515625" style="2" customWidth="1"/>
    <col min="15884" max="15884" width="7.5703125" style="2" customWidth="1"/>
    <col min="15885" max="15885" width="7.85546875" style="2" customWidth="1"/>
    <col min="15886" max="15886" width="8.28515625" style="2" customWidth="1"/>
    <col min="15887" max="15887" width="9.140625" style="2"/>
    <col min="15888" max="15890" width="7.5703125" style="2" customWidth="1"/>
    <col min="15891" max="15891" width="10.28515625" style="2" customWidth="1"/>
    <col min="15892" max="15892" width="10.5703125" style="2" customWidth="1"/>
    <col min="15893" max="15893" width="11.140625" style="2" customWidth="1"/>
    <col min="15894" max="15894" width="10.42578125" style="2" customWidth="1"/>
    <col min="15895" max="15904" width="11" style="2" customWidth="1"/>
    <col min="15905" max="15905" width="9.140625" style="2" customWidth="1"/>
    <col min="15906" max="15906" width="6.85546875" style="2" customWidth="1"/>
    <col min="15907" max="15907" width="15" style="2" bestFit="1" customWidth="1"/>
    <col min="15908" max="16132" width="9.140625" style="2"/>
    <col min="16133" max="16133" width="4" style="2" customWidth="1"/>
    <col min="16134" max="16134" width="24.42578125" style="2" customWidth="1"/>
    <col min="16135" max="16135" width="19.85546875" style="2" customWidth="1"/>
    <col min="16136" max="16136" width="9.28515625" style="2" customWidth="1"/>
    <col min="16137" max="16137" width="10" style="2" customWidth="1"/>
    <col min="16138" max="16138" width="8.42578125" style="2" customWidth="1"/>
    <col min="16139" max="16139" width="12.28515625" style="2" customWidth="1"/>
    <col min="16140" max="16140" width="7.5703125" style="2" customWidth="1"/>
    <col min="16141" max="16141" width="7.85546875" style="2" customWidth="1"/>
    <col min="16142" max="16142" width="8.28515625" style="2" customWidth="1"/>
    <col min="16143" max="16143" width="9.140625" style="2"/>
    <col min="16144" max="16146" width="7.5703125" style="2" customWidth="1"/>
    <col min="16147" max="16147" width="10.28515625" style="2" customWidth="1"/>
    <col min="16148" max="16148" width="10.5703125" style="2" customWidth="1"/>
    <col min="16149" max="16149" width="11.140625" style="2" customWidth="1"/>
    <col min="16150" max="16150" width="10.42578125" style="2" customWidth="1"/>
    <col min="16151" max="16160" width="11" style="2" customWidth="1"/>
    <col min="16161" max="16161" width="9.140625" style="2" customWidth="1"/>
    <col min="16162" max="16162" width="6.85546875" style="2" customWidth="1"/>
    <col min="16163" max="16163" width="15" style="2" bestFit="1" customWidth="1"/>
    <col min="16164" max="16384" width="9.140625" style="2"/>
  </cols>
  <sheetData>
    <row r="1" spans="1:48" ht="125.25">
      <c r="A1" s="10" t="s">
        <v>17</v>
      </c>
      <c r="B1" s="11"/>
      <c r="C1" s="11" t="s">
        <v>19</v>
      </c>
      <c r="D1" s="12" t="s">
        <v>20</v>
      </c>
      <c r="E1" s="77" t="s">
        <v>190</v>
      </c>
      <c r="F1" s="77" t="s">
        <v>191</v>
      </c>
      <c r="G1" s="77" t="s">
        <v>195</v>
      </c>
      <c r="H1" s="81">
        <v>2019</v>
      </c>
      <c r="I1" s="13" t="s">
        <v>21</v>
      </c>
      <c r="J1" s="4" t="s">
        <v>22</v>
      </c>
      <c r="K1" s="4" t="s">
        <v>23</v>
      </c>
      <c r="L1" s="4" t="s">
        <v>24</v>
      </c>
      <c r="M1" s="4" t="s">
        <v>25</v>
      </c>
      <c r="N1" s="4" t="s">
        <v>26</v>
      </c>
      <c r="O1" s="4" t="s">
        <v>27</v>
      </c>
      <c r="P1" s="4" t="s">
        <v>28</v>
      </c>
      <c r="Q1" s="4" t="s">
        <v>29</v>
      </c>
      <c r="R1" s="4" t="s">
        <v>30</v>
      </c>
      <c r="S1" s="4" t="s">
        <v>31</v>
      </c>
      <c r="T1" s="4" t="s">
        <v>32</v>
      </c>
      <c r="U1" s="4" t="s">
        <v>33</v>
      </c>
      <c r="V1" s="4" t="s">
        <v>34</v>
      </c>
      <c r="W1" s="4" t="s">
        <v>35</v>
      </c>
      <c r="X1" s="4" t="s">
        <v>36</v>
      </c>
      <c r="Y1" s="4" t="s">
        <v>37</v>
      </c>
      <c r="Z1" s="5" t="s">
        <v>38</v>
      </c>
      <c r="AA1" s="5" t="s">
        <v>39</v>
      </c>
      <c r="AB1" s="26" t="s">
        <v>151</v>
      </c>
      <c r="AC1" s="26" t="s">
        <v>152</v>
      </c>
      <c r="AD1" s="26" t="s">
        <v>153</v>
      </c>
      <c r="AG1" s="34" t="s">
        <v>154</v>
      </c>
      <c r="AH1" s="46" t="s">
        <v>155</v>
      </c>
      <c r="AN1" s="47" t="s">
        <v>156</v>
      </c>
      <c r="AP1" s="73" t="s">
        <v>15</v>
      </c>
      <c r="AS1" s="2">
        <v>4</v>
      </c>
      <c r="AT1" s="2">
        <v>12</v>
      </c>
    </row>
    <row r="2" spans="1:48" ht="23.25" hidden="1" customHeight="1">
      <c r="A2" s="90">
        <v>1</v>
      </c>
      <c r="B2" s="14" t="s">
        <v>40</v>
      </c>
      <c r="C2" s="14" t="s">
        <v>40</v>
      </c>
      <c r="D2" s="15" t="s">
        <v>41</v>
      </c>
      <c r="E2" s="78">
        <f t="shared" ref="E2:E14" si="0">AVERAGE(J2:N2)</f>
        <v>43003</v>
      </c>
      <c r="F2" s="78">
        <f t="shared" ref="F2:F14" si="1">AVERAGE(O2:V2)</f>
        <v>46327.875</v>
      </c>
      <c r="G2" s="78">
        <f>AVERAGE(W2:Z2)</f>
        <v>78850.5</v>
      </c>
      <c r="H2" s="78">
        <f>AVERAGE(AA2:AD2)</f>
        <v>68161.5</v>
      </c>
      <c r="I2" s="6">
        <v>115454</v>
      </c>
      <c r="J2" s="6">
        <f>20953+34257</f>
        <v>55210</v>
      </c>
      <c r="K2" s="6">
        <f>11506+18872</f>
        <v>30378</v>
      </c>
      <c r="L2" s="6">
        <f>15483+33338</f>
        <v>48821</v>
      </c>
      <c r="M2" s="6">
        <v>46267</v>
      </c>
      <c r="N2" s="6">
        <f>11097+23242</f>
        <v>34339</v>
      </c>
      <c r="O2" s="6">
        <v>45068</v>
      </c>
      <c r="P2" s="6">
        <v>48843</v>
      </c>
      <c r="Q2" s="6">
        <v>42904</v>
      </c>
      <c r="R2" s="6">
        <v>47723</v>
      </c>
      <c r="S2" s="6">
        <v>55332</v>
      </c>
      <c r="T2" s="6">
        <v>37415</v>
      </c>
      <c r="U2" s="6">
        <v>47983</v>
      </c>
      <c r="V2" s="6">
        <v>45355</v>
      </c>
      <c r="W2" s="6">
        <v>67196</v>
      </c>
      <c r="X2" s="6">
        <v>82706</v>
      </c>
      <c r="Y2" s="6">
        <v>78158</v>
      </c>
      <c r="Z2" s="6">
        <v>87342</v>
      </c>
      <c r="AA2" s="6">
        <v>85341</v>
      </c>
      <c r="AB2" s="27">
        <v>76252</v>
      </c>
      <c r="AC2" s="27">
        <v>70654</v>
      </c>
      <c r="AD2" s="27">
        <v>40399</v>
      </c>
      <c r="AE2" s="33">
        <f>SUM(I2:AD2)</f>
        <v>1289140</v>
      </c>
      <c r="AF2" s="33"/>
      <c r="AG2" s="35">
        <v>5.8500000000000003E-2</v>
      </c>
      <c r="AH2" s="33">
        <f>AE2*AG2</f>
        <v>75414.69</v>
      </c>
      <c r="AI2" s="46">
        <f>AH2/$AH$44*100</f>
        <v>1.8157100298096203</v>
      </c>
      <c r="AJ2" s="46">
        <f>AI2*$AJ$44/100</f>
        <v>363142.00596192403</v>
      </c>
      <c r="AK2" s="46">
        <f>AJ2/AG2</f>
        <v>6207555.6574687865</v>
      </c>
      <c r="AL2" s="46">
        <f t="shared" ref="AL2:AL17" si="2">AK2/AS2</f>
        <v>290992.39936629747</v>
      </c>
      <c r="AM2" s="46">
        <f>AK2/AT2</f>
        <v>24249.366613858125</v>
      </c>
      <c r="AN2" s="48">
        <v>12852</v>
      </c>
      <c r="AP2" s="74">
        <f>საპენსიო!D2</f>
        <v>92.063670411985015</v>
      </c>
      <c r="AQ2" s="74">
        <f>შშმპ!D2</f>
        <v>78.595238095238102</v>
      </c>
      <c r="AR2" s="9">
        <f>AVERAGE(AP2:AQ2)</f>
        <v>85.329454253611559</v>
      </c>
      <c r="AS2" s="9">
        <f>AR2/$AS$1</f>
        <v>21.33236356340289</v>
      </c>
      <c r="AT2" s="9">
        <f>AS2*$AT$1</f>
        <v>255.98836276083466</v>
      </c>
      <c r="AU2" s="76">
        <f t="shared" ref="AU2:AU17" si="3">AN2/AR2</f>
        <v>150.61622170700852</v>
      </c>
      <c r="AV2" s="76">
        <f>AN2/AS2</f>
        <v>602.46488682803408</v>
      </c>
    </row>
    <row r="3" spans="1:48" hidden="1">
      <c r="A3" s="90"/>
      <c r="B3" s="16" t="s">
        <v>42</v>
      </c>
      <c r="C3" s="16" t="s">
        <v>43</v>
      </c>
      <c r="D3" s="15" t="s">
        <v>44</v>
      </c>
      <c r="E3" s="78">
        <f t="shared" si="0"/>
        <v>62600.6</v>
      </c>
      <c r="F3" s="78">
        <f t="shared" si="1"/>
        <v>82328.125</v>
      </c>
      <c r="G3" s="78">
        <f t="shared" ref="G3:G43" si="4">AVERAGE(W3:Z3)</f>
        <v>138558</v>
      </c>
      <c r="H3" s="78">
        <f t="shared" ref="H3:H43" si="5">AVERAGE(AA3:AD3)</f>
        <v>136314</v>
      </c>
      <c r="I3" s="6">
        <v>128708</v>
      </c>
      <c r="J3" s="6">
        <f>68841</f>
        <v>68841</v>
      </c>
      <c r="K3" s="6">
        <f>41674</f>
        <v>41674</v>
      </c>
      <c r="L3" s="6">
        <f>77476</f>
        <v>77476</v>
      </c>
      <c r="M3" s="6">
        <v>71438</v>
      </c>
      <c r="N3" s="6">
        <f>180+53394</f>
        <v>53574</v>
      </c>
      <c r="O3" s="6">
        <v>68830</v>
      </c>
      <c r="P3" s="6">
        <v>87699</v>
      </c>
      <c r="Q3" s="6">
        <v>79766</v>
      </c>
      <c r="R3" s="6">
        <v>76260</v>
      </c>
      <c r="S3" s="6">
        <v>95079</v>
      </c>
      <c r="T3" s="6">
        <v>75991</v>
      </c>
      <c r="U3" s="6">
        <v>86045</v>
      </c>
      <c r="V3" s="6">
        <v>88955</v>
      </c>
      <c r="W3" s="6">
        <v>117285</v>
      </c>
      <c r="X3" s="6">
        <v>156780</v>
      </c>
      <c r="Y3" s="6">
        <v>143245</v>
      </c>
      <c r="Z3" s="6">
        <v>136922</v>
      </c>
      <c r="AA3" s="6">
        <v>138365</v>
      </c>
      <c r="AB3" s="27">
        <v>134077</v>
      </c>
      <c r="AC3" s="27">
        <v>133218</v>
      </c>
      <c r="AD3" s="27">
        <v>139596</v>
      </c>
      <c r="AE3" s="33">
        <f t="shared" ref="AE3:AE43" si="6">SUM(I3:AD3)</f>
        <v>2199824</v>
      </c>
      <c r="AF3" s="33"/>
      <c r="AG3" s="36">
        <v>6.4500000000000002E-2</v>
      </c>
      <c r="AH3" s="33">
        <f t="shared" ref="AH3:AH43" si="7">AE3*AG3</f>
        <v>141888.64800000002</v>
      </c>
      <c r="AI3" s="46">
        <f t="shared" ref="AI3:AI43" si="8">AH3/$AH$44*100</f>
        <v>3.4161599191049747</v>
      </c>
      <c r="AJ3" s="46">
        <f t="shared" ref="AJ3:AJ43" si="9">AI3*$AJ$44/100</f>
        <v>683231.98382099497</v>
      </c>
      <c r="AK3" s="46">
        <f t="shared" ref="AK3:AK42" si="10">AJ3/AG3</f>
        <v>10592743.935209224</v>
      </c>
      <c r="AL3" s="46">
        <f t="shared" si="2"/>
        <v>461404.90161337459</v>
      </c>
      <c r="AM3" s="46">
        <f t="shared" ref="AM3:AM43" si="11">AK3/AT3</f>
        <v>38450.408467781221</v>
      </c>
      <c r="AN3" s="48">
        <v>970805</v>
      </c>
      <c r="AP3" s="74">
        <f>საპენსიო!D3</f>
        <v>87.473209249858996</v>
      </c>
      <c r="AQ3" s="74">
        <f>შშმპ!D3</f>
        <v>96.1875</v>
      </c>
      <c r="AR3" s="9">
        <f t="shared" ref="AR3:AR43" si="12">AVERAGE(AP3:AQ3)</f>
        <v>91.830354624929498</v>
      </c>
      <c r="AS3" s="9">
        <f t="shared" ref="AS3:AS43" si="13">AR3/$AS$1</f>
        <v>22.957588656232375</v>
      </c>
      <c r="AT3" s="9">
        <f t="shared" ref="AT3:AT43" si="14">AS3*$AT$1</f>
        <v>275.49106387478849</v>
      </c>
      <c r="AU3" s="76">
        <f t="shared" si="3"/>
        <v>10571.722215003319</v>
      </c>
      <c r="AV3" s="76">
        <f t="shared" ref="AV3:AV17" si="15">AN3/AS3</f>
        <v>42286.888860013278</v>
      </c>
    </row>
    <row r="4" spans="1:48" hidden="1">
      <c r="A4" s="16">
        <v>2</v>
      </c>
      <c r="B4" s="16" t="s">
        <v>45</v>
      </c>
      <c r="C4" s="16" t="s">
        <v>46</v>
      </c>
      <c r="D4" s="17" t="s">
        <v>47</v>
      </c>
      <c r="E4" s="78">
        <f t="shared" si="0"/>
        <v>44461.8</v>
      </c>
      <c r="F4" s="78">
        <f t="shared" si="1"/>
        <v>62495.625</v>
      </c>
      <c r="G4" s="78">
        <f t="shared" si="4"/>
        <v>127965.25</v>
      </c>
      <c r="H4" s="78">
        <f t="shared" si="5"/>
        <v>92294.25</v>
      </c>
      <c r="I4" s="6">
        <v>74656</v>
      </c>
      <c r="J4" s="6">
        <f>894+48877</f>
        <v>49771</v>
      </c>
      <c r="K4" s="6">
        <f>304+29577</f>
        <v>29881</v>
      </c>
      <c r="L4" s="6">
        <f>49670</f>
        <v>49670</v>
      </c>
      <c r="M4" s="6">
        <v>52667</v>
      </c>
      <c r="N4" s="6">
        <f>92+40228</f>
        <v>40320</v>
      </c>
      <c r="O4" s="6">
        <v>51024</v>
      </c>
      <c r="P4" s="6">
        <v>63258</v>
      </c>
      <c r="Q4" s="6">
        <v>59752</v>
      </c>
      <c r="R4" s="6">
        <v>57385</v>
      </c>
      <c r="S4" s="6">
        <v>78187</v>
      </c>
      <c r="T4" s="6">
        <v>57063</v>
      </c>
      <c r="U4" s="6">
        <v>65543</v>
      </c>
      <c r="V4" s="6">
        <v>67753</v>
      </c>
      <c r="W4" s="6">
        <v>107766</v>
      </c>
      <c r="X4" s="6">
        <v>143166</v>
      </c>
      <c r="Y4" s="6">
        <v>134239</v>
      </c>
      <c r="Z4" s="6">
        <v>126690</v>
      </c>
      <c r="AA4" s="6">
        <v>118049</v>
      </c>
      <c r="AB4" s="28">
        <f>2143+6105+111108</f>
        <v>119356</v>
      </c>
      <c r="AC4" s="28">
        <v>102458</v>
      </c>
      <c r="AD4" s="28">
        <v>29314</v>
      </c>
      <c r="AE4" s="33">
        <f t="shared" si="6"/>
        <v>1677968</v>
      </c>
      <c r="AF4" s="33"/>
      <c r="AG4" s="36">
        <v>0.21840000000000001</v>
      </c>
      <c r="AH4" s="33">
        <f t="shared" si="7"/>
        <v>366468.21120000002</v>
      </c>
      <c r="AI4" s="46">
        <f t="shared" si="8"/>
        <v>8.8232147699901748</v>
      </c>
      <c r="AJ4" s="46">
        <f t="shared" si="9"/>
        <v>1764642.9539980348</v>
      </c>
      <c r="AK4" s="46">
        <f t="shared" si="10"/>
        <v>8079867.0054855067</v>
      </c>
      <c r="AL4" s="46">
        <f t="shared" si="2"/>
        <v>518126.98224935157</v>
      </c>
      <c r="AM4" s="46">
        <f t="shared" si="11"/>
        <v>43177.2485207793</v>
      </c>
      <c r="AN4" s="48">
        <v>160907</v>
      </c>
      <c r="AP4" s="74">
        <f>საპენსიო!D4</f>
        <v>66.601855287569578</v>
      </c>
      <c r="AQ4" s="74">
        <f>შშმპ!D9</f>
        <v>58.153153153153156</v>
      </c>
      <c r="AR4" s="9">
        <f t="shared" si="12"/>
        <v>62.377504220361367</v>
      </c>
      <c r="AS4" s="9">
        <f t="shared" si="13"/>
        <v>15.594376055090342</v>
      </c>
      <c r="AT4" s="9">
        <f t="shared" si="14"/>
        <v>187.13251266108409</v>
      </c>
      <c r="AU4" s="76">
        <f t="shared" si="3"/>
        <v>2579.5677786588403</v>
      </c>
      <c r="AV4" s="76">
        <f t="shared" si="15"/>
        <v>10318.271114635361</v>
      </c>
    </row>
    <row r="5" spans="1:48" hidden="1">
      <c r="A5" s="16">
        <v>3</v>
      </c>
      <c r="B5" s="16" t="s">
        <v>48</v>
      </c>
      <c r="C5" s="16" t="s">
        <v>48</v>
      </c>
      <c r="D5" s="18" t="s">
        <v>49</v>
      </c>
      <c r="E5" s="78">
        <f t="shared" si="0"/>
        <v>55445</v>
      </c>
      <c r="F5" s="78">
        <f t="shared" si="1"/>
        <v>108836.625</v>
      </c>
      <c r="G5" s="78">
        <f t="shared" si="4"/>
        <v>216440.25</v>
      </c>
      <c r="H5" s="78">
        <f t="shared" si="5"/>
        <v>227824</v>
      </c>
      <c r="I5" s="6">
        <v>0</v>
      </c>
      <c r="J5" s="6">
        <v>0</v>
      </c>
      <c r="K5" s="6">
        <v>11654</v>
      </c>
      <c r="L5" s="6">
        <f>125527</f>
        <v>125527</v>
      </c>
      <c r="M5" s="6">
        <v>76906</v>
      </c>
      <c r="N5" s="6">
        <f>63138</f>
        <v>63138</v>
      </c>
      <c r="O5" s="6">
        <v>94802</v>
      </c>
      <c r="P5" s="6">
        <v>103039</v>
      </c>
      <c r="Q5" s="6">
        <v>106262</v>
      </c>
      <c r="R5" s="6">
        <v>109933</v>
      </c>
      <c r="S5" s="6">
        <v>124788</v>
      </c>
      <c r="T5" s="6">
        <v>101734</v>
      </c>
      <c r="U5" s="6">
        <v>117850</v>
      </c>
      <c r="V5" s="6">
        <v>112285</v>
      </c>
      <c r="W5" s="6">
        <v>174735</v>
      </c>
      <c r="X5" s="6">
        <v>241015</v>
      </c>
      <c r="Y5" s="6">
        <v>224504</v>
      </c>
      <c r="Z5" s="6">
        <v>225507</v>
      </c>
      <c r="AA5" s="6">
        <v>231313</v>
      </c>
      <c r="AB5" s="27">
        <v>231431</v>
      </c>
      <c r="AC5" s="27">
        <v>237975</v>
      </c>
      <c r="AD5" s="27">
        <v>210577</v>
      </c>
      <c r="AE5" s="33">
        <f t="shared" si="6"/>
        <v>2924975</v>
      </c>
      <c r="AF5" s="33"/>
      <c r="AG5" s="37">
        <v>4.1000000000000002E-2</v>
      </c>
      <c r="AH5" s="33">
        <f t="shared" si="7"/>
        <v>119923.97500000001</v>
      </c>
      <c r="AI5" s="46">
        <f t="shared" si="8"/>
        <v>2.8873308929883312</v>
      </c>
      <c r="AJ5" s="46">
        <f t="shared" si="9"/>
        <v>577466.17859766621</v>
      </c>
      <c r="AK5" s="46">
        <f t="shared" si="10"/>
        <v>14084540.941406492</v>
      </c>
      <c r="AL5" s="46">
        <f t="shared" si="2"/>
        <v>493655.95469381614</v>
      </c>
      <c r="AM5" s="46">
        <f t="shared" si="11"/>
        <v>41137.996224484676</v>
      </c>
      <c r="AN5" s="48">
        <v>1304050</v>
      </c>
      <c r="AP5" s="74">
        <f>საპენსიო!D17</f>
        <v>110.81858766233766</v>
      </c>
      <c r="AQ5" s="74">
        <f>შშმპ!D16</f>
        <v>117.43010752688173</v>
      </c>
      <c r="AR5" s="9">
        <f t="shared" si="12"/>
        <v>114.1243475946097</v>
      </c>
      <c r="AS5" s="9">
        <f t="shared" si="13"/>
        <v>28.531086898652426</v>
      </c>
      <c r="AT5" s="9">
        <f t="shared" si="14"/>
        <v>342.37304278382908</v>
      </c>
      <c r="AU5" s="76">
        <f t="shared" si="3"/>
        <v>11426.571345075472</v>
      </c>
      <c r="AV5" s="76">
        <f t="shared" si="15"/>
        <v>45706.285380301888</v>
      </c>
    </row>
    <row r="6" spans="1:48" ht="27" hidden="1" customHeight="1">
      <c r="A6" s="16">
        <v>4</v>
      </c>
      <c r="B6" s="16" t="s">
        <v>50</v>
      </c>
      <c r="C6" s="16" t="s">
        <v>51</v>
      </c>
      <c r="D6" s="19" t="s">
        <v>52</v>
      </c>
      <c r="E6" s="78">
        <f t="shared" si="0"/>
        <v>28665.599999999999</v>
      </c>
      <c r="F6" s="78">
        <f t="shared" si="1"/>
        <v>37865.25</v>
      </c>
      <c r="G6" s="78">
        <f t="shared" si="4"/>
        <v>71543.75</v>
      </c>
      <c r="H6" s="78">
        <f t="shared" si="5"/>
        <v>58414</v>
      </c>
      <c r="I6" s="6">
        <v>71359</v>
      </c>
      <c r="J6" s="6">
        <f>103+23+219+92+90+92+5463+17825+10070</f>
        <v>33977</v>
      </c>
      <c r="K6" s="6">
        <f>71+46+91+92+2667+9088+6961</f>
        <v>19016</v>
      </c>
      <c r="L6" s="6">
        <f>90+230+5697+14666+13155</f>
        <v>33838</v>
      </c>
      <c r="M6" s="6">
        <v>31458</v>
      </c>
      <c r="N6" s="6">
        <f>1+138+115+2448+8277+14060</f>
        <v>25039</v>
      </c>
      <c r="O6" s="6">
        <v>32180</v>
      </c>
      <c r="P6" s="6">
        <v>40242</v>
      </c>
      <c r="Q6" s="6">
        <v>34672</v>
      </c>
      <c r="R6" s="6">
        <v>37150</v>
      </c>
      <c r="S6" s="6">
        <v>44130</v>
      </c>
      <c r="T6" s="6">
        <v>33373</v>
      </c>
      <c r="U6" s="6">
        <v>39863</v>
      </c>
      <c r="V6" s="6">
        <v>41312</v>
      </c>
      <c r="W6" s="6">
        <v>62328</v>
      </c>
      <c r="X6" s="6">
        <v>81237</v>
      </c>
      <c r="Y6" s="6">
        <v>72170</v>
      </c>
      <c r="Z6" s="6">
        <v>70440</v>
      </c>
      <c r="AA6" s="6">
        <v>70692</v>
      </c>
      <c r="AB6" s="27">
        <v>71155</v>
      </c>
      <c r="AC6" s="27">
        <v>64086</v>
      </c>
      <c r="AD6" s="27">
        <v>27723</v>
      </c>
      <c r="AE6" s="33">
        <f t="shared" si="6"/>
        <v>1037440</v>
      </c>
      <c r="AF6" s="33"/>
      <c r="AG6" s="37">
        <v>4.7500000000000001E-2</v>
      </c>
      <c r="AH6" s="33">
        <f t="shared" si="7"/>
        <v>49278.400000000001</v>
      </c>
      <c r="AI6" s="46">
        <f t="shared" si="8"/>
        <v>1.1864437171719513</v>
      </c>
      <c r="AJ6" s="46">
        <f t="shared" si="9"/>
        <v>237288.74343439029</v>
      </c>
      <c r="AK6" s="46">
        <f t="shared" si="10"/>
        <v>4995552.4933555853</v>
      </c>
      <c r="AL6" s="46">
        <f t="shared" si="2"/>
        <v>333075.57899198943</v>
      </c>
      <c r="AM6" s="46">
        <f t="shared" si="11"/>
        <v>27756.298249332449</v>
      </c>
      <c r="AN6" s="48">
        <v>6776</v>
      </c>
      <c r="AP6" s="74">
        <f>საპენსიო!D6</f>
        <v>57.986040609137056</v>
      </c>
      <c r="AQ6" s="74">
        <f>შშმპ!D4</f>
        <v>62</v>
      </c>
      <c r="AR6" s="9">
        <f t="shared" si="12"/>
        <v>59.993020304568532</v>
      </c>
      <c r="AS6" s="9">
        <f t="shared" si="13"/>
        <v>14.998255076142133</v>
      </c>
      <c r="AT6" s="9">
        <f t="shared" si="14"/>
        <v>179.97906091370561</v>
      </c>
      <c r="AU6" s="76">
        <f t="shared" si="3"/>
        <v>112.94647219960019</v>
      </c>
      <c r="AV6" s="76">
        <f t="shared" si="15"/>
        <v>451.78588879840078</v>
      </c>
    </row>
    <row r="7" spans="1:48" ht="30" hidden="1" customHeight="1">
      <c r="A7" s="16">
        <v>5</v>
      </c>
      <c r="B7" s="14" t="s">
        <v>53</v>
      </c>
      <c r="C7" s="16" t="s">
        <v>54</v>
      </c>
      <c r="D7" s="18" t="s">
        <v>55</v>
      </c>
      <c r="E7" s="78">
        <f t="shared" si="0"/>
        <v>12809.8</v>
      </c>
      <c r="F7" s="78">
        <f t="shared" si="1"/>
        <v>16399.375</v>
      </c>
      <c r="G7" s="78">
        <f t="shared" si="4"/>
        <v>36643.75</v>
      </c>
      <c r="H7" s="78">
        <f t="shared" si="5"/>
        <v>40709</v>
      </c>
      <c r="I7" s="6">
        <v>35172</v>
      </c>
      <c r="J7" s="6">
        <f>14677+300</f>
        <v>14977</v>
      </c>
      <c r="K7" s="6">
        <f>7169</f>
        <v>7169</v>
      </c>
      <c r="L7" s="6">
        <f>16509</f>
        <v>16509</v>
      </c>
      <c r="M7" s="6">
        <v>14056</v>
      </c>
      <c r="N7" s="6">
        <f>11338</f>
        <v>11338</v>
      </c>
      <c r="O7" s="6">
        <v>15140</v>
      </c>
      <c r="P7" s="6">
        <v>16835</v>
      </c>
      <c r="Q7" s="6">
        <v>15104</v>
      </c>
      <c r="R7" s="6">
        <v>15293</v>
      </c>
      <c r="S7" s="6">
        <v>18158</v>
      </c>
      <c r="T7" s="6">
        <v>14011</v>
      </c>
      <c r="U7" s="6">
        <v>19170</v>
      </c>
      <c r="V7" s="6">
        <v>17484</v>
      </c>
      <c r="W7" s="6">
        <v>31052</v>
      </c>
      <c r="X7" s="6">
        <v>40073</v>
      </c>
      <c r="Y7" s="6">
        <v>38322</v>
      </c>
      <c r="Z7" s="6">
        <v>37128</v>
      </c>
      <c r="AA7" s="6">
        <v>38507</v>
      </c>
      <c r="AB7" s="27">
        <v>37090</v>
      </c>
      <c r="AC7" s="27">
        <v>43811</v>
      </c>
      <c r="AD7" s="27">
        <v>43428</v>
      </c>
      <c r="AE7" s="33">
        <f t="shared" si="6"/>
        <v>539827</v>
      </c>
      <c r="AF7" s="33"/>
      <c r="AG7" s="38">
        <v>0.1034559</v>
      </c>
      <c r="AH7" s="33">
        <f t="shared" si="7"/>
        <v>55848.288129300003</v>
      </c>
      <c r="AI7" s="46">
        <f t="shared" si="8"/>
        <v>1.3446226047480614</v>
      </c>
      <c r="AJ7" s="46">
        <f t="shared" si="9"/>
        <v>268924.52094961226</v>
      </c>
      <c r="AK7" s="46">
        <f t="shared" si="10"/>
        <v>2599412.1258392441</v>
      </c>
      <c r="AL7" s="46">
        <f t="shared" si="2"/>
        <v>120855.50166763978</v>
      </c>
      <c r="AM7" s="46">
        <f t="shared" si="11"/>
        <v>10071.291805636649</v>
      </c>
      <c r="AN7" s="48">
        <v>516988</v>
      </c>
      <c r="AP7" s="74">
        <f>საპენსიო!D7</f>
        <v>84.567441860465109</v>
      </c>
      <c r="AQ7" s="74">
        <f>შშმპ!D5</f>
        <v>87.5</v>
      </c>
      <c r="AR7" s="9">
        <f t="shared" si="12"/>
        <v>86.033720930232562</v>
      </c>
      <c r="AS7" s="9">
        <f t="shared" si="13"/>
        <v>21.50843023255814</v>
      </c>
      <c r="AT7" s="9">
        <f t="shared" si="14"/>
        <v>258.10116279069769</v>
      </c>
      <c r="AU7" s="76">
        <f t="shared" si="3"/>
        <v>6009.1321682952866</v>
      </c>
      <c r="AV7" s="76">
        <f t="shared" si="15"/>
        <v>24036.528673181147</v>
      </c>
    </row>
    <row r="8" spans="1:48" ht="25.5" hidden="1" customHeight="1">
      <c r="A8" s="16">
        <v>6</v>
      </c>
      <c r="B8" s="16" t="s">
        <v>56</v>
      </c>
      <c r="C8" s="16" t="s">
        <v>57</v>
      </c>
      <c r="D8" s="19" t="s">
        <v>52</v>
      </c>
      <c r="E8" s="78">
        <f t="shared" si="0"/>
        <v>3011.4</v>
      </c>
      <c r="F8" s="78">
        <f t="shared" si="1"/>
        <v>3165.375</v>
      </c>
      <c r="G8" s="78">
        <f t="shared" si="4"/>
        <v>8302.5</v>
      </c>
      <c r="H8" s="78">
        <f t="shared" si="5"/>
        <v>10258.5</v>
      </c>
      <c r="I8" s="6">
        <v>0</v>
      </c>
      <c r="J8" s="6">
        <v>2759</v>
      </c>
      <c r="K8" s="6">
        <v>3999</v>
      </c>
      <c r="L8" s="6">
        <f>2385</f>
        <v>2385</v>
      </c>
      <c r="M8" s="6">
        <v>2844</v>
      </c>
      <c r="N8" s="6">
        <f>3070</f>
        <v>3070</v>
      </c>
      <c r="O8" s="6">
        <v>2441</v>
      </c>
      <c r="P8" s="6">
        <v>2913</v>
      </c>
      <c r="Q8" s="6">
        <v>3614</v>
      </c>
      <c r="R8" s="6">
        <v>3529</v>
      </c>
      <c r="S8" s="6">
        <v>3254</v>
      </c>
      <c r="T8" s="6">
        <v>3147</v>
      </c>
      <c r="U8" s="6">
        <v>3592</v>
      </c>
      <c r="V8" s="6">
        <v>2833</v>
      </c>
      <c r="W8" s="6">
        <v>8669</v>
      </c>
      <c r="X8" s="6">
        <v>7654</v>
      </c>
      <c r="Y8" s="6">
        <v>7780</v>
      </c>
      <c r="Z8" s="6">
        <v>9107</v>
      </c>
      <c r="AA8" s="6">
        <v>9951</v>
      </c>
      <c r="AB8" s="27">
        <v>10209</v>
      </c>
      <c r="AC8" s="27">
        <v>10994</v>
      </c>
      <c r="AD8" s="27">
        <v>9880</v>
      </c>
      <c r="AE8" s="33">
        <f t="shared" si="6"/>
        <v>114624</v>
      </c>
      <c r="AF8" s="33"/>
      <c r="AG8" s="37">
        <v>0.188</v>
      </c>
      <c r="AH8" s="33">
        <f t="shared" si="7"/>
        <v>21549.312000000002</v>
      </c>
      <c r="AI8" s="46">
        <f t="shared" si="8"/>
        <v>0.51882865173743753</v>
      </c>
      <c r="AJ8" s="46">
        <f t="shared" si="9"/>
        <v>103765.73034748749</v>
      </c>
      <c r="AK8" s="46">
        <f t="shared" si="10"/>
        <v>551945.37418876321</v>
      </c>
      <c r="AL8" s="46">
        <f t="shared" si="2"/>
        <v>22825.255630135849</v>
      </c>
      <c r="AM8" s="46">
        <f t="shared" si="11"/>
        <v>1902.104635844654</v>
      </c>
      <c r="AN8" s="48">
        <v>27649</v>
      </c>
      <c r="AP8" s="74">
        <f>საპენსიო!D15</f>
        <v>77.575757575757578</v>
      </c>
      <c r="AQ8" s="74">
        <f>შშმპ!D15</f>
        <v>115.875</v>
      </c>
      <c r="AR8" s="9">
        <f t="shared" si="12"/>
        <v>96.725378787878782</v>
      </c>
      <c r="AS8" s="9">
        <f t="shared" si="13"/>
        <v>24.181344696969695</v>
      </c>
      <c r="AT8" s="9">
        <f t="shared" si="14"/>
        <v>290.17613636363637</v>
      </c>
      <c r="AU8" s="76">
        <f t="shared" si="3"/>
        <v>285.85052182256078</v>
      </c>
      <c r="AV8" s="76">
        <f t="shared" si="15"/>
        <v>1143.4020872902431</v>
      </c>
    </row>
    <row r="9" spans="1:48" ht="24.75" hidden="1" customHeight="1">
      <c r="A9" s="16">
        <v>7</v>
      </c>
      <c r="B9" s="16" t="s">
        <v>58</v>
      </c>
      <c r="C9" s="16" t="s">
        <v>59</v>
      </c>
      <c r="D9" s="19" t="s">
        <v>60</v>
      </c>
      <c r="E9" s="78">
        <f t="shared" si="0"/>
        <v>20840.8</v>
      </c>
      <c r="F9" s="78">
        <f t="shared" si="1"/>
        <v>29990.375</v>
      </c>
      <c r="G9" s="78">
        <f t="shared" si="4"/>
        <v>66727.75</v>
      </c>
      <c r="H9" s="78">
        <f t="shared" si="5"/>
        <v>75478</v>
      </c>
      <c r="I9" s="6">
        <v>56943</v>
      </c>
      <c r="J9" s="6">
        <v>22075</v>
      </c>
      <c r="K9" s="6">
        <v>12111</v>
      </c>
      <c r="L9" s="6">
        <f>26890</f>
        <v>26890</v>
      </c>
      <c r="M9" s="6">
        <v>24446</v>
      </c>
      <c r="N9" s="6">
        <f>18682</f>
        <v>18682</v>
      </c>
      <c r="O9" s="6">
        <v>27577</v>
      </c>
      <c r="P9" s="6">
        <v>31298</v>
      </c>
      <c r="Q9" s="6">
        <v>24233</v>
      </c>
      <c r="R9" s="6">
        <v>30732</v>
      </c>
      <c r="S9" s="6">
        <v>32988</v>
      </c>
      <c r="T9" s="6">
        <v>26408</v>
      </c>
      <c r="U9" s="6">
        <v>34308</v>
      </c>
      <c r="V9" s="6">
        <v>32379</v>
      </c>
      <c r="W9" s="6">
        <v>57431</v>
      </c>
      <c r="X9" s="6">
        <v>72802</v>
      </c>
      <c r="Y9" s="6">
        <v>68970</v>
      </c>
      <c r="Z9" s="6">
        <v>67708</v>
      </c>
      <c r="AA9" s="6">
        <v>74700</v>
      </c>
      <c r="AB9" s="28">
        <v>74139</v>
      </c>
      <c r="AC9" s="28">
        <v>76518</v>
      </c>
      <c r="AD9" s="28">
        <v>76555</v>
      </c>
      <c r="AE9" s="33">
        <f t="shared" si="6"/>
        <v>969893</v>
      </c>
      <c r="AF9" s="33"/>
      <c r="AG9" s="37">
        <v>6.6000000000000003E-2</v>
      </c>
      <c r="AH9" s="33">
        <f t="shared" si="7"/>
        <v>64012.938000000002</v>
      </c>
      <c r="AI9" s="46">
        <f t="shared" si="8"/>
        <v>1.5411975248347687</v>
      </c>
      <c r="AJ9" s="46">
        <f t="shared" si="9"/>
        <v>308239.50496695371</v>
      </c>
      <c r="AK9" s="46">
        <f t="shared" si="10"/>
        <v>4670295.5298023289</v>
      </c>
      <c r="AL9" s="46">
        <f t="shared" si="2"/>
        <v>152330.37571742694</v>
      </c>
      <c r="AM9" s="46">
        <f t="shared" si="11"/>
        <v>12694.197976452246</v>
      </c>
      <c r="AN9" s="48">
        <v>1682441</v>
      </c>
      <c r="AP9" s="74">
        <f>საპენსიო!D8</f>
        <v>117.69565217391305</v>
      </c>
      <c r="AQ9" s="74">
        <f>შშმპ!D11</f>
        <v>127.57627118644068</v>
      </c>
      <c r="AR9" s="9">
        <f t="shared" si="12"/>
        <v>122.63596168017686</v>
      </c>
      <c r="AS9" s="9">
        <f t="shared" si="13"/>
        <v>30.658990420044216</v>
      </c>
      <c r="AT9" s="9">
        <f t="shared" si="14"/>
        <v>367.90788504053057</v>
      </c>
      <c r="AU9" s="76">
        <f t="shared" si="3"/>
        <v>13718.985662522458</v>
      </c>
      <c r="AV9" s="76">
        <f t="shared" si="15"/>
        <v>54875.942650089833</v>
      </c>
    </row>
    <row r="10" spans="1:48" ht="25.5" hidden="1" customHeight="1">
      <c r="A10" s="16">
        <v>8</v>
      </c>
      <c r="B10" s="16" t="s">
        <v>61</v>
      </c>
      <c r="C10" s="16" t="s">
        <v>62</v>
      </c>
      <c r="D10" s="20" t="s">
        <v>63</v>
      </c>
      <c r="E10" s="78">
        <f t="shared" si="0"/>
        <v>32143.4</v>
      </c>
      <c r="F10" s="78">
        <f t="shared" si="1"/>
        <v>38286.375</v>
      </c>
      <c r="G10" s="78">
        <f t="shared" si="4"/>
        <v>70734.5</v>
      </c>
      <c r="H10" s="78">
        <f t="shared" si="5"/>
        <v>79779</v>
      </c>
      <c r="I10" s="6">
        <v>37254</v>
      </c>
      <c r="J10" s="6">
        <v>49150</v>
      </c>
      <c r="K10" s="6">
        <f>668+13686+92+5642</f>
        <v>20088</v>
      </c>
      <c r="L10" s="6">
        <f>1102+11045+1028+18908</f>
        <v>32083</v>
      </c>
      <c r="M10" s="6">
        <v>34438</v>
      </c>
      <c r="N10" s="6">
        <f>1174+18698+5086</f>
        <v>24958</v>
      </c>
      <c r="O10" s="6">
        <v>30837</v>
      </c>
      <c r="P10" s="6">
        <v>39593</v>
      </c>
      <c r="Q10" s="6">
        <v>35795</v>
      </c>
      <c r="R10" s="6">
        <v>32955</v>
      </c>
      <c r="S10" s="6">
        <v>48160</v>
      </c>
      <c r="T10" s="6">
        <v>37230</v>
      </c>
      <c r="U10" s="6">
        <v>39410</v>
      </c>
      <c r="V10" s="6">
        <v>42311</v>
      </c>
      <c r="W10" s="6">
        <v>66372</v>
      </c>
      <c r="X10" s="6">
        <v>80964</v>
      </c>
      <c r="Y10" s="6">
        <v>75701</v>
      </c>
      <c r="Z10" s="6">
        <v>59901</v>
      </c>
      <c r="AA10" s="6">
        <v>72905</v>
      </c>
      <c r="AB10" s="27">
        <v>81999</v>
      </c>
      <c r="AC10" s="27">
        <v>83146</v>
      </c>
      <c r="AD10" s="27">
        <v>81066</v>
      </c>
      <c r="AE10" s="33">
        <f t="shared" si="6"/>
        <v>1106316</v>
      </c>
      <c r="AF10" s="33"/>
      <c r="AG10" s="37">
        <v>0.155</v>
      </c>
      <c r="AH10" s="33">
        <f t="shared" si="7"/>
        <v>171478.98</v>
      </c>
      <c r="AI10" s="46">
        <f t="shared" si="8"/>
        <v>4.1285869356159033</v>
      </c>
      <c r="AJ10" s="46">
        <f t="shared" si="9"/>
        <v>825717.38712318067</v>
      </c>
      <c r="AK10" s="46">
        <f t="shared" si="10"/>
        <v>5327208.949181811</v>
      </c>
      <c r="AL10" s="46">
        <f t="shared" si="2"/>
        <v>267282.54940084589</v>
      </c>
      <c r="AM10" s="46">
        <f t="shared" si="11"/>
        <v>22273.545783403824</v>
      </c>
      <c r="AN10" s="48">
        <v>124143</v>
      </c>
      <c r="AP10" s="74">
        <f>საპენსიო!D14</f>
        <v>77.405156537753228</v>
      </c>
      <c r="AQ10" s="74">
        <f>შშმპ!D14</f>
        <v>82.042857142857144</v>
      </c>
      <c r="AR10" s="9">
        <f t="shared" si="12"/>
        <v>79.724006840305179</v>
      </c>
      <c r="AS10" s="9">
        <f t="shared" si="13"/>
        <v>19.931001710076295</v>
      </c>
      <c r="AT10" s="9">
        <f t="shared" si="14"/>
        <v>239.17202052091554</v>
      </c>
      <c r="AU10" s="76">
        <f t="shared" si="3"/>
        <v>1557.1595673643237</v>
      </c>
      <c r="AV10" s="76">
        <f t="shared" si="15"/>
        <v>6228.6382694572949</v>
      </c>
    </row>
    <row r="11" spans="1:48" ht="40.5" hidden="1" customHeight="1">
      <c r="A11" s="16">
        <v>9</v>
      </c>
      <c r="B11" s="16" t="s">
        <v>64</v>
      </c>
      <c r="C11" s="16" t="s">
        <v>65</v>
      </c>
      <c r="D11" s="20" t="s">
        <v>66</v>
      </c>
      <c r="E11" s="78">
        <f t="shared" si="0"/>
        <v>15407.6</v>
      </c>
      <c r="F11" s="78">
        <f t="shared" si="1"/>
        <v>17747.875</v>
      </c>
      <c r="G11" s="78">
        <f t="shared" si="4"/>
        <v>32779.25</v>
      </c>
      <c r="H11" s="78">
        <f t="shared" si="5"/>
        <v>34241.25</v>
      </c>
      <c r="I11" s="6">
        <v>39979</v>
      </c>
      <c r="J11" s="6">
        <f>2529+14404+837+2536</f>
        <v>20306</v>
      </c>
      <c r="K11" s="6">
        <f>1774+7298+1212+1147</f>
        <v>11431</v>
      </c>
      <c r="L11" s="6">
        <f>2120+11319+1962+1944</f>
        <v>17345</v>
      </c>
      <c r="M11" s="6">
        <v>15502</v>
      </c>
      <c r="N11" s="6">
        <f>1800+7254+2436+964</f>
        <v>12454</v>
      </c>
      <c r="O11" s="6">
        <v>17248</v>
      </c>
      <c r="P11" s="6">
        <v>20487</v>
      </c>
      <c r="Q11" s="6">
        <v>14079</v>
      </c>
      <c r="R11" s="6">
        <v>18864</v>
      </c>
      <c r="S11" s="6">
        <v>19832</v>
      </c>
      <c r="T11" s="6">
        <v>13412</v>
      </c>
      <c r="U11" s="6">
        <v>19005</v>
      </c>
      <c r="V11" s="6">
        <v>19056</v>
      </c>
      <c r="W11" s="6">
        <v>32198</v>
      </c>
      <c r="X11" s="6">
        <v>38592</v>
      </c>
      <c r="Y11" s="6">
        <v>33194</v>
      </c>
      <c r="Z11" s="6">
        <v>27133</v>
      </c>
      <c r="AA11" s="6">
        <v>34869</v>
      </c>
      <c r="AB11" s="27">
        <v>37403</v>
      </c>
      <c r="AC11" s="27">
        <v>32044</v>
      </c>
      <c r="AD11" s="27">
        <v>32649</v>
      </c>
      <c r="AE11" s="33">
        <f t="shared" si="6"/>
        <v>527082</v>
      </c>
      <c r="AF11" s="33"/>
      <c r="AG11" s="37">
        <v>2.9399999999999999E-2</v>
      </c>
      <c r="AH11" s="33">
        <f t="shared" si="7"/>
        <v>15496.210799999999</v>
      </c>
      <c r="AI11" s="46">
        <f t="shared" si="8"/>
        <v>0.37309210411929239</v>
      </c>
      <c r="AJ11" s="46">
        <f t="shared" si="9"/>
        <v>74618.420823858469</v>
      </c>
      <c r="AK11" s="46">
        <f t="shared" si="10"/>
        <v>2538041.5246210364</v>
      </c>
      <c r="AL11" s="46">
        <f t="shared" si="2"/>
        <v>134337.65085347873</v>
      </c>
      <c r="AM11" s="46">
        <f t="shared" si="11"/>
        <v>11194.804237789895</v>
      </c>
      <c r="AN11" s="48">
        <v>121039</v>
      </c>
      <c r="AP11" s="74">
        <f>საპენსიო!D9</f>
        <v>70.788461538461533</v>
      </c>
      <c r="AQ11" s="74">
        <f>შშმპ!D17</f>
        <v>80.355555555555554</v>
      </c>
      <c r="AR11" s="9">
        <f t="shared" si="12"/>
        <v>75.572008547008551</v>
      </c>
      <c r="AS11" s="9">
        <f t="shared" si="13"/>
        <v>18.893002136752138</v>
      </c>
      <c r="AT11" s="9">
        <f t="shared" si="14"/>
        <v>226.71602564102565</v>
      </c>
      <c r="AU11" s="76">
        <f t="shared" si="3"/>
        <v>1601.6379917269146</v>
      </c>
      <c r="AV11" s="76">
        <f t="shared" si="15"/>
        <v>6406.5519669076584</v>
      </c>
    </row>
    <row r="12" spans="1:48" ht="37.5" hidden="1" customHeight="1">
      <c r="A12" s="16">
        <v>10</v>
      </c>
      <c r="B12" s="16" t="s">
        <v>67</v>
      </c>
      <c r="C12" s="16" t="s">
        <v>67</v>
      </c>
      <c r="D12" s="15" t="s">
        <v>68</v>
      </c>
      <c r="E12" s="78">
        <f t="shared" si="0"/>
        <v>8689.4</v>
      </c>
      <c r="F12" s="78">
        <f t="shared" si="1"/>
        <v>13555.5</v>
      </c>
      <c r="G12" s="78">
        <f t="shared" si="4"/>
        <v>24737.25</v>
      </c>
      <c r="H12" s="78">
        <f t="shared" si="5"/>
        <v>28414</v>
      </c>
      <c r="I12" s="6">
        <v>0</v>
      </c>
      <c r="J12" s="6">
        <v>0</v>
      </c>
      <c r="K12" s="6">
        <v>7868</v>
      </c>
      <c r="L12" s="6">
        <f>14375</f>
        <v>14375</v>
      </c>
      <c r="M12" s="6">
        <v>11156</v>
      </c>
      <c r="N12" s="6">
        <f>10048</f>
        <v>10048</v>
      </c>
      <c r="O12" s="6">
        <v>12392</v>
      </c>
      <c r="P12" s="6">
        <v>14103</v>
      </c>
      <c r="Q12" s="6">
        <v>13297</v>
      </c>
      <c r="R12" s="6">
        <v>12604</v>
      </c>
      <c r="S12" s="6">
        <v>14359</v>
      </c>
      <c r="T12" s="6">
        <v>12716</v>
      </c>
      <c r="U12" s="6">
        <v>14051</v>
      </c>
      <c r="V12" s="6">
        <v>14922</v>
      </c>
      <c r="W12" s="6">
        <v>22164</v>
      </c>
      <c r="X12" s="6">
        <v>27374</v>
      </c>
      <c r="Y12" s="6">
        <v>25245</v>
      </c>
      <c r="Z12" s="6">
        <v>24166</v>
      </c>
      <c r="AA12" s="6">
        <v>27361</v>
      </c>
      <c r="AB12" s="27">
        <v>28311</v>
      </c>
      <c r="AC12" s="27">
        <v>29744</v>
      </c>
      <c r="AD12" s="27">
        <v>28240</v>
      </c>
      <c r="AE12" s="33">
        <f t="shared" si="6"/>
        <v>364496</v>
      </c>
      <c r="AF12" s="33"/>
      <c r="AG12" s="36">
        <v>6.1499999999999999E-2</v>
      </c>
      <c r="AH12" s="33">
        <f t="shared" si="7"/>
        <v>22416.504000000001</v>
      </c>
      <c r="AI12" s="46">
        <f t="shared" si="8"/>
        <v>0.5397074647667115</v>
      </c>
      <c r="AJ12" s="46">
        <f t="shared" si="9"/>
        <v>107941.4929533423</v>
      </c>
      <c r="AK12" s="46">
        <f t="shared" si="10"/>
        <v>1755146.2268836147</v>
      </c>
      <c r="AL12" s="46">
        <f t="shared" si="2"/>
        <v>177680.03416618693</v>
      </c>
      <c r="AM12" s="46">
        <f t="shared" si="11"/>
        <v>14806.669513848912</v>
      </c>
      <c r="AN12" s="48">
        <v>845871</v>
      </c>
      <c r="AP12" s="74">
        <f>საპენსიო!D16</f>
        <v>39.715504978662871</v>
      </c>
      <c r="AQ12" s="74">
        <f>შშმპ!D13</f>
        <v>39.30952380952381</v>
      </c>
      <c r="AR12" s="9">
        <f t="shared" si="12"/>
        <v>39.512514394093344</v>
      </c>
      <c r="AS12" s="9">
        <f t="shared" si="13"/>
        <v>9.878128598523336</v>
      </c>
      <c r="AT12" s="9">
        <f t="shared" si="14"/>
        <v>118.53754318228003</v>
      </c>
      <c r="AU12" s="76">
        <f t="shared" si="3"/>
        <v>21407.673314924443</v>
      </c>
      <c r="AV12" s="76">
        <f t="shared" si="15"/>
        <v>85630.693259697771</v>
      </c>
    </row>
    <row r="13" spans="1:48" ht="51" hidden="1" customHeight="1">
      <c r="A13" s="16">
        <v>11</v>
      </c>
      <c r="B13" s="16" t="s">
        <v>69</v>
      </c>
      <c r="C13" s="16" t="s">
        <v>70</v>
      </c>
      <c r="D13" s="15" t="s">
        <v>71</v>
      </c>
      <c r="E13" s="78">
        <f t="shared" si="0"/>
        <v>44384.4</v>
      </c>
      <c r="F13" s="78">
        <f t="shared" si="1"/>
        <v>58376</v>
      </c>
      <c r="G13" s="78">
        <f t="shared" si="4"/>
        <v>107546.25</v>
      </c>
      <c r="H13" s="78">
        <f t="shared" si="5"/>
        <v>119633.25</v>
      </c>
      <c r="I13" s="6">
        <v>116872</v>
      </c>
      <c r="J13" s="6">
        <v>54518</v>
      </c>
      <c r="K13" s="6">
        <f>368+9138+18725</f>
        <v>28231</v>
      </c>
      <c r="L13" s="6">
        <f>504+13261+39087</f>
        <v>52852</v>
      </c>
      <c r="M13" s="6">
        <v>49931</v>
      </c>
      <c r="N13" s="6">
        <f>10476+25914</f>
        <v>36390</v>
      </c>
      <c r="O13" s="6">
        <v>53175</v>
      </c>
      <c r="P13" s="6">
        <v>16046</v>
      </c>
      <c r="Q13" s="6">
        <v>97151</v>
      </c>
      <c r="R13" s="6">
        <v>57469</v>
      </c>
      <c r="S13" s="6">
        <v>66296</v>
      </c>
      <c r="T13" s="6">
        <v>51563</v>
      </c>
      <c r="U13" s="6">
        <v>64649</v>
      </c>
      <c r="V13" s="6">
        <v>60659</v>
      </c>
      <c r="W13" s="6">
        <v>97657</v>
      </c>
      <c r="X13" s="6">
        <v>118246</v>
      </c>
      <c r="Y13" s="6">
        <v>107252</v>
      </c>
      <c r="Z13" s="6">
        <v>107030</v>
      </c>
      <c r="AA13" s="6">
        <v>117604</v>
      </c>
      <c r="AB13" s="27">
        <v>114148</v>
      </c>
      <c r="AC13" s="27">
        <v>124387</v>
      </c>
      <c r="AD13" s="27">
        <v>122394</v>
      </c>
      <c r="AE13" s="33">
        <f t="shared" si="6"/>
        <v>1714520</v>
      </c>
      <c r="AF13" s="33"/>
      <c r="AG13" s="36">
        <v>0.1205</v>
      </c>
      <c r="AH13" s="33">
        <f t="shared" si="7"/>
        <v>206599.66</v>
      </c>
      <c r="AI13" s="46">
        <f t="shared" si="8"/>
        <v>4.9741645138003934</v>
      </c>
      <c r="AJ13" s="46">
        <f t="shared" si="9"/>
        <v>994832.90276007866</v>
      </c>
      <c r="AK13" s="46">
        <f t="shared" si="10"/>
        <v>8255874.7117018979</v>
      </c>
      <c r="AL13" s="46">
        <f t="shared" si="2"/>
        <v>335127.09448478837</v>
      </c>
      <c r="AM13" s="46">
        <f t="shared" si="11"/>
        <v>27927.257873732367</v>
      </c>
      <c r="AN13" s="48">
        <v>759525</v>
      </c>
      <c r="AP13" s="74">
        <f>საპენსიო!D10</f>
        <v>93.378066378066379</v>
      </c>
      <c r="AQ13" s="74">
        <f>შშმპ!D12</f>
        <v>103.70238095238095</v>
      </c>
      <c r="AR13" s="9">
        <f t="shared" si="12"/>
        <v>98.540223665223664</v>
      </c>
      <c r="AS13" s="9">
        <f t="shared" si="13"/>
        <v>24.635055916305916</v>
      </c>
      <c r="AT13" s="9">
        <f t="shared" si="14"/>
        <v>295.62067099567099</v>
      </c>
      <c r="AU13" s="76">
        <f t="shared" si="3"/>
        <v>7707.7661461412727</v>
      </c>
      <c r="AV13" s="76">
        <f t="shared" si="15"/>
        <v>30831.064584565091</v>
      </c>
    </row>
    <row r="14" spans="1:48" ht="46.5" hidden="1" customHeight="1">
      <c r="A14" s="16">
        <v>12</v>
      </c>
      <c r="B14" s="16" t="s">
        <v>72</v>
      </c>
      <c r="C14" s="16" t="s">
        <v>73</v>
      </c>
      <c r="D14" s="20" t="s">
        <v>74</v>
      </c>
      <c r="E14" s="78">
        <f t="shared" si="0"/>
        <v>48634.2</v>
      </c>
      <c r="F14" s="78">
        <f t="shared" si="1"/>
        <v>66894.25</v>
      </c>
      <c r="G14" s="78">
        <f t="shared" si="4"/>
        <v>100176.75</v>
      </c>
      <c r="H14" s="78">
        <f t="shared" si="5"/>
        <v>128898.75</v>
      </c>
      <c r="I14" s="6">
        <v>70352</v>
      </c>
      <c r="J14" s="6">
        <f>57648</f>
        <v>57648</v>
      </c>
      <c r="K14" s="6">
        <f>32988</f>
        <v>32988</v>
      </c>
      <c r="L14" s="6">
        <f>52491</f>
        <v>52491</v>
      </c>
      <c r="M14" s="6">
        <v>57398</v>
      </c>
      <c r="N14" s="6">
        <f>42646</f>
        <v>42646</v>
      </c>
      <c r="O14" s="6">
        <v>55777</v>
      </c>
      <c r="P14" s="6">
        <v>67473</v>
      </c>
      <c r="Q14" s="6">
        <v>63449</v>
      </c>
      <c r="R14" s="6">
        <v>61564</v>
      </c>
      <c r="S14" s="6">
        <v>82603</v>
      </c>
      <c r="T14" s="6">
        <v>62189</v>
      </c>
      <c r="U14" s="6">
        <v>68137</v>
      </c>
      <c r="V14" s="6">
        <v>73962</v>
      </c>
      <c r="W14" s="6">
        <v>131382</v>
      </c>
      <c r="X14" s="6">
        <v>164451</v>
      </c>
      <c r="Y14" s="6">
        <v>89377</v>
      </c>
      <c r="Z14" s="6">
        <v>15497</v>
      </c>
      <c r="AA14" s="6">
        <v>88710</v>
      </c>
      <c r="AB14" s="27">
        <v>128733</v>
      </c>
      <c r="AC14" s="27">
        <v>149378</v>
      </c>
      <c r="AD14" s="27">
        <v>148774</v>
      </c>
      <c r="AE14" s="33">
        <f t="shared" si="6"/>
        <v>1764979</v>
      </c>
      <c r="AF14" s="33"/>
      <c r="AG14" s="39">
        <v>0.09</v>
      </c>
      <c r="AH14" s="33">
        <f t="shared" si="7"/>
        <v>158848.10999999999</v>
      </c>
      <c r="AI14" s="46">
        <f t="shared" si="8"/>
        <v>3.8244817626818044</v>
      </c>
      <c r="AJ14" s="46">
        <f t="shared" si="9"/>
        <v>764896.35253636097</v>
      </c>
      <c r="AK14" s="46">
        <f t="shared" si="10"/>
        <v>8498848.3615151215</v>
      </c>
      <c r="AL14" s="46">
        <f t="shared" si="2"/>
        <v>467190.50322795869</v>
      </c>
      <c r="AM14" s="46">
        <f t="shared" si="11"/>
        <v>38932.541935663226</v>
      </c>
      <c r="AN14" s="48">
        <v>156923</v>
      </c>
      <c r="AP14" s="74">
        <f>საპენსიო!D12</f>
        <v>70.693345742205679</v>
      </c>
      <c r="AQ14" s="74">
        <f>შშმპ!D7</f>
        <v>74.837837837837839</v>
      </c>
      <c r="AR14" s="9">
        <f t="shared" si="12"/>
        <v>72.765591790021759</v>
      </c>
      <c r="AS14" s="9">
        <f t="shared" si="13"/>
        <v>18.19139794750544</v>
      </c>
      <c r="AT14" s="9">
        <f t="shared" si="14"/>
        <v>218.29677537006529</v>
      </c>
      <c r="AU14" s="76">
        <f t="shared" si="3"/>
        <v>2156.5549889682698</v>
      </c>
      <c r="AV14" s="76">
        <f t="shared" si="15"/>
        <v>8626.219955873079</v>
      </c>
    </row>
    <row r="15" spans="1:48" ht="46.5" hidden="1" customHeight="1">
      <c r="A15" s="16">
        <v>13</v>
      </c>
      <c r="B15" s="16" t="s">
        <v>75</v>
      </c>
      <c r="C15" s="16" t="s">
        <v>75</v>
      </c>
      <c r="D15" s="20" t="s">
        <v>76</v>
      </c>
      <c r="E15" s="78"/>
      <c r="F15" s="78"/>
      <c r="G15" s="78">
        <f t="shared" si="4"/>
        <v>99656.5</v>
      </c>
      <c r="H15" s="78">
        <f t="shared" si="5"/>
        <v>67065.75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>
        <v>0</v>
      </c>
      <c r="Z15" s="6">
        <v>199313</v>
      </c>
      <c r="AA15" s="6">
        <v>138489</v>
      </c>
      <c r="AB15" s="27">
        <v>43957</v>
      </c>
      <c r="AC15" s="27">
        <v>53947</v>
      </c>
      <c r="AD15" s="27">
        <v>31870</v>
      </c>
      <c r="AE15" s="33">
        <f t="shared" si="6"/>
        <v>467576</v>
      </c>
      <c r="AF15" s="33"/>
      <c r="AG15" s="39">
        <v>0.105</v>
      </c>
      <c r="AH15" s="33">
        <f t="shared" si="7"/>
        <v>49095.479999999996</v>
      </c>
      <c r="AI15" s="46">
        <f t="shared" si="8"/>
        <v>1.1820396723014788</v>
      </c>
      <c r="AJ15" s="46">
        <f t="shared" si="9"/>
        <v>236407.93446029574</v>
      </c>
      <c r="AK15" s="46">
        <f t="shared" si="10"/>
        <v>2251504.1377171022</v>
      </c>
      <c r="AL15" s="46">
        <f t="shared" si="2"/>
        <v>91686.631625454684</v>
      </c>
      <c r="AM15" s="46">
        <f t="shared" si="11"/>
        <v>7640.5526354545582</v>
      </c>
      <c r="AN15" s="48">
        <v>1735389</v>
      </c>
      <c r="AP15" s="74">
        <f>საპენსიო!D11</f>
        <v>97.300604229607245</v>
      </c>
      <c r="AQ15" s="74">
        <f>შშმპ!D6</f>
        <v>99.151515151515156</v>
      </c>
      <c r="AR15" s="9">
        <f t="shared" si="12"/>
        <v>98.2260596905612</v>
      </c>
      <c r="AS15" s="9">
        <f t="shared" si="13"/>
        <v>24.5565149226403</v>
      </c>
      <c r="AT15" s="9">
        <f t="shared" si="14"/>
        <v>294.67817907168359</v>
      </c>
      <c r="AU15" s="76">
        <f t="shared" si="3"/>
        <v>17667.297308544668</v>
      </c>
      <c r="AV15" s="76">
        <f t="shared" si="15"/>
        <v>70669.189234178673</v>
      </c>
    </row>
    <row r="16" spans="1:48" ht="46.5" hidden="1" customHeight="1">
      <c r="A16" s="16">
        <v>14</v>
      </c>
      <c r="B16" s="16" t="s">
        <v>77</v>
      </c>
      <c r="C16" s="16" t="s">
        <v>78</v>
      </c>
      <c r="D16" s="20" t="s">
        <v>79</v>
      </c>
      <c r="E16" s="78"/>
      <c r="F16" s="78"/>
      <c r="G16" s="78">
        <f t="shared" si="4"/>
        <v>5203.5</v>
      </c>
      <c r="H16" s="78">
        <f t="shared" si="5"/>
        <v>13615.75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>
        <v>0</v>
      </c>
      <c r="Z16" s="6">
        <v>10407</v>
      </c>
      <c r="AA16" s="6">
        <v>11936</v>
      </c>
      <c r="AB16" s="27">
        <v>13690</v>
      </c>
      <c r="AC16" s="27">
        <v>14570</v>
      </c>
      <c r="AD16" s="27">
        <v>14267</v>
      </c>
      <c r="AE16" s="33">
        <f t="shared" si="6"/>
        <v>64870</v>
      </c>
      <c r="AF16" s="33"/>
      <c r="AG16" s="40">
        <v>0.23400000000000001</v>
      </c>
      <c r="AH16" s="33">
        <f t="shared" si="7"/>
        <v>15179.580000000002</v>
      </c>
      <c r="AI16" s="46">
        <f t="shared" si="8"/>
        <v>0.36546879201250471</v>
      </c>
      <c r="AJ16" s="46">
        <f t="shared" si="9"/>
        <v>73093.758402500942</v>
      </c>
      <c r="AK16" s="46">
        <f t="shared" si="10"/>
        <v>312366.48889957665</v>
      </c>
      <c r="AL16" s="46">
        <f t="shared" si="2"/>
        <v>35627.122790332658</v>
      </c>
      <c r="AM16" s="46">
        <f t="shared" si="11"/>
        <v>2968.9268991943882</v>
      </c>
      <c r="AN16" s="48">
        <v>408402</v>
      </c>
      <c r="AP16" s="74">
        <f>საპენსიო!D13</f>
        <v>37.95945945945946</v>
      </c>
      <c r="AQ16" s="74">
        <f>შშმპ!D8</f>
        <v>32.18181818181818</v>
      </c>
      <c r="AR16" s="9">
        <f t="shared" si="12"/>
        <v>35.07063882063882</v>
      </c>
      <c r="AS16" s="9">
        <f t="shared" si="13"/>
        <v>8.7676597051597049</v>
      </c>
      <c r="AT16" s="9">
        <f t="shared" si="14"/>
        <v>105.21191646191646</v>
      </c>
      <c r="AU16" s="76">
        <f t="shared" si="3"/>
        <v>11645.12577283475</v>
      </c>
      <c r="AV16" s="76">
        <f t="shared" si="15"/>
        <v>46580.503091339</v>
      </c>
    </row>
    <row r="17" spans="1:48" ht="46.5" hidden="1" customHeight="1">
      <c r="A17" s="16">
        <v>15</v>
      </c>
      <c r="B17" s="21" t="s">
        <v>80</v>
      </c>
      <c r="C17" s="16" t="s">
        <v>81</v>
      </c>
      <c r="D17" s="20" t="s">
        <v>68</v>
      </c>
      <c r="E17" s="78"/>
      <c r="F17" s="78"/>
      <c r="G17" s="78">
        <f t="shared" si="4"/>
        <v>0</v>
      </c>
      <c r="H17" s="78">
        <f t="shared" si="5"/>
        <v>22701.5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>
        <v>0</v>
      </c>
      <c r="AA17" s="6">
        <v>9963</v>
      </c>
      <c r="AB17" s="27">
        <v>21402</v>
      </c>
      <c r="AC17" s="27">
        <v>23577</v>
      </c>
      <c r="AD17" s="27">
        <v>35864</v>
      </c>
      <c r="AE17" s="33">
        <f t="shared" si="6"/>
        <v>90806</v>
      </c>
      <c r="AF17" s="33"/>
      <c r="AG17" s="39">
        <v>0.316</v>
      </c>
      <c r="AH17" s="33">
        <f t="shared" si="7"/>
        <v>28694.696</v>
      </c>
      <c r="AI17" s="46">
        <f t="shared" si="8"/>
        <v>0.6908633759488767</v>
      </c>
      <c r="AJ17" s="46">
        <f t="shared" si="9"/>
        <v>138172.67518977533</v>
      </c>
      <c r="AK17" s="46">
        <f t="shared" si="10"/>
        <v>437255.30123346625</v>
      </c>
      <c r="AL17" s="46">
        <f t="shared" si="2"/>
        <v>58300.706831128831</v>
      </c>
      <c r="AM17" s="46">
        <f t="shared" si="11"/>
        <v>4858.3922359274029</v>
      </c>
      <c r="AN17" s="48">
        <v>743338</v>
      </c>
      <c r="AP17" s="74"/>
      <c r="AQ17" s="74">
        <f>შშმპ!D28</f>
        <v>30</v>
      </c>
      <c r="AR17" s="9">
        <f t="shared" si="12"/>
        <v>30</v>
      </c>
      <c r="AS17" s="9">
        <f t="shared" si="13"/>
        <v>7.5</v>
      </c>
      <c r="AT17" s="9">
        <f t="shared" si="14"/>
        <v>90</v>
      </c>
      <c r="AU17" s="76">
        <f t="shared" si="3"/>
        <v>24777.933333333334</v>
      </c>
      <c r="AV17" s="76">
        <f t="shared" si="15"/>
        <v>99111.733333333337</v>
      </c>
    </row>
    <row r="18" spans="1:48" ht="46.5" hidden="1" customHeight="1">
      <c r="A18" s="16">
        <v>16</v>
      </c>
      <c r="B18" s="21" t="s">
        <v>82</v>
      </c>
      <c r="C18" s="16" t="s">
        <v>83</v>
      </c>
      <c r="D18" s="20" t="s">
        <v>68</v>
      </c>
      <c r="E18" s="78"/>
      <c r="F18" s="78"/>
      <c r="G18" s="78">
        <f t="shared" si="4"/>
        <v>92</v>
      </c>
      <c r="H18" s="78">
        <f t="shared" si="5"/>
        <v>41466.75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>
        <v>92</v>
      </c>
      <c r="AA18" s="6">
        <v>18621</v>
      </c>
      <c r="AB18" s="27">
        <v>37794</v>
      </c>
      <c r="AC18" s="27">
        <v>50309</v>
      </c>
      <c r="AD18" s="27">
        <v>59143</v>
      </c>
      <c r="AE18" s="33">
        <f t="shared" si="6"/>
        <v>165959</v>
      </c>
      <c r="AF18" s="33"/>
      <c r="AG18" s="39">
        <v>0.38</v>
      </c>
      <c r="AH18" s="33">
        <f t="shared" si="7"/>
        <v>63064.42</v>
      </c>
      <c r="AI18" s="46">
        <f t="shared" si="8"/>
        <v>1.5183606790417943</v>
      </c>
      <c r="AJ18" s="46">
        <f t="shared" si="9"/>
        <v>303672.13580835884</v>
      </c>
      <c r="AK18" s="46">
        <f t="shared" si="10"/>
        <v>799137.1994956811</v>
      </c>
      <c r="AN18" s="48">
        <v>851106</v>
      </c>
      <c r="AP18" s="74"/>
      <c r="AQ18" s="74"/>
      <c r="AR18" s="9"/>
      <c r="AS18" s="9">
        <f t="shared" si="13"/>
        <v>0</v>
      </c>
      <c r="AT18" s="9">
        <f t="shared" si="14"/>
        <v>0</v>
      </c>
      <c r="AU18" s="76"/>
    </row>
    <row r="19" spans="1:48" ht="46.5" hidden="1" customHeight="1">
      <c r="A19" s="16">
        <v>18</v>
      </c>
      <c r="B19" s="21" t="s">
        <v>84</v>
      </c>
      <c r="C19" s="16" t="s">
        <v>85</v>
      </c>
      <c r="D19" s="20" t="s">
        <v>86</v>
      </c>
      <c r="E19" s="78"/>
      <c r="F19" s="78"/>
      <c r="G19" s="78">
        <f t="shared" si="4"/>
        <v>14476</v>
      </c>
      <c r="H19" s="78">
        <f t="shared" si="5"/>
        <v>83265.75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>
        <v>14476</v>
      </c>
      <c r="AA19" s="6">
        <v>64466</v>
      </c>
      <c r="AB19" s="27">
        <v>102410</v>
      </c>
      <c r="AC19" s="27">
        <v>128627</v>
      </c>
      <c r="AD19" s="27">
        <v>37560</v>
      </c>
      <c r="AE19" s="33">
        <f t="shared" si="6"/>
        <v>347539</v>
      </c>
      <c r="AF19" s="33"/>
      <c r="AG19" s="36">
        <v>6.7500000000000004E-2</v>
      </c>
      <c r="AH19" s="33">
        <f t="shared" si="7"/>
        <v>23458.882500000003</v>
      </c>
      <c r="AI19" s="46">
        <f t="shared" si="8"/>
        <v>0.56480412825903525</v>
      </c>
      <c r="AJ19" s="46">
        <f t="shared" si="9"/>
        <v>112960.82565180706</v>
      </c>
      <c r="AK19" s="46">
        <f t="shared" si="10"/>
        <v>1673493.7133601045</v>
      </c>
      <c r="AN19" s="48">
        <v>1812679</v>
      </c>
      <c r="AP19" s="74"/>
      <c r="AQ19" s="74"/>
      <c r="AR19" s="9"/>
      <c r="AS19" s="9">
        <f t="shared" si="13"/>
        <v>0</v>
      </c>
      <c r="AT19" s="9">
        <f t="shared" si="14"/>
        <v>0</v>
      </c>
      <c r="AU19" s="76"/>
    </row>
    <row r="20" spans="1:48" ht="46.5" hidden="1" customHeight="1">
      <c r="A20" s="16">
        <v>19</v>
      </c>
      <c r="B20" s="21" t="s">
        <v>87</v>
      </c>
      <c r="C20" s="16" t="s">
        <v>88</v>
      </c>
      <c r="D20" s="20" t="s">
        <v>89</v>
      </c>
      <c r="E20" s="78"/>
      <c r="F20" s="78"/>
      <c r="G20" s="78">
        <f t="shared" si="4"/>
        <v>152</v>
      </c>
      <c r="H20" s="78">
        <f t="shared" si="5"/>
        <v>34770.75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>
        <v>152</v>
      </c>
      <c r="AA20" s="6">
        <v>19619</v>
      </c>
      <c r="AB20" s="27">
        <v>36603</v>
      </c>
      <c r="AC20" s="27">
        <v>40167</v>
      </c>
      <c r="AD20" s="27">
        <v>42694</v>
      </c>
      <c r="AE20" s="33">
        <f t="shared" si="6"/>
        <v>139235</v>
      </c>
      <c r="AF20" s="33"/>
      <c r="AG20" s="39">
        <v>0.06</v>
      </c>
      <c r="AH20" s="33">
        <f t="shared" si="7"/>
        <v>8354.1</v>
      </c>
      <c r="AI20" s="46">
        <f t="shared" si="8"/>
        <v>0.2011361865974991</v>
      </c>
      <c r="AJ20" s="46">
        <f t="shared" si="9"/>
        <v>40227.237319499822</v>
      </c>
      <c r="AK20" s="46">
        <f t="shared" si="10"/>
        <v>670453.95532499708</v>
      </c>
      <c r="AL20" s="46">
        <f t="shared" ref="AL20:AL31" si="16">AK20/AS20</f>
        <v>43964.193791803089</v>
      </c>
      <c r="AM20" s="46">
        <f t="shared" si="11"/>
        <v>3663.6828159835904</v>
      </c>
      <c r="AN20" s="48">
        <v>1501133</v>
      </c>
      <c r="AP20" s="74">
        <f>საპენსიო!D29</f>
        <v>61</v>
      </c>
      <c r="AQ20" s="74"/>
      <c r="AR20" s="9">
        <f t="shared" si="12"/>
        <v>61</v>
      </c>
      <c r="AS20" s="9">
        <f t="shared" si="13"/>
        <v>15.25</v>
      </c>
      <c r="AT20" s="9">
        <f t="shared" si="14"/>
        <v>183</v>
      </c>
      <c r="AU20" s="76">
        <f t="shared" ref="AU20:AU31" si="17">AN20/AR20</f>
        <v>24608.737704918032</v>
      </c>
    </row>
    <row r="21" spans="1:48" ht="46.5" hidden="1" customHeight="1">
      <c r="A21" s="16">
        <v>20</v>
      </c>
      <c r="B21" s="21" t="s">
        <v>90</v>
      </c>
      <c r="C21" s="21" t="s">
        <v>91</v>
      </c>
      <c r="D21" s="20" t="s">
        <v>86</v>
      </c>
      <c r="E21" s="78"/>
      <c r="F21" s="78"/>
      <c r="G21" s="78">
        <f t="shared" si="4"/>
        <v>5620</v>
      </c>
      <c r="H21" s="78">
        <f t="shared" si="5"/>
        <v>35194.75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>
        <v>5620</v>
      </c>
      <c r="AA21" s="6">
        <v>23666</v>
      </c>
      <c r="AB21" s="27">
        <v>35141</v>
      </c>
      <c r="AC21" s="27">
        <v>40081</v>
      </c>
      <c r="AD21" s="27">
        <v>41891</v>
      </c>
      <c r="AE21" s="33">
        <f t="shared" si="6"/>
        <v>146399</v>
      </c>
      <c r="AF21" s="33"/>
      <c r="AG21" s="40">
        <v>0.14899999999999999</v>
      </c>
      <c r="AH21" s="33">
        <f t="shared" si="7"/>
        <v>21813.450999999997</v>
      </c>
      <c r="AI21" s="46">
        <f t="shared" si="8"/>
        <v>0.525188153202787</v>
      </c>
      <c r="AJ21" s="46">
        <f t="shared" si="9"/>
        <v>105037.63064055741</v>
      </c>
      <c r="AK21" s="46">
        <f t="shared" si="10"/>
        <v>704950.54121179471</v>
      </c>
      <c r="AL21" s="46">
        <f t="shared" si="16"/>
        <v>60842.20438674411</v>
      </c>
      <c r="AM21" s="46">
        <f t="shared" si="11"/>
        <v>5070.1836988953419</v>
      </c>
      <c r="AN21" s="48">
        <v>1800628</v>
      </c>
      <c r="AP21" s="74">
        <f>საპენსიო!D35</f>
        <v>54.692307692307693</v>
      </c>
      <c r="AQ21" s="74">
        <f>შშმპ!D36</f>
        <v>38</v>
      </c>
      <c r="AR21" s="9">
        <f t="shared" si="12"/>
        <v>46.346153846153847</v>
      </c>
      <c r="AS21" s="9">
        <f t="shared" si="13"/>
        <v>11.586538461538462</v>
      </c>
      <c r="AT21" s="9">
        <f t="shared" si="14"/>
        <v>139.03846153846155</v>
      </c>
      <c r="AU21" s="76">
        <f t="shared" si="17"/>
        <v>38851.724481327801</v>
      </c>
    </row>
    <row r="22" spans="1:48" ht="46.5" hidden="1" customHeight="1">
      <c r="A22" s="16">
        <v>22</v>
      </c>
      <c r="B22" s="21" t="s">
        <v>92</v>
      </c>
      <c r="C22" s="16" t="s">
        <v>93</v>
      </c>
      <c r="D22" s="20" t="s">
        <v>94</v>
      </c>
      <c r="E22" s="78"/>
      <c r="F22" s="78"/>
      <c r="G22" s="78">
        <f t="shared" si="4"/>
        <v>16901</v>
      </c>
      <c r="H22" s="78">
        <f t="shared" si="5"/>
        <v>132485.75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>
        <v>16901</v>
      </c>
      <c r="AA22" s="6">
        <v>84884</v>
      </c>
      <c r="AB22" s="27">
        <v>131581</v>
      </c>
      <c r="AC22" s="27">
        <v>153370</v>
      </c>
      <c r="AD22" s="27">
        <v>160108</v>
      </c>
      <c r="AE22" s="33">
        <f t="shared" si="6"/>
        <v>546844</v>
      </c>
      <c r="AF22" s="33"/>
      <c r="AG22" s="39">
        <v>7.2099999999999997E-2</v>
      </c>
      <c r="AH22" s="33">
        <f t="shared" si="7"/>
        <v>39427.452400000002</v>
      </c>
      <c r="AI22" s="46">
        <f t="shared" si="8"/>
        <v>0.94926891262857926</v>
      </c>
      <c r="AJ22" s="46">
        <f t="shared" si="9"/>
        <v>189853.78252571585</v>
      </c>
      <c r="AK22" s="46">
        <f t="shared" si="10"/>
        <v>2633200.8672082643</v>
      </c>
      <c r="AL22" s="46">
        <f t="shared" si="16"/>
        <v>152883.9464895417</v>
      </c>
      <c r="AM22" s="46">
        <f t="shared" si="11"/>
        <v>12740.328874128476</v>
      </c>
      <c r="AN22" s="48">
        <v>20329792</v>
      </c>
      <c r="AP22" s="74">
        <f>საპენსიო!D31</f>
        <v>72.359649122807014</v>
      </c>
      <c r="AQ22" s="74">
        <f>შშმპ!D31</f>
        <v>65.428571428571431</v>
      </c>
      <c r="AR22" s="9">
        <f t="shared" si="12"/>
        <v>68.894110275689229</v>
      </c>
      <c r="AS22" s="9">
        <f t="shared" si="13"/>
        <v>17.223527568922307</v>
      </c>
      <c r="AT22" s="9">
        <f t="shared" si="14"/>
        <v>206.68233082706769</v>
      </c>
      <c r="AU22" s="76">
        <f t="shared" si="17"/>
        <v>295087.517911873</v>
      </c>
    </row>
    <row r="23" spans="1:48" ht="46.5" hidden="1" customHeight="1">
      <c r="A23" s="16">
        <v>23</v>
      </c>
      <c r="B23" s="21" t="s">
        <v>95</v>
      </c>
      <c r="C23" s="16" t="s">
        <v>96</v>
      </c>
      <c r="D23" s="20" t="s">
        <v>97</v>
      </c>
      <c r="E23" s="78"/>
      <c r="F23" s="78"/>
      <c r="G23" s="78">
        <f t="shared" si="4"/>
        <v>2114</v>
      </c>
      <c r="H23" s="78">
        <f t="shared" si="5"/>
        <v>21529.5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>
        <v>2114</v>
      </c>
      <c r="AA23" s="6">
        <v>15922</v>
      </c>
      <c r="AB23" s="27">
        <v>19185</v>
      </c>
      <c r="AC23" s="27">
        <v>23726</v>
      </c>
      <c r="AD23" s="27">
        <v>27285</v>
      </c>
      <c r="AE23" s="33">
        <f t="shared" si="6"/>
        <v>88232</v>
      </c>
      <c r="AF23" s="33"/>
      <c r="AG23" s="39">
        <v>0.08</v>
      </c>
      <c r="AH23" s="33">
        <f t="shared" si="7"/>
        <v>7058.56</v>
      </c>
      <c r="AI23" s="46">
        <f t="shared" si="8"/>
        <v>0.16994431970764576</v>
      </c>
      <c r="AJ23" s="46">
        <f t="shared" si="9"/>
        <v>33988.863941529155</v>
      </c>
      <c r="AK23" s="46">
        <f t="shared" si="10"/>
        <v>424860.79926911445</v>
      </c>
      <c r="AL23" s="46">
        <f t="shared" si="16"/>
        <v>28448.82884973806</v>
      </c>
      <c r="AM23" s="46">
        <f t="shared" si="11"/>
        <v>2370.7357374781714</v>
      </c>
      <c r="AN23" s="48">
        <v>4642341</v>
      </c>
      <c r="AP23" s="74">
        <f>საპენსიო!D30</f>
        <v>59.736842105263158</v>
      </c>
      <c r="AQ23" s="74"/>
      <c r="AR23" s="9">
        <f t="shared" si="12"/>
        <v>59.736842105263158</v>
      </c>
      <c r="AS23" s="9">
        <f t="shared" si="13"/>
        <v>14.934210526315789</v>
      </c>
      <c r="AT23" s="9">
        <f t="shared" si="14"/>
        <v>179.21052631578948</v>
      </c>
      <c r="AU23" s="76">
        <f t="shared" si="17"/>
        <v>77713.197356828197</v>
      </c>
    </row>
    <row r="24" spans="1:48" ht="33.75" hidden="1" customHeight="1">
      <c r="A24" s="16">
        <v>24</v>
      </c>
      <c r="B24" s="16" t="s">
        <v>98</v>
      </c>
      <c r="C24" s="16" t="s">
        <v>99</v>
      </c>
      <c r="D24" s="19" t="s">
        <v>100</v>
      </c>
      <c r="E24" s="78">
        <f t="shared" ref="E24:E31" si="18">AVERAGE(J24:N24)</f>
        <v>111386.8</v>
      </c>
      <c r="F24" s="78">
        <f t="shared" ref="F24:F31" si="19">AVERAGE(O24:V24)</f>
        <v>170083.625</v>
      </c>
      <c r="G24" s="78">
        <f t="shared" si="4"/>
        <v>340627</v>
      </c>
      <c r="H24" s="78">
        <f t="shared" si="5"/>
        <v>413211</v>
      </c>
      <c r="I24" s="6">
        <v>255662</v>
      </c>
      <c r="J24" s="6">
        <v>103969</v>
      </c>
      <c r="K24" s="6">
        <f>14393+31795+12615+6244+1102</f>
        <v>66149</v>
      </c>
      <c r="L24" s="6">
        <f>31487+100998+25728+1020</f>
        <v>159233</v>
      </c>
      <c r="M24" s="6">
        <v>129089</v>
      </c>
      <c r="N24" s="22">
        <f>6352+51394+39920+828</f>
        <v>98494</v>
      </c>
      <c r="O24" s="22">
        <v>168080</v>
      </c>
      <c r="P24" s="22">
        <v>168944</v>
      </c>
      <c r="Q24" s="22">
        <v>137425</v>
      </c>
      <c r="R24" s="22">
        <v>172936</v>
      </c>
      <c r="S24" s="22">
        <v>195246</v>
      </c>
      <c r="T24" s="22">
        <v>141714</v>
      </c>
      <c r="U24" s="22">
        <v>185410</v>
      </c>
      <c r="V24" s="22">
        <v>190914</v>
      </c>
      <c r="W24" s="22">
        <v>277656</v>
      </c>
      <c r="X24" s="22">
        <v>352098</v>
      </c>
      <c r="Y24" s="22">
        <v>363351</v>
      </c>
      <c r="Z24" s="22">
        <v>369403</v>
      </c>
      <c r="AA24" s="22">
        <v>398024</v>
      </c>
      <c r="AB24" s="29">
        <v>426880</v>
      </c>
      <c r="AC24" s="29">
        <v>422016</v>
      </c>
      <c r="AD24" s="29">
        <v>405924</v>
      </c>
      <c r="AE24" s="33">
        <f t="shared" si="6"/>
        <v>5188617</v>
      </c>
      <c r="AF24" s="33"/>
      <c r="AG24" s="40">
        <v>8.4500000000000006E-2</v>
      </c>
      <c r="AH24" s="33">
        <f t="shared" si="7"/>
        <v>438438.13650000002</v>
      </c>
      <c r="AI24" s="46">
        <f t="shared" si="8"/>
        <v>10.555987459394043</v>
      </c>
      <c r="AJ24" s="46">
        <f t="shared" si="9"/>
        <v>2111197.4918788085</v>
      </c>
      <c r="AK24" s="46">
        <f t="shared" si="10"/>
        <v>24984585.70270779</v>
      </c>
      <c r="AL24" s="46">
        <f t="shared" si="16"/>
        <v>690732.3753495625</v>
      </c>
      <c r="AM24" s="46">
        <f t="shared" si="11"/>
        <v>57561.031279130213</v>
      </c>
      <c r="AN24" s="48">
        <v>823420</v>
      </c>
      <c r="AP24" s="74">
        <f>საპენსიო!D18</f>
        <v>143.02982162764772</v>
      </c>
      <c r="AQ24" s="74">
        <f>შშმპ!D19</f>
        <v>146.33939393939394</v>
      </c>
      <c r="AR24" s="9">
        <f t="shared" si="12"/>
        <v>144.68460778352085</v>
      </c>
      <c r="AS24" s="9">
        <f t="shared" si="13"/>
        <v>36.171151945880212</v>
      </c>
      <c r="AT24" s="9">
        <f t="shared" si="14"/>
        <v>434.05382335056254</v>
      </c>
      <c r="AU24" s="76">
        <f t="shared" si="17"/>
        <v>5691.1375205302602</v>
      </c>
    </row>
    <row r="25" spans="1:48" ht="51.75" hidden="1" customHeight="1">
      <c r="A25" s="16">
        <v>25</v>
      </c>
      <c r="B25" s="16" t="s">
        <v>101</v>
      </c>
      <c r="C25" s="16" t="s">
        <v>102</v>
      </c>
      <c r="D25" s="20" t="s">
        <v>103</v>
      </c>
      <c r="E25" s="78">
        <f t="shared" si="18"/>
        <v>29537.8</v>
      </c>
      <c r="F25" s="78">
        <f t="shared" si="19"/>
        <v>59391.375</v>
      </c>
      <c r="G25" s="78">
        <f t="shared" si="4"/>
        <v>107459.75</v>
      </c>
      <c r="H25" s="78">
        <f t="shared" si="5"/>
        <v>148344.75</v>
      </c>
      <c r="I25" s="6">
        <v>22614</v>
      </c>
      <c r="J25" s="6">
        <f>3092+8803</f>
        <v>11895</v>
      </c>
      <c r="K25" s="6">
        <v>700</v>
      </c>
      <c r="L25" s="6">
        <f>562+329+28856</f>
        <v>29747</v>
      </c>
      <c r="M25" s="6">
        <v>79226</v>
      </c>
      <c r="N25" s="6">
        <f>26120+1</f>
        <v>26121</v>
      </c>
      <c r="O25" s="6">
        <v>51767</v>
      </c>
      <c r="P25" s="6">
        <v>64413</v>
      </c>
      <c r="Q25" s="6">
        <v>45245</v>
      </c>
      <c r="R25" s="6">
        <v>53493</v>
      </c>
      <c r="S25" s="6">
        <v>75130</v>
      </c>
      <c r="T25" s="6">
        <v>47604</v>
      </c>
      <c r="U25" s="6">
        <v>60976</v>
      </c>
      <c r="V25" s="6">
        <v>76503</v>
      </c>
      <c r="W25" s="6">
        <v>99668</v>
      </c>
      <c r="X25" s="6">
        <v>130154</v>
      </c>
      <c r="Y25" s="6">
        <v>97303</v>
      </c>
      <c r="Z25" s="6">
        <v>102714</v>
      </c>
      <c r="AA25" s="6">
        <v>167394</v>
      </c>
      <c r="AB25" s="27">
        <v>142531</v>
      </c>
      <c r="AC25" s="27">
        <v>138106</v>
      </c>
      <c r="AD25" s="27">
        <v>145348</v>
      </c>
      <c r="AE25" s="33">
        <f t="shared" si="6"/>
        <v>1668652</v>
      </c>
      <c r="AF25" s="33"/>
      <c r="AG25" s="41">
        <v>0.1119</v>
      </c>
      <c r="AH25" s="33">
        <f t="shared" si="7"/>
        <v>186722.1588</v>
      </c>
      <c r="AI25" s="46">
        <f t="shared" si="8"/>
        <v>4.4955869542242324</v>
      </c>
      <c r="AJ25" s="46">
        <f t="shared" si="9"/>
        <v>899117.39084484649</v>
      </c>
      <c r="AK25" s="46">
        <f t="shared" si="10"/>
        <v>8035007.9610799504</v>
      </c>
      <c r="AL25" s="46">
        <f t="shared" si="16"/>
        <v>380995.92534833838</v>
      </c>
      <c r="AM25" s="46">
        <f t="shared" si="11"/>
        <v>31749.660445694863</v>
      </c>
      <c r="AN25" s="48">
        <v>610238</v>
      </c>
      <c r="AP25" s="74">
        <f>საპენსიო!D20</f>
        <v>83.653382275825905</v>
      </c>
      <c r="AQ25" s="74">
        <f>შშმპ!D20</f>
        <v>85.0625</v>
      </c>
      <c r="AR25" s="9">
        <f t="shared" si="12"/>
        <v>84.357941137912945</v>
      </c>
      <c r="AS25" s="9">
        <f t="shared" si="13"/>
        <v>21.089485284478236</v>
      </c>
      <c r="AT25" s="9">
        <f t="shared" si="14"/>
        <v>253.07382341373884</v>
      </c>
      <c r="AU25" s="76">
        <f t="shared" si="17"/>
        <v>7233.9129164182632</v>
      </c>
    </row>
    <row r="26" spans="1:48" hidden="1">
      <c r="A26" s="16">
        <v>26</v>
      </c>
      <c r="B26" s="16" t="s">
        <v>104</v>
      </c>
      <c r="C26" s="16" t="s">
        <v>105</v>
      </c>
      <c r="D26" s="23" t="s">
        <v>106</v>
      </c>
      <c r="E26" s="78">
        <f t="shared" si="18"/>
        <v>32737.8</v>
      </c>
      <c r="F26" s="78">
        <f t="shared" si="19"/>
        <v>54173.125</v>
      </c>
      <c r="G26" s="78">
        <f t="shared" si="4"/>
        <v>105344.25</v>
      </c>
      <c r="H26" s="78">
        <f t="shared" si="5"/>
        <v>131738.25</v>
      </c>
      <c r="I26" s="6">
        <v>35404</v>
      </c>
      <c r="J26" s="6">
        <f>630+300</f>
        <v>930</v>
      </c>
      <c r="K26" s="6">
        <v>24</v>
      </c>
      <c r="L26" s="6">
        <f>2+18170+30+84119</f>
        <v>102321</v>
      </c>
      <c r="M26" s="6">
        <v>38566</v>
      </c>
      <c r="N26" s="6">
        <f>3538+30+18280</f>
        <v>21848</v>
      </c>
      <c r="O26" s="6">
        <v>72462</v>
      </c>
      <c r="P26" s="6">
        <v>48945</v>
      </c>
      <c r="Q26" s="6">
        <v>33097</v>
      </c>
      <c r="R26" s="6">
        <v>65867</v>
      </c>
      <c r="S26" s="6">
        <v>59457</v>
      </c>
      <c r="T26" s="6">
        <v>34447</v>
      </c>
      <c r="U26" s="6">
        <v>64628</v>
      </c>
      <c r="V26" s="6">
        <v>54482</v>
      </c>
      <c r="W26" s="6">
        <v>84344</v>
      </c>
      <c r="X26" s="6">
        <v>130224</v>
      </c>
      <c r="Y26" s="6">
        <v>103094</v>
      </c>
      <c r="Z26" s="6">
        <v>103715</v>
      </c>
      <c r="AA26" s="6">
        <v>136114</v>
      </c>
      <c r="AB26" s="27">
        <v>128423</v>
      </c>
      <c r="AC26" s="27">
        <v>130971</v>
      </c>
      <c r="AD26" s="27">
        <v>131445</v>
      </c>
      <c r="AE26" s="33">
        <f t="shared" si="6"/>
        <v>1580808</v>
      </c>
      <c r="AF26" s="33"/>
      <c r="AG26" s="42">
        <v>0.109</v>
      </c>
      <c r="AH26" s="33">
        <f t="shared" si="7"/>
        <v>172308.07199999999</v>
      </c>
      <c r="AI26" s="46">
        <f t="shared" si="8"/>
        <v>4.1485484399333625</v>
      </c>
      <c r="AJ26" s="46">
        <f t="shared" si="9"/>
        <v>829709.68798667251</v>
      </c>
      <c r="AK26" s="46">
        <f t="shared" si="10"/>
        <v>7612015.4861162612</v>
      </c>
      <c r="AL26" s="46">
        <f t="shared" si="16"/>
        <v>259106.61317650956</v>
      </c>
      <c r="AM26" s="46">
        <f t="shared" si="11"/>
        <v>21592.21776470913</v>
      </c>
      <c r="AN26" s="48">
        <v>304248</v>
      </c>
      <c r="AP26" s="74">
        <f>საპენსიო!D19</f>
        <v>119.85441176470589</v>
      </c>
      <c r="AQ26" s="74">
        <f>შშმპ!D18</f>
        <v>115.16901408450704</v>
      </c>
      <c r="AR26" s="9">
        <f t="shared" si="12"/>
        <v>117.51171292460646</v>
      </c>
      <c r="AS26" s="9">
        <f t="shared" si="13"/>
        <v>29.377928231151614</v>
      </c>
      <c r="AT26" s="9">
        <f t="shared" si="14"/>
        <v>352.53513877381937</v>
      </c>
      <c r="AU26" s="76">
        <f t="shared" si="17"/>
        <v>2589.0865891402709</v>
      </c>
    </row>
    <row r="27" spans="1:48" hidden="1">
      <c r="A27" s="16">
        <v>27</v>
      </c>
      <c r="B27" s="16" t="s">
        <v>107</v>
      </c>
      <c r="C27" s="16" t="s">
        <v>108</v>
      </c>
      <c r="D27" s="20" t="s">
        <v>109</v>
      </c>
      <c r="E27" s="78">
        <f t="shared" si="18"/>
        <v>3042.2</v>
      </c>
      <c r="F27" s="78">
        <f t="shared" si="19"/>
        <v>3862.625</v>
      </c>
      <c r="G27" s="78">
        <f t="shared" si="4"/>
        <v>8559.25</v>
      </c>
      <c r="H27" s="78">
        <f t="shared" si="5"/>
        <v>7996.333333333333</v>
      </c>
      <c r="I27" s="6">
        <v>2774</v>
      </c>
      <c r="J27" s="6">
        <v>3424</v>
      </c>
      <c r="K27" s="6">
        <v>2384</v>
      </c>
      <c r="L27" s="6">
        <f>2117</f>
        <v>2117</v>
      </c>
      <c r="M27" s="6">
        <v>4162</v>
      </c>
      <c r="N27" s="6">
        <f>2480+644</f>
        <v>3124</v>
      </c>
      <c r="O27" s="6">
        <v>2678</v>
      </c>
      <c r="P27" s="6">
        <v>2208</v>
      </c>
      <c r="Q27" s="6">
        <v>5712</v>
      </c>
      <c r="R27" s="6">
        <v>2577</v>
      </c>
      <c r="S27" s="6">
        <v>4044</v>
      </c>
      <c r="T27" s="6">
        <v>5261</v>
      </c>
      <c r="U27" s="6">
        <v>4810</v>
      </c>
      <c r="V27" s="6">
        <v>3611</v>
      </c>
      <c r="W27" s="6">
        <v>6970</v>
      </c>
      <c r="X27" s="6">
        <v>10729</v>
      </c>
      <c r="Y27" s="6">
        <v>7133</v>
      </c>
      <c r="Z27" s="6">
        <v>9405</v>
      </c>
      <c r="AA27" s="6">
        <v>6884</v>
      </c>
      <c r="AB27" s="27">
        <v>10015</v>
      </c>
      <c r="AC27" s="27">
        <v>7090</v>
      </c>
      <c r="AD27" s="27"/>
      <c r="AE27" s="33">
        <f t="shared" si="6"/>
        <v>107112</v>
      </c>
      <c r="AF27" s="33"/>
      <c r="AG27" s="36">
        <v>0.16520000000000001</v>
      </c>
      <c r="AH27" s="33">
        <f t="shared" si="7"/>
        <v>17694.902400000003</v>
      </c>
      <c r="AI27" s="46">
        <f t="shared" si="8"/>
        <v>0.42602855974323206</v>
      </c>
      <c r="AJ27" s="46">
        <f t="shared" si="9"/>
        <v>85205.711948646422</v>
      </c>
      <c r="AK27" s="46">
        <f t="shared" si="10"/>
        <v>515773.07474967564</v>
      </c>
      <c r="AL27" s="46">
        <f t="shared" si="16"/>
        <v>15842.754968978164</v>
      </c>
      <c r="AM27" s="46">
        <f t="shared" si="11"/>
        <v>1320.2295807481803</v>
      </c>
      <c r="AN27" s="48">
        <v>21710</v>
      </c>
      <c r="AP27" s="74">
        <f>საპენსიო!D27</f>
        <v>189.44615384615383</v>
      </c>
      <c r="AQ27" s="74">
        <f>შშმპ!D26</f>
        <v>71</v>
      </c>
      <c r="AR27" s="9">
        <f t="shared" si="12"/>
        <v>130.22307692307692</v>
      </c>
      <c r="AS27" s="9">
        <f t="shared" si="13"/>
        <v>32.555769230769229</v>
      </c>
      <c r="AT27" s="9">
        <f t="shared" si="14"/>
        <v>390.66923076923075</v>
      </c>
      <c r="AU27" s="76">
        <f t="shared" si="17"/>
        <v>166.71392285427373</v>
      </c>
    </row>
    <row r="28" spans="1:48" ht="27.75" hidden="1" customHeight="1">
      <c r="A28" s="16">
        <v>28</v>
      </c>
      <c r="B28" s="16" t="s">
        <v>110</v>
      </c>
      <c r="C28" s="16" t="s">
        <v>111</v>
      </c>
      <c r="D28" s="20" t="s">
        <v>112</v>
      </c>
      <c r="E28" s="78">
        <f t="shared" si="18"/>
        <v>28454.799999999999</v>
      </c>
      <c r="F28" s="78">
        <f t="shared" si="19"/>
        <v>36332.375</v>
      </c>
      <c r="G28" s="78">
        <f t="shared" si="4"/>
        <v>89779</v>
      </c>
      <c r="H28" s="78">
        <f t="shared" si="5"/>
        <v>101791.75</v>
      </c>
      <c r="I28" s="6">
        <v>0</v>
      </c>
      <c r="J28" s="6">
        <v>21555</v>
      </c>
      <c r="K28" s="6">
        <v>35764</v>
      </c>
      <c r="L28" s="6">
        <f>21573</f>
        <v>21573</v>
      </c>
      <c r="M28" s="6">
        <v>28139</v>
      </c>
      <c r="N28" s="6">
        <f>35243</f>
        <v>35243</v>
      </c>
      <c r="O28" s="6">
        <v>25652</v>
      </c>
      <c r="P28" s="6">
        <v>31840</v>
      </c>
      <c r="Q28" s="6">
        <v>43499</v>
      </c>
      <c r="R28" s="6">
        <v>34555</v>
      </c>
      <c r="S28" s="6">
        <v>39389</v>
      </c>
      <c r="T28" s="6">
        <v>38730</v>
      </c>
      <c r="U28" s="6">
        <v>38749</v>
      </c>
      <c r="V28" s="6">
        <v>38245</v>
      </c>
      <c r="W28" s="6">
        <v>74463</v>
      </c>
      <c r="X28" s="6">
        <v>85375</v>
      </c>
      <c r="Y28" s="6">
        <v>97444</v>
      </c>
      <c r="Z28" s="6">
        <v>101834</v>
      </c>
      <c r="AA28" s="6">
        <v>85627</v>
      </c>
      <c r="AB28" s="27">
        <v>103526</v>
      </c>
      <c r="AC28" s="27">
        <v>127741</v>
      </c>
      <c r="AD28" s="27">
        <v>90273</v>
      </c>
      <c r="AE28" s="33">
        <f t="shared" si="6"/>
        <v>1199216</v>
      </c>
      <c r="AF28" s="33"/>
      <c r="AG28" s="40">
        <v>4.4999999999999998E-2</v>
      </c>
      <c r="AH28" s="33">
        <f t="shared" si="7"/>
        <v>53964.72</v>
      </c>
      <c r="AI28" s="46">
        <f t="shared" si="8"/>
        <v>1.2992731702519471</v>
      </c>
      <c r="AJ28" s="46">
        <f t="shared" si="9"/>
        <v>259854.6340503894</v>
      </c>
      <c r="AK28" s="46">
        <f t="shared" si="10"/>
        <v>5774547.4233419867</v>
      </c>
      <c r="AL28" s="46">
        <f t="shared" si="16"/>
        <v>183394.43311081282</v>
      </c>
      <c r="AM28" s="46">
        <f t="shared" si="11"/>
        <v>15282.86942590107</v>
      </c>
      <c r="AN28" s="48">
        <v>46718</v>
      </c>
      <c r="AP28" s="74">
        <f>საპენსიო!D28</f>
        <v>118.71681415929204</v>
      </c>
      <c r="AQ28" s="74">
        <f>შშმპ!D27</f>
        <v>133.17948717948718</v>
      </c>
      <c r="AR28" s="9">
        <f t="shared" si="12"/>
        <v>125.94815066938961</v>
      </c>
      <c r="AS28" s="9">
        <f t="shared" si="13"/>
        <v>31.487037667347401</v>
      </c>
      <c r="AT28" s="9">
        <f t="shared" si="14"/>
        <v>377.84445200816879</v>
      </c>
      <c r="AU28" s="76">
        <f t="shared" si="17"/>
        <v>370.93041661749726</v>
      </c>
    </row>
    <row r="29" spans="1:48" ht="26.25" hidden="1" customHeight="1">
      <c r="A29" s="16">
        <v>29</v>
      </c>
      <c r="B29" s="16" t="s">
        <v>113</v>
      </c>
      <c r="C29" s="16" t="s">
        <v>114</v>
      </c>
      <c r="D29" s="20" t="s">
        <v>79</v>
      </c>
      <c r="E29" s="78">
        <f t="shared" si="18"/>
        <v>754.2</v>
      </c>
      <c r="F29" s="78">
        <f t="shared" si="19"/>
        <v>1018.25</v>
      </c>
      <c r="G29" s="78">
        <f t="shared" si="4"/>
        <v>1003.75</v>
      </c>
      <c r="H29" s="78">
        <f t="shared" si="5"/>
        <v>1529</v>
      </c>
      <c r="I29" s="6">
        <v>547</v>
      </c>
      <c r="J29" s="6">
        <v>464</v>
      </c>
      <c r="K29" s="6">
        <v>356</v>
      </c>
      <c r="L29" s="6">
        <v>1050</v>
      </c>
      <c r="M29" s="6">
        <v>1342</v>
      </c>
      <c r="N29" s="6">
        <f>559</f>
        <v>559</v>
      </c>
      <c r="O29" s="6">
        <v>776</v>
      </c>
      <c r="P29" s="6">
        <v>1012</v>
      </c>
      <c r="Q29" s="6">
        <v>664</v>
      </c>
      <c r="R29" s="6">
        <v>926</v>
      </c>
      <c r="S29" s="6">
        <v>1161</v>
      </c>
      <c r="T29" s="6">
        <v>918</v>
      </c>
      <c r="U29" s="6">
        <v>1668</v>
      </c>
      <c r="V29" s="6">
        <v>1021</v>
      </c>
      <c r="W29" s="6">
        <v>513</v>
      </c>
      <c r="X29" s="6">
        <v>1320</v>
      </c>
      <c r="Y29" s="6">
        <v>1348</v>
      </c>
      <c r="Z29" s="6">
        <v>834</v>
      </c>
      <c r="AA29" s="6">
        <f>1971+1640</f>
        <v>3611</v>
      </c>
      <c r="AB29" s="27">
        <v>1204</v>
      </c>
      <c r="AC29" s="27">
        <v>898</v>
      </c>
      <c r="AD29" s="27">
        <v>403</v>
      </c>
      <c r="AE29" s="33">
        <f t="shared" si="6"/>
        <v>22595</v>
      </c>
      <c r="AF29" s="33"/>
      <c r="AG29" s="50">
        <v>3.2294999999999998</v>
      </c>
      <c r="AH29" s="33">
        <f t="shared" si="7"/>
        <v>72970.552499999991</v>
      </c>
      <c r="AI29" s="46">
        <f t="shared" si="8"/>
        <v>1.7568641342290137</v>
      </c>
      <c r="AJ29" s="46">
        <f t="shared" si="9"/>
        <v>351372.82684580272</v>
      </c>
      <c r="AK29" s="46">
        <f t="shared" si="10"/>
        <v>108800.99917813987</v>
      </c>
      <c r="AL29" s="46">
        <f t="shared" si="16"/>
        <v>36571.764429626848</v>
      </c>
      <c r="AM29" s="46">
        <f t="shared" si="11"/>
        <v>3047.647035802237</v>
      </c>
      <c r="AN29" s="51">
        <v>2687</v>
      </c>
      <c r="AP29" s="74">
        <f>საპენსიო!D25</f>
        <v>14.3</v>
      </c>
      <c r="AQ29" s="74">
        <f>შშმპ!D25</f>
        <v>9.5</v>
      </c>
      <c r="AR29" s="9">
        <f t="shared" si="12"/>
        <v>11.9</v>
      </c>
      <c r="AS29" s="9">
        <f t="shared" si="13"/>
        <v>2.9750000000000001</v>
      </c>
      <c r="AT29" s="9">
        <f t="shared" si="14"/>
        <v>35.700000000000003</v>
      </c>
      <c r="AU29" s="76">
        <f t="shared" si="17"/>
        <v>225.79831932773109</v>
      </c>
    </row>
    <row r="30" spans="1:48" ht="39.75" hidden="1" customHeight="1">
      <c r="A30" s="16">
        <v>30</v>
      </c>
      <c r="B30" s="16" t="s">
        <v>115</v>
      </c>
      <c r="C30" s="16" t="s">
        <v>116</v>
      </c>
      <c r="D30" s="20" t="s">
        <v>117</v>
      </c>
      <c r="E30" s="78">
        <f t="shared" si="18"/>
        <v>105.2</v>
      </c>
      <c r="F30" s="78">
        <f t="shared" si="19"/>
        <v>119.375</v>
      </c>
      <c r="G30" s="78">
        <f t="shared" si="4"/>
        <v>107.5</v>
      </c>
      <c r="H30" s="78">
        <f t="shared" si="5"/>
        <v>1125</v>
      </c>
      <c r="I30" s="6">
        <v>290</v>
      </c>
      <c r="J30" s="6">
        <v>46</v>
      </c>
      <c r="K30" s="6">
        <v>110</v>
      </c>
      <c r="L30" s="6">
        <v>131</v>
      </c>
      <c r="M30" s="6">
        <v>165</v>
      </c>
      <c r="N30" s="6">
        <f>74</f>
        <v>74</v>
      </c>
      <c r="O30" s="6">
        <v>0</v>
      </c>
      <c r="P30" s="6">
        <v>55</v>
      </c>
      <c r="Q30" s="6">
        <v>100</v>
      </c>
      <c r="R30" s="6">
        <v>400</v>
      </c>
      <c r="S30" s="6">
        <v>80</v>
      </c>
      <c r="T30" s="6">
        <v>90</v>
      </c>
      <c r="U30" s="6">
        <v>184</v>
      </c>
      <c r="V30" s="6">
        <v>46</v>
      </c>
      <c r="W30" s="6">
        <v>40</v>
      </c>
      <c r="X30" s="6">
        <v>120</v>
      </c>
      <c r="Y30" s="6">
        <v>203</v>
      </c>
      <c r="Z30" s="6">
        <v>67</v>
      </c>
      <c r="AA30" s="6">
        <v>1125</v>
      </c>
      <c r="AB30" s="32"/>
      <c r="AC30" s="32"/>
      <c r="AD30" s="32"/>
      <c r="AE30" s="54">
        <f t="shared" si="6"/>
        <v>3326</v>
      </c>
      <c r="AF30" s="54"/>
      <c r="AG30" s="32"/>
      <c r="AH30" s="54">
        <f t="shared" si="7"/>
        <v>0</v>
      </c>
      <c r="AI30" s="46">
        <f t="shared" si="8"/>
        <v>0</v>
      </c>
      <c r="AJ30" s="46">
        <f t="shared" si="9"/>
        <v>0</v>
      </c>
      <c r="AL30" s="46">
        <f t="shared" si="16"/>
        <v>0</v>
      </c>
      <c r="AM30" s="46">
        <f t="shared" si="11"/>
        <v>0</v>
      </c>
      <c r="AN30" s="32"/>
      <c r="AP30" s="74">
        <f>საპენსიო!D21</f>
        <v>30</v>
      </c>
      <c r="AQ30" s="74"/>
      <c r="AR30" s="9">
        <f t="shared" si="12"/>
        <v>30</v>
      </c>
      <c r="AS30" s="9">
        <f t="shared" si="13"/>
        <v>7.5</v>
      </c>
      <c r="AT30" s="9">
        <f t="shared" si="14"/>
        <v>90</v>
      </c>
      <c r="AU30" s="76">
        <f t="shared" si="17"/>
        <v>0</v>
      </c>
    </row>
    <row r="31" spans="1:48" ht="60.75" hidden="1" customHeight="1">
      <c r="A31" s="16">
        <v>31</v>
      </c>
      <c r="B31" s="16" t="s">
        <v>118</v>
      </c>
      <c r="C31" s="16" t="s">
        <v>119</v>
      </c>
      <c r="D31" s="20" t="s">
        <v>120</v>
      </c>
      <c r="E31" s="78">
        <f t="shared" si="18"/>
        <v>952.6</v>
      </c>
      <c r="F31" s="78">
        <f t="shared" si="19"/>
        <v>1313.125</v>
      </c>
      <c r="G31" s="78">
        <f t="shared" si="4"/>
        <v>1168.5</v>
      </c>
      <c r="H31" s="78">
        <f t="shared" si="5"/>
        <v>1485.5</v>
      </c>
      <c r="I31" s="6">
        <v>2050</v>
      </c>
      <c r="J31" s="6">
        <f>40+3+752</f>
        <v>795</v>
      </c>
      <c r="K31" s="6">
        <v>579</v>
      </c>
      <c r="L31" s="6">
        <f>52+45+1091+191</f>
        <v>1379</v>
      </c>
      <c r="M31" s="6">
        <v>1075</v>
      </c>
      <c r="N31" s="6">
        <f>12+393+530</f>
        <v>935</v>
      </c>
      <c r="O31" s="6">
        <v>1306</v>
      </c>
      <c r="P31" s="6">
        <v>1200</v>
      </c>
      <c r="Q31" s="6">
        <v>1273</v>
      </c>
      <c r="R31" s="6">
        <v>684</v>
      </c>
      <c r="S31" s="6">
        <v>1911</v>
      </c>
      <c r="T31" s="6">
        <v>1457</v>
      </c>
      <c r="U31" s="6">
        <v>1090</v>
      </c>
      <c r="V31" s="6">
        <v>1584</v>
      </c>
      <c r="W31" s="6">
        <v>2118</v>
      </c>
      <c r="X31" s="6">
        <v>1484</v>
      </c>
      <c r="Y31" s="6">
        <v>916</v>
      </c>
      <c r="Z31" s="6">
        <v>156</v>
      </c>
      <c r="AA31" s="6">
        <v>2685</v>
      </c>
      <c r="AB31" s="27">
        <v>854</v>
      </c>
      <c r="AC31" s="27">
        <v>1062</v>
      </c>
      <c r="AD31" s="27">
        <v>1341</v>
      </c>
      <c r="AE31" s="33">
        <f t="shared" si="6"/>
        <v>27934</v>
      </c>
      <c r="AF31" s="33"/>
      <c r="AG31" s="52">
        <v>30.998999999999999</v>
      </c>
      <c r="AH31" s="33">
        <f t="shared" si="7"/>
        <v>865926.06599999999</v>
      </c>
      <c r="AI31" s="46">
        <f t="shared" si="8"/>
        <v>20.848333966628878</v>
      </c>
      <c r="AJ31" s="46">
        <f t="shared" si="9"/>
        <v>4169666.7933257758</v>
      </c>
      <c r="AK31" s="46">
        <f t="shared" si="10"/>
        <v>134509.71945307191</v>
      </c>
      <c r="AL31" s="46">
        <f t="shared" si="16"/>
        <v>291234.75565687951</v>
      </c>
      <c r="AM31" s="46">
        <f t="shared" si="11"/>
        <v>24269.562971406627</v>
      </c>
      <c r="AN31" s="48">
        <v>5045</v>
      </c>
      <c r="AP31" s="74">
        <f>საპენსიო!D22</f>
        <v>1.9014925373134328</v>
      </c>
      <c r="AQ31" s="74">
        <f>შშმპ!D22</f>
        <v>1.7933884297520661</v>
      </c>
      <c r="AR31" s="9">
        <f t="shared" si="12"/>
        <v>1.8474404835327496</v>
      </c>
      <c r="AS31" s="9">
        <f t="shared" si="13"/>
        <v>0.4618601208831874</v>
      </c>
      <c r="AT31" s="9">
        <f t="shared" si="14"/>
        <v>5.5423214505982488</v>
      </c>
      <c r="AU31" s="76">
        <f t="shared" si="17"/>
        <v>2730.8051571722349</v>
      </c>
    </row>
    <row r="32" spans="1:48" ht="60.75" hidden="1" customHeight="1">
      <c r="A32" s="16">
        <v>32</v>
      </c>
      <c r="B32" s="16" t="s">
        <v>121</v>
      </c>
      <c r="C32" s="16" t="s">
        <v>122</v>
      </c>
      <c r="D32" s="20" t="s">
        <v>68</v>
      </c>
      <c r="E32" s="78"/>
      <c r="F32" s="78"/>
      <c r="G32" s="78" t="e">
        <f t="shared" si="4"/>
        <v>#DIV/0!</v>
      </c>
      <c r="H32" s="78">
        <f t="shared" si="5"/>
        <v>642.5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>
        <v>168</v>
      </c>
      <c r="AB32" s="27">
        <v>1752</v>
      </c>
      <c r="AC32" s="27">
        <v>472</v>
      </c>
      <c r="AD32" s="27">
        <v>178</v>
      </c>
      <c r="AE32" s="33">
        <f t="shared" si="6"/>
        <v>2570</v>
      </c>
      <c r="AF32" s="33"/>
      <c r="AG32" s="40">
        <v>25.76</v>
      </c>
      <c r="AH32" s="33">
        <f t="shared" si="7"/>
        <v>66203.199999999997</v>
      </c>
      <c r="AI32" s="46">
        <f t="shared" si="8"/>
        <v>1.5939310265081279</v>
      </c>
      <c r="AJ32" s="46">
        <f t="shared" si="9"/>
        <v>318786.2053016256</v>
      </c>
      <c r="AK32" s="46">
        <f t="shared" si="10"/>
        <v>12375.240889038259</v>
      </c>
      <c r="AN32" s="53">
        <v>4750</v>
      </c>
      <c r="AP32" s="74"/>
      <c r="AQ32" s="74"/>
      <c r="AR32" s="9"/>
      <c r="AS32" s="9">
        <f t="shared" si="13"/>
        <v>0</v>
      </c>
      <c r="AT32" s="9">
        <f t="shared" si="14"/>
        <v>0</v>
      </c>
      <c r="AU32" s="76"/>
    </row>
    <row r="33" spans="1:47" ht="48.75" hidden="1" customHeight="1">
      <c r="A33" s="16">
        <v>33</v>
      </c>
      <c r="B33" s="14" t="s">
        <v>123</v>
      </c>
      <c r="C33" s="14" t="s">
        <v>124</v>
      </c>
      <c r="D33" s="20" t="s">
        <v>47</v>
      </c>
      <c r="E33" s="78">
        <f>AVERAGE(J33:N33)</f>
        <v>401.4</v>
      </c>
      <c r="F33" s="78">
        <f>AVERAGE(O33:V33)</f>
        <v>514.5</v>
      </c>
      <c r="G33" s="78">
        <f t="shared" si="4"/>
        <v>882.75</v>
      </c>
      <c r="H33" s="78">
        <f t="shared" si="5"/>
        <v>838.25</v>
      </c>
      <c r="I33" s="6">
        <v>647</v>
      </c>
      <c r="J33" s="6">
        <f>118+269</f>
        <v>387</v>
      </c>
      <c r="K33" s="6">
        <f>20+54+196</f>
        <v>270</v>
      </c>
      <c r="L33" s="6">
        <f>254+23+229</f>
        <v>506</v>
      </c>
      <c r="M33" s="6">
        <f>90+362</f>
        <v>452</v>
      </c>
      <c r="N33" s="6">
        <f>215+143+8+26</f>
        <v>392</v>
      </c>
      <c r="O33" s="6">
        <v>422</v>
      </c>
      <c r="P33" s="6">
        <v>557</v>
      </c>
      <c r="Q33" s="6">
        <v>504</v>
      </c>
      <c r="R33" s="6">
        <v>431</v>
      </c>
      <c r="S33" s="6">
        <v>653</v>
      </c>
      <c r="T33" s="6">
        <v>459</v>
      </c>
      <c r="U33" s="6">
        <v>534</v>
      </c>
      <c r="V33" s="6">
        <v>556</v>
      </c>
      <c r="W33" s="6">
        <v>849</v>
      </c>
      <c r="X33" s="6">
        <v>896</v>
      </c>
      <c r="Y33" s="6">
        <v>844</v>
      </c>
      <c r="Z33" s="6">
        <v>942</v>
      </c>
      <c r="AA33" s="6">
        <v>956</v>
      </c>
      <c r="AB33" s="27">
        <v>888</v>
      </c>
      <c r="AC33" s="27">
        <v>844</v>
      </c>
      <c r="AD33" s="27">
        <v>665</v>
      </c>
      <c r="AE33" s="33">
        <f t="shared" si="6"/>
        <v>13654</v>
      </c>
      <c r="AF33" s="33"/>
      <c r="AG33" s="43">
        <v>4.8</v>
      </c>
      <c r="AH33" s="33">
        <f t="shared" si="7"/>
        <v>65539.199999999997</v>
      </c>
      <c r="AI33" s="46">
        <f t="shared" si="8"/>
        <v>1.5779443339977752</v>
      </c>
      <c r="AJ33" s="46">
        <f t="shared" si="9"/>
        <v>315588.86679955502</v>
      </c>
      <c r="AK33" s="46">
        <f>AJ33/AG33</f>
        <v>65747.680583240639</v>
      </c>
      <c r="AL33" s="46">
        <f t="shared" ref="AL33:AL41" si="20">AK33/AS33</f>
        <v>131494.49337641359</v>
      </c>
      <c r="AM33" s="46">
        <f t="shared" si="11"/>
        <v>10957.874448034465</v>
      </c>
      <c r="AN33" s="48">
        <v>2015</v>
      </c>
      <c r="AP33" s="74">
        <f>საპენსიო!D23</f>
        <v>1.9255583126550868</v>
      </c>
      <c r="AQ33" s="74">
        <f>შშმპ!D23</f>
        <v>2.0744680851063828</v>
      </c>
      <c r="AR33" s="9">
        <f t="shared" si="12"/>
        <v>2.000013198880735</v>
      </c>
      <c r="AS33" s="9">
        <f t="shared" si="13"/>
        <v>0.50000329972018376</v>
      </c>
      <c r="AT33" s="9">
        <f t="shared" si="14"/>
        <v>6.0000395966422051</v>
      </c>
      <c r="AU33" s="76">
        <f t="shared" ref="AU33:AU41" si="21">AN33/AR33</f>
        <v>1007.4933511077087</v>
      </c>
    </row>
    <row r="34" spans="1:47" ht="85.5" hidden="1" customHeight="1">
      <c r="A34" s="16">
        <v>34</v>
      </c>
      <c r="B34" s="16" t="s">
        <v>125</v>
      </c>
      <c r="C34" s="16" t="s">
        <v>126</v>
      </c>
      <c r="D34" s="20" t="s">
        <v>106</v>
      </c>
      <c r="E34" s="78">
        <f>AVERAGE(J34:N34)</f>
        <v>53.2</v>
      </c>
      <c r="F34" s="78">
        <f>AVERAGE(O34:V34)</f>
        <v>113.75</v>
      </c>
      <c r="G34" s="78">
        <f t="shared" si="4"/>
        <v>252.5</v>
      </c>
      <c r="H34" s="78">
        <f t="shared" si="5"/>
        <v>310.5</v>
      </c>
      <c r="I34" s="6">
        <v>0</v>
      </c>
      <c r="J34" s="6">
        <v>10</v>
      </c>
      <c r="K34" s="6">
        <v>41</v>
      </c>
      <c r="L34" s="6">
        <v>62</v>
      </c>
      <c r="M34" s="6">
        <v>65</v>
      </c>
      <c r="N34" s="6">
        <v>88</v>
      </c>
      <c r="O34" s="6">
        <v>84</v>
      </c>
      <c r="P34" s="6">
        <v>83</v>
      </c>
      <c r="Q34" s="6">
        <v>104</v>
      </c>
      <c r="R34" s="6">
        <v>114</v>
      </c>
      <c r="S34" s="6">
        <v>141</v>
      </c>
      <c r="T34" s="6">
        <v>142</v>
      </c>
      <c r="U34" s="6">
        <v>104</v>
      </c>
      <c r="V34" s="6">
        <v>138</v>
      </c>
      <c r="W34" s="6">
        <v>190</v>
      </c>
      <c r="X34" s="6">
        <v>242</v>
      </c>
      <c r="Y34" s="6">
        <v>258</v>
      </c>
      <c r="Z34" s="6">
        <v>320</v>
      </c>
      <c r="AA34" s="6">
        <v>340</v>
      </c>
      <c r="AB34" s="27">
        <v>282</v>
      </c>
      <c r="AC34" s="27">
        <v>338</v>
      </c>
      <c r="AD34" s="27">
        <v>282</v>
      </c>
      <c r="AE34" s="33">
        <f t="shared" si="6"/>
        <v>3428</v>
      </c>
      <c r="AF34" s="33"/>
      <c r="AG34" s="40">
        <v>79.558000000000007</v>
      </c>
      <c r="AH34" s="33">
        <f t="shared" si="7"/>
        <v>272724.82400000002</v>
      </c>
      <c r="AI34" s="46">
        <f t="shared" si="8"/>
        <v>6.5662167187170493</v>
      </c>
      <c r="AJ34" s="46">
        <f t="shared" si="9"/>
        <v>1313243.3437434097</v>
      </c>
      <c r="AK34" s="46">
        <f t="shared" si="10"/>
        <v>16506.741543822238</v>
      </c>
      <c r="AL34" s="46">
        <f t="shared" si="20"/>
        <v>31818.9425198024</v>
      </c>
      <c r="AM34" s="46">
        <f t="shared" si="11"/>
        <v>2651.5785433168667</v>
      </c>
      <c r="AN34" s="48">
        <v>2530</v>
      </c>
      <c r="AP34" s="74">
        <f>საპენსიო!D26</f>
        <v>2.034782608695652</v>
      </c>
      <c r="AQ34" s="74">
        <f>შშმპ!D24</f>
        <v>2.1153846153846154</v>
      </c>
      <c r="AR34" s="9">
        <f t="shared" si="12"/>
        <v>2.0750836120401335</v>
      </c>
      <c r="AS34" s="9">
        <f t="shared" si="13"/>
        <v>0.51877090301003337</v>
      </c>
      <c r="AT34" s="9">
        <f t="shared" si="14"/>
        <v>6.2252508361204004</v>
      </c>
      <c r="AU34" s="76">
        <f t="shared" si="21"/>
        <v>1219.2279796921591</v>
      </c>
    </row>
    <row r="35" spans="1:47" ht="45" hidden="1" customHeight="1">
      <c r="A35" s="16">
        <v>35</v>
      </c>
      <c r="B35" s="16" t="s">
        <v>127</v>
      </c>
      <c r="C35" s="16" t="s">
        <v>128</v>
      </c>
      <c r="D35" s="20" t="s">
        <v>129</v>
      </c>
      <c r="E35" s="78">
        <f>AVERAGE(J35:N35)</f>
        <v>458.2</v>
      </c>
      <c r="F35" s="78">
        <f>AVERAGE(O35:V35)</f>
        <v>496.5</v>
      </c>
      <c r="G35" s="78">
        <f t="shared" si="4"/>
        <v>733</v>
      </c>
      <c r="H35" s="78">
        <f t="shared" si="5"/>
        <v>713</v>
      </c>
      <c r="I35" s="6">
        <v>401</v>
      </c>
      <c r="J35" s="6">
        <f>101+62</f>
        <v>163</v>
      </c>
      <c r="K35" s="6">
        <f>18+30+176</f>
        <v>224</v>
      </c>
      <c r="L35" s="6">
        <f>25+8+1017</f>
        <v>1050</v>
      </c>
      <c r="M35" s="6">
        <v>539</v>
      </c>
      <c r="N35" s="6">
        <v>315</v>
      </c>
      <c r="O35" s="6">
        <v>419</v>
      </c>
      <c r="P35" s="6">
        <v>564</v>
      </c>
      <c r="Q35" s="6">
        <v>377</v>
      </c>
      <c r="R35" s="6">
        <v>511</v>
      </c>
      <c r="S35" s="6">
        <v>477</v>
      </c>
      <c r="T35" s="6">
        <v>435</v>
      </c>
      <c r="U35" s="6">
        <v>530</v>
      </c>
      <c r="V35" s="6">
        <v>659</v>
      </c>
      <c r="W35" s="6">
        <v>515</v>
      </c>
      <c r="X35" s="6">
        <v>837</v>
      </c>
      <c r="Y35" s="6">
        <v>827</v>
      </c>
      <c r="Z35" s="6">
        <v>753</v>
      </c>
      <c r="AA35" s="6">
        <v>1084</v>
      </c>
      <c r="AB35" s="27">
        <v>482</v>
      </c>
      <c r="AC35" s="27">
        <v>611</v>
      </c>
      <c r="AD35" s="27">
        <v>675</v>
      </c>
      <c r="AE35" s="33">
        <f t="shared" si="6"/>
        <v>12448</v>
      </c>
      <c r="AF35" s="33"/>
      <c r="AG35" s="41">
        <v>0.36980000000000002</v>
      </c>
      <c r="AH35" s="33">
        <f t="shared" si="7"/>
        <v>4603.2704000000003</v>
      </c>
      <c r="AI35" s="46">
        <f t="shared" si="8"/>
        <v>0.11082992232953214</v>
      </c>
      <c r="AJ35" s="46">
        <f t="shared" si="9"/>
        <v>22165.984465906429</v>
      </c>
      <c r="AK35" s="46">
        <f t="shared" si="10"/>
        <v>59940.466376166652</v>
      </c>
      <c r="AL35" s="46">
        <f t="shared" si="20"/>
        <v>16836.977818572112</v>
      </c>
      <c r="AM35" s="46">
        <f t="shared" si="11"/>
        <v>1403.0814848810094</v>
      </c>
      <c r="AN35" s="48">
        <v>8533</v>
      </c>
      <c r="AP35" s="74">
        <f>საპენსიო!D24</f>
        <v>14.980392156862745</v>
      </c>
      <c r="AQ35" s="74">
        <f>შშმპ!D21</f>
        <v>13.5</v>
      </c>
      <c r="AR35" s="9">
        <f t="shared" si="12"/>
        <v>14.240196078431373</v>
      </c>
      <c r="AS35" s="9">
        <f t="shared" si="13"/>
        <v>3.5600490196078431</v>
      </c>
      <c r="AT35" s="9">
        <f t="shared" si="14"/>
        <v>42.720588235294116</v>
      </c>
      <c r="AU35" s="76">
        <f t="shared" si="21"/>
        <v>599.21927710843374</v>
      </c>
    </row>
    <row r="36" spans="1:47" ht="24.75" hidden="1">
      <c r="A36" s="16">
        <v>36</v>
      </c>
      <c r="B36" s="24" t="s">
        <v>130</v>
      </c>
      <c r="C36" s="7" t="s">
        <v>131</v>
      </c>
      <c r="D36" s="8" t="s">
        <v>89</v>
      </c>
      <c r="E36" s="78"/>
      <c r="F36" s="78"/>
      <c r="G36" s="78">
        <f t="shared" si="4"/>
        <v>12111</v>
      </c>
      <c r="H36" s="78">
        <f t="shared" si="5"/>
        <v>40549.5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6">
        <v>12111</v>
      </c>
      <c r="AA36" s="6">
        <v>37545</v>
      </c>
      <c r="AB36" s="27">
        <v>37213</v>
      </c>
      <c r="AC36" s="27">
        <v>44342</v>
      </c>
      <c r="AD36" s="27">
        <v>43098</v>
      </c>
      <c r="AE36" s="33">
        <f t="shared" si="6"/>
        <v>174309</v>
      </c>
      <c r="AF36" s="33"/>
      <c r="AG36" s="43">
        <v>0.57999999999999996</v>
      </c>
      <c r="AH36" s="33">
        <f t="shared" si="7"/>
        <v>101099.21999999999</v>
      </c>
      <c r="AI36" s="46">
        <f t="shared" si="8"/>
        <v>2.4340996132176547</v>
      </c>
      <c r="AJ36" s="46">
        <f t="shared" si="9"/>
        <v>486819.92264353094</v>
      </c>
      <c r="AK36" s="46">
        <f t="shared" si="10"/>
        <v>839344.69421298441</v>
      </c>
      <c r="AL36" s="46">
        <f t="shared" si="20"/>
        <v>28187.520302096942</v>
      </c>
      <c r="AM36" s="46">
        <f t="shared" si="11"/>
        <v>2348.9600251747447</v>
      </c>
      <c r="AN36" s="48">
        <v>310319</v>
      </c>
      <c r="AP36" s="74">
        <f>საპენსიო!D34</f>
        <v>128.21739130434781</v>
      </c>
      <c r="AQ36" s="74">
        <f>შშმპ!D35</f>
        <v>110</v>
      </c>
      <c r="AR36" s="9">
        <f t="shared" si="12"/>
        <v>119.10869565217391</v>
      </c>
      <c r="AS36" s="9">
        <f t="shared" si="13"/>
        <v>29.777173913043477</v>
      </c>
      <c r="AT36" s="9">
        <f t="shared" si="14"/>
        <v>357.32608695652175</v>
      </c>
      <c r="AU36" s="76">
        <f t="shared" si="21"/>
        <v>2605.3429457930279</v>
      </c>
    </row>
    <row r="37" spans="1:47" ht="36.75" hidden="1">
      <c r="A37" s="16">
        <v>37</v>
      </c>
      <c r="B37" s="24" t="s">
        <v>132</v>
      </c>
      <c r="C37" s="7" t="s">
        <v>133</v>
      </c>
      <c r="D37" s="8" t="s">
        <v>106</v>
      </c>
      <c r="E37" s="78"/>
      <c r="F37" s="78"/>
      <c r="G37" s="78">
        <f t="shared" si="4"/>
        <v>2522</v>
      </c>
      <c r="H37" s="78">
        <f t="shared" si="5"/>
        <v>13491.75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6">
        <v>2522</v>
      </c>
      <c r="AA37" s="6">
        <v>11386</v>
      </c>
      <c r="AB37" s="27">
        <v>12128</v>
      </c>
      <c r="AC37" s="27">
        <v>16396</v>
      </c>
      <c r="AD37" s="27">
        <v>14057</v>
      </c>
      <c r="AE37" s="33">
        <f t="shared" si="6"/>
        <v>56489</v>
      </c>
      <c r="AF37" s="33"/>
      <c r="AG37" s="43">
        <v>0.39</v>
      </c>
      <c r="AH37" s="33">
        <f t="shared" si="7"/>
        <v>22030.71</v>
      </c>
      <c r="AI37" s="46">
        <f t="shared" si="8"/>
        <v>0.53041895565475505</v>
      </c>
      <c r="AJ37" s="46">
        <f t="shared" si="9"/>
        <v>106083.79113095101</v>
      </c>
      <c r="AK37" s="46">
        <f t="shared" si="10"/>
        <v>272009.72084859235</v>
      </c>
      <c r="AL37" s="46">
        <f t="shared" si="20"/>
        <v>8053.5816683521052</v>
      </c>
      <c r="AM37" s="46">
        <f t="shared" si="11"/>
        <v>671.13180569600888</v>
      </c>
      <c r="AN37" s="48">
        <v>194503</v>
      </c>
      <c r="AP37" s="74">
        <f>საპენსიო!D33</f>
        <v>170.2</v>
      </c>
      <c r="AQ37" s="74">
        <f>შშმპ!D34</f>
        <v>100</v>
      </c>
      <c r="AR37" s="9">
        <f t="shared" si="12"/>
        <v>135.1</v>
      </c>
      <c r="AS37" s="9">
        <f t="shared" si="13"/>
        <v>33.774999999999999</v>
      </c>
      <c r="AT37" s="9">
        <f t="shared" si="14"/>
        <v>405.29999999999995</v>
      </c>
      <c r="AU37" s="76">
        <f t="shared" si="21"/>
        <v>1439.696521095485</v>
      </c>
    </row>
    <row r="38" spans="1:47" ht="24.75">
      <c r="A38" s="16">
        <v>38</v>
      </c>
      <c r="B38" s="25" t="s">
        <v>134</v>
      </c>
      <c r="C38" s="7" t="s">
        <v>135</v>
      </c>
      <c r="D38" s="8" t="s">
        <v>136</v>
      </c>
      <c r="E38" s="78"/>
      <c r="F38" s="78"/>
      <c r="G38" s="78">
        <f t="shared" si="4"/>
        <v>2254</v>
      </c>
      <c r="H38" s="78">
        <f t="shared" si="5"/>
        <v>13798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6">
        <v>2254</v>
      </c>
      <c r="AA38" s="6">
        <v>9669</v>
      </c>
      <c r="AB38" s="27">
        <v>16679</v>
      </c>
      <c r="AC38" s="27">
        <v>15229</v>
      </c>
      <c r="AD38" s="27">
        <v>13615</v>
      </c>
      <c r="AE38" s="33">
        <f t="shared" si="6"/>
        <v>57446</v>
      </c>
      <c r="AF38" s="33"/>
      <c r="AG38" s="44">
        <v>0.70299999999999996</v>
      </c>
      <c r="AH38" s="33">
        <f t="shared" si="7"/>
        <v>40384.538</v>
      </c>
      <c r="AI38" s="46">
        <f t="shared" si="8"/>
        <v>0.97231203490762541</v>
      </c>
      <c r="AJ38" s="46">
        <f t="shared" si="9"/>
        <v>194462.4069815251</v>
      </c>
      <c r="AK38" s="46">
        <f t="shared" si="10"/>
        <v>276617.93311738991</v>
      </c>
      <c r="AL38" s="46">
        <f t="shared" si="20"/>
        <v>9069.4404300783572</v>
      </c>
      <c r="AM38" s="46">
        <f t="shared" si="11"/>
        <v>755.78670250652976</v>
      </c>
      <c r="AN38" s="48">
        <v>1841431</v>
      </c>
      <c r="AP38" s="74">
        <f>საპენსიო!D32</f>
        <v>30</v>
      </c>
      <c r="AQ38" s="74">
        <f>შშმპ!D33</f>
        <v>214</v>
      </c>
      <c r="AR38" s="9">
        <f t="shared" si="12"/>
        <v>122</v>
      </c>
      <c r="AS38" s="9">
        <f t="shared" si="13"/>
        <v>30.5</v>
      </c>
      <c r="AT38" s="9">
        <f t="shared" si="14"/>
        <v>366</v>
      </c>
      <c r="AU38" s="76">
        <f t="shared" si="21"/>
        <v>15093.696721311475</v>
      </c>
    </row>
    <row r="39" spans="1:47">
      <c r="A39" s="16">
        <v>39</v>
      </c>
      <c r="B39" s="25" t="s">
        <v>137</v>
      </c>
      <c r="C39" s="7" t="s">
        <v>138</v>
      </c>
      <c r="D39" s="8" t="s">
        <v>139</v>
      </c>
      <c r="E39" s="78"/>
      <c r="F39" s="78"/>
      <c r="G39" s="78">
        <f t="shared" si="4"/>
        <v>3581</v>
      </c>
      <c r="H39" s="78">
        <f t="shared" si="5"/>
        <v>34071.75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6">
        <v>3581</v>
      </c>
      <c r="AA39" s="6">
        <v>29394</v>
      </c>
      <c r="AB39" s="27">
        <v>42380</v>
      </c>
      <c r="AC39" s="27">
        <v>29080</v>
      </c>
      <c r="AD39" s="27">
        <v>35433</v>
      </c>
      <c r="AE39" s="33">
        <f t="shared" si="6"/>
        <v>139868</v>
      </c>
      <c r="AF39" s="33"/>
      <c r="AG39" s="41">
        <v>6.9599999999999995E-2</v>
      </c>
      <c r="AH39" s="33">
        <f t="shared" si="7"/>
        <v>9734.8127999999997</v>
      </c>
      <c r="AI39" s="46">
        <f t="shared" si="8"/>
        <v>0.23437870313169851</v>
      </c>
      <c r="AJ39" s="46">
        <f t="shared" si="9"/>
        <v>46875.740626339699</v>
      </c>
      <c r="AK39" s="46">
        <f t="shared" si="10"/>
        <v>673502.02049338655</v>
      </c>
      <c r="AL39" s="46">
        <f t="shared" si="20"/>
        <v>8379.4963669472672</v>
      </c>
      <c r="AM39" s="46">
        <f t="shared" si="11"/>
        <v>698.29136391227223</v>
      </c>
      <c r="AN39" s="48">
        <v>948766</v>
      </c>
      <c r="AP39" s="74">
        <f>საპენსიო!D36</f>
        <v>275</v>
      </c>
      <c r="AQ39" s="74">
        <f>შშმპ!D37</f>
        <v>368</v>
      </c>
      <c r="AR39" s="9">
        <f t="shared" si="12"/>
        <v>321.5</v>
      </c>
      <c r="AS39" s="9">
        <f t="shared" si="13"/>
        <v>80.375</v>
      </c>
      <c r="AT39" s="9">
        <f t="shared" si="14"/>
        <v>964.5</v>
      </c>
      <c r="AU39" s="76">
        <f t="shared" si="21"/>
        <v>2951.0606531881804</v>
      </c>
    </row>
    <row r="40" spans="1:47" ht="24.75">
      <c r="A40" s="16">
        <v>40</v>
      </c>
      <c r="B40" s="24" t="s">
        <v>140</v>
      </c>
      <c r="C40" s="7" t="s">
        <v>141</v>
      </c>
      <c r="D40" s="8" t="s">
        <v>142</v>
      </c>
      <c r="E40" s="78"/>
      <c r="F40" s="78"/>
      <c r="G40" s="78">
        <f t="shared" si="4"/>
        <v>92</v>
      </c>
      <c r="H40" s="78">
        <f t="shared" si="5"/>
        <v>5311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6">
        <v>92</v>
      </c>
      <c r="AA40" s="6">
        <v>5662</v>
      </c>
      <c r="AB40" s="27">
        <v>3330</v>
      </c>
      <c r="AC40" s="27">
        <v>4580</v>
      </c>
      <c r="AD40" s="27">
        <v>7672</v>
      </c>
      <c r="AE40" s="33">
        <f t="shared" si="6"/>
        <v>21336</v>
      </c>
      <c r="AF40" s="33"/>
      <c r="AG40" s="41">
        <f>0.0653*3.0274</f>
        <v>0.19768922</v>
      </c>
      <c r="AH40" s="33">
        <f t="shared" si="7"/>
        <v>4217.8971979199996</v>
      </c>
      <c r="AI40" s="46">
        <f t="shared" si="8"/>
        <v>0.10155154449311185</v>
      </c>
      <c r="AJ40" s="46">
        <f t="shared" si="9"/>
        <v>20310.30889862237</v>
      </c>
      <c r="AK40" s="46">
        <f t="shared" si="10"/>
        <v>102738.57572315967</v>
      </c>
      <c r="AL40" s="46">
        <f t="shared" si="20"/>
        <v>4466.8945966591155</v>
      </c>
      <c r="AM40" s="46">
        <f t="shared" si="11"/>
        <v>372.24121638825966</v>
      </c>
      <c r="AN40" s="48">
        <v>235752</v>
      </c>
      <c r="AP40" s="74"/>
      <c r="AQ40" s="74">
        <f>შშმპ!D29</f>
        <v>92</v>
      </c>
      <c r="AR40" s="9">
        <f t="shared" si="12"/>
        <v>92</v>
      </c>
      <c r="AS40" s="9">
        <f t="shared" si="13"/>
        <v>23</v>
      </c>
      <c r="AT40" s="9">
        <f t="shared" si="14"/>
        <v>276</v>
      </c>
      <c r="AU40" s="76">
        <f t="shared" si="21"/>
        <v>2562.521739130435</v>
      </c>
    </row>
    <row r="41" spans="1:47" ht="24.75">
      <c r="A41" s="16">
        <v>41</v>
      </c>
      <c r="B41" s="24" t="s">
        <v>143</v>
      </c>
      <c r="C41" s="7" t="s">
        <v>144</v>
      </c>
      <c r="D41" s="8" t="s">
        <v>106</v>
      </c>
      <c r="E41" s="78"/>
      <c r="F41" s="78"/>
      <c r="G41" s="78">
        <f t="shared" si="4"/>
        <v>276</v>
      </c>
      <c r="H41" s="78">
        <f t="shared" si="5"/>
        <v>13475.5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6">
        <v>276</v>
      </c>
      <c r="AA41" s="6">
        <v>11673</v>
      </c>
      <c r="AB41" s="27">
        <v>12009</v>
      </c>
      <c r="AC41" s="27">
        <v>11266</v>
      </c>
      <c r="AD41" s="27">
        <v>18954</v>
      </c>
      <c r="AE41" s="33">
        <f t="shared" si="6"/>
        <v>54178</v>
      </c>
      <c r="AF41" s="33"/>
      <c r="AG41" s="41">
        <f>0.0911*3.0274</f>
        <v>0.27579614000000002</v>
      </c>
      <c r="AH41" s="33">
        <f t="shared" si="7"/>
        <v>14942.083272920001</v>
      </c>
      <c r="AI41" s="46">
        <f t="shared" si="8"/>
        <v>0.35975073907870475</v>
      </c>
      <c r="AJ41" s="46">
        <f t="shared" si="9"/>
        <v>71950.147815740944</v>
      </c>
      <c r="AK41" s="46">
        <f t="shared" si="10"/>
        <v>260881.63458611473</v>
      </c>
      <c r="AL41" s="46">
        <f t="shared" si="20"/>
        <v>11594.739314938432</v>
      </c>
      <c r="AM41" s="46">
        <f t="shared" si="11"/>
        <v>966.22827624486933</v>
      </c>
      <c r="AN41" s="48">
        <v>1175322</v>
      </c>
      <c r="AP41" s="74"/>
      <c r="AQ41" s="74">
        <f>შშმპ!D30</f>
        <v>90</v>
      </c>
      <c r="AR41" s="9">
        <f t="shared" si="12"/>
        <v>90</v>
      </c>
      <c r="AS41" s="9">
        <f t="shared" si="13"/>
        <v>22.5</v>
      </c>
      <c r="AT41" s="9">
        <f t="shared" si="14"/>
        <v>270</v>
      </c>
      <c r="AU41" s="76">
        <f t="shared" si="21"/>
        <v>13059.133333333333</v>
      </c>
    </row>
    <row r="42" spans="1:47">
      <c r="A42" s="16">
        <v>42</v>
      </c>
      <c r="B42" s="25" t="s">
        <v>196</v>
      </c>
      <c r="C42" s="7" t="s">
        <v>146</v>
      </c>
      <c r="D42" s="8" t="s">
        <v>147</v>
      </c>
      <c r="E42" s="78"/>
      <c r="F42" s="78"/>
      <c r="G42" s="78"/>
      <c r="H42" s="78">
        <f t="shared" si="5"/>
        <v>2032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6"/>
      <c r="AA42" s="6">
        <v>1803</v>
      </c>
      <c r="AB42" s="27">
        <v>1784</v>
      </c>
      <c r="AC42" s="27">
        <v>1724</v>
      </c>
      <c r="AD42" s="27">
        <v>2817</v>
      </c>
      <c r="AE42" s="33">
        <f t="shared" si="6"/>
        <v>8128</v>
      </c>
      <c r="AF42" s="33"/>
      <c r="AG42" s="41">
        <v>1.0943000000000001</v>
      </c>
      <c r="AH42" s="33">
        <f t="shared" si="7"/>
        <v>8894.4704000000002</v>
      </c>
      <c r="AI42" s="46">
        <f t="shared" si="8"/>
        <v>0.21414633031210215</v>
      </c>
      <c r="AJ42" s="46">
        <f t="shared" si="9"/>
        <v>42829.266062420429</v>
      </c>
      <c r="AK42" s="46">
        <f t="shared" si="10"/>
        <v>39138.505037394156</v>
      </c>
      <c r="AN42" s="48">
        <v>449555</v>
      </c>
      <c r="AP42" s="74"/>
      <c r="AQ42" s="74"/>
      <c r="AR42" s="9"/>
      <c r="AS42" s="9">
        <f t="shared" si="13"/>
        <v>0</v>
      </c>
      <c r="AT42" s="9">
        <f t="shared" si="14"/>
        <v>0</v>
      </c>
      <c r="AU42" s="76"/>
    </row>
    <row r="43" spans="1:47">
      <c r="A43" s="16">
        <v>43</v>
      </c>
      <c r="B43" s="25" t="s">
        <v>197</v>
      </c>
      <c r="C43" s="7" t="s">
        <v>149</v>
      </c>
      <c r="D43" s="8" t="s">
        <v>150</v>
      </c>
      <c r="E43" s="78"/>
      <c r="F43" s="78"/>
      <c r="G43" s="78">
        <f t="shared" si="4"/>
        <v>990</v>
      </c>
      <c r="H43" s="78">
        <f t="shared" si="5"/>
        <v>6296.5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6">
        <v>990</v>
      </c>
      <c r="AA43" s="6">
        <v>2878</v>
      </c>
      <c r="AB43" s="27">
        <v>5373</v>
      </c>
      <c r="AC43" s="27">
        <v>6512</v>
      </c>
      <c r="AD43" s="27">
        <v>10423</v>
      </c>
      <c r="AE43" s="33">
        <f t="shared" si="6"/>
        <v>26176</v>
      </c>
      <c r="AF43" s="33"/>
      <c r="AG43" s="43">
        <v>0.37</v>
      </c>
      <c r="AH43" s="33">
        <f t="shared" si="7"/>
        <v>9685.119999999999</v>
      </c>
      <c r="AI43" s="46">
        <f t="shared" si="8"/>
        <v>0.23318228217751405</v>
      </c>
      <c r="AJ43" s="46">
        <f t="shared" si="9"/>
        <v>46636.456435502812</v>
      </c>
      <c r="AK43" s="46">
        <f>AJ43/AG43</f>
        <v>126044.4768527103</v>
      </c>
      <c r="AL43" s="46">
        <f>AK43/AS43</f>
        <v>3734.6511660062311</v>
      </c>
      <c r="AM43" s="46">
        <f t="shared" si="11"/>
        <v>311.22093050051927</v>
      </c>
      <c r="AN43" s="48">
        <v>165836</v>
      </c>
      <c r="AP43" s="74"/>
      <c r="AQ43" s="74">
        <f>შშმპ!D32</f>
        <v>135</v>
      </c>
      <c r="AR43" s="9">
        <f t="shared" si="12"/>
        <v>135</v>
      </c>
      <c r="AS43" s="9">
        <f t="shared" si="13"/>
        <v>33.75</v>
      </c>
      <c r="AT43" s="9">
        <f t="shared" si="14"/>
        <v>405</v>
      </c>
      <c r="AU43" s="76">
        <f>AN43/AR43</f>
        <v>1228.4148148148149</v>
      </c>
    </row>
    <row r="44" spans="1:47">
      <c r="E44" s="78"/>
      <c r="F44" s="80"/>
      <c r="G44" s="80"/>
      <c r="H44" s="80"/>
      <c r="AB44" s="30"/>
      <c r="AC44" s="30"/>
      <c r="AD44" s="30"/>
      <c r="AE44" s="76">
        <f>SUM(AE2:AE43)</f>
        <v>28656834</v>
      </c>
      <c r="AH44" s="33">
        <f>SUM(AH2:AH43)</f>
        <v>4153454.5033001406</v>
      </c>
      <c r="AJ44" s="46">
        <v>20000000</v>
      </c>
      <c r="AM44" s="46">
        <f>SUM(AM2:AM43)</f>
        <v>529846.14803571731</v>
      </c>
    </row>
  </sheetData>
  <mergeCells count="1">
    <mergeCell ref="A2:A3"/>
  </mergeCells>
  <pageMargins left="0.7" right="0.7" top="0.75" bottom="0.75" header="0.3" footer="0.3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44"/>
  <sheetViews>
    <sheetView tabSelected="1" topLeftCell="Z1" workbookViewId="0">
      <selection activeCell="Z1" sqref="A1:XFD1048576"/>
    </sheetView>
  </sheetViews>
  <sheetFormatPr defaultRowHeight="15"/>
  <cols>
    <col min="1" max="1" width="4" style="2" customWidth="1"/>
    <col min="2" max="2" width="24.42578125" style="2" customWidth="1"/>
    <col min="3" max="3" width="19.85546875" style="2" customWidth="1"/>
    <col min="4" max="4" width="9.28515625" style="2" customWidth="1"/>
    <col min="5" max="8" width="11.85546875" style="79" customWidth="1"/>
    <col min="9" max="9" width="8.28515625" style="2" customWidth="1"/>
    <col min="10" max="10" width="9.140625" style="2"/>
    <col min="11" max="13" width="7.5703125" style="2" customWidth="1"/>
    <col min="14" max="14" width="10.28515625" style="2" customWidth="1"/>
    <col min="15" max="15" width="10.5703125" style="2" customWidth="1"/>
    <col min="16" max="16" width="11.140625" style="2" customWidth="1"/>
    <col min="17" max="17" width="10.42578125" style="2" customWidth="1"/>
    <col min="18" max="25" width="11" style="2" customWidth="1"/>
    <col min="26" max="27" width="11" style="3" customWidth="1"/>
    <col min="28" max="28" width="8.28515625" style="31" customWidth="1"/>
    <col min="29" max="29" width="9.85546875" style="31" customWidth="1"/>
    <col min="30" max="30" width="9.28515625" style="31" customWidth="1"/>
    <col min="31" max="32" width="15.28515625" style="2" customWidth="1"/>
    <col min="33" max="33" width="12.5703125" style="45" customWidth="1"/>
    <col min="34" max="34" width="20.7109375" style="33" customWidth="1"/>
    <col min="35" max="39" width="20.7109375" style="46" customWidth="1"/>
    <col min="40" max="40" width="12.42578125" style="49" customWidth="1"/>
    <col min="41" max="41" width="38.5703125" style="2" customWidth="1"/>
    <col min="42" max="42" width="9.140625" style="73"/>
    <col min="43" max="46" width="9.140625" style="2"/>
    <col min="47" max="47" width="13.140625" style="2" customWidth="1"/>
    <col min="48" max="48" width="16.7109375" style="2" customWidth="1"/>
    <col min="49" max="260" width="9.140625" style="2"/>
    <col min="261" max="261" width="4" style="2" customWidth="1"/>
    <col min="262" max="262" width="24.42578125" style="2" customWidth="1"/>
    <col min="263" max="263" width="19.85546875" style="2" customWidth="1"/>
    <col min="264" max="264" width="9.28515625" style="2" customWidth="1"/>
    <col min="265" max="265" width="10" style="2" customWidth="1"/>
    <col min="266" max="266" width="8.42578125" style="2" customWidth="1"/>
    <col min="267" max="267" width="12.28515625" style="2" customWidth="1"/>
    <col min="268" max="268" width="7.5703125" style="2" customWidth="1"/>
    <col min="269" max="269" width="7.85546875" style="2" customWidth="1"/>
    <col min="270" max="270" width="8.28515625" style="2" customWidth="1"/>
    <col min="271" max="271" width="9.140625" style="2"/>
    <col min="272" max="274" width="7.5703125" style="2" customWidth="1"/>
    <col min="275" max="275" width="10.28515625" style="2" customWidth="1"/>
    <col min="276" max="276" width="10.5703125" style="2" customWidth="1"/>
    <col min="277" max="277" width="11.140625" style="2" customWidth="1"/>
    <col min="278" max="278" width="10.42578125" style="2" customWidth="1"/>
    <col min="279" max="288" width="11" style="2" customWidth="1"/>
    <col min="289" max="289" width="9.140625" style="2" customWidth="1"/>
    <col min="290" max="290" width="6.85546875" style="2" customWidth="1"/>
    <col min="291" max="291" width="15" style="2" bestFit="1" customWidth="1"/>
    <col min="292" max="516" width="9.140625" style="2"/>
    <col min="517" max="517" width="4" style="2" customWidth="1"/>
    <col min="518" max="518" width="24.42578125" style="2" customWidth="1"/>
    <col min="519" max="519" width="19.85546875" style="2" customWidth="1"/>
    <col min="520" max="520" width="9.28515625" style="2" customWidth="1"/>
    <col min="521" max="521" width="10" style="2" customWidth="1"/>
    <col min="522" max="522" width="8.42578125" style="2" customWidth="1"/>
    <col min="523" max="523" width="12.28515625" style="2" customWidth="1"/>
    <col min="524" max="524" width="7.5703125" style="2" customWidth="1"/>
    <col min="525" max="525" width="7.85546875" style="2" customWidth="1"/>
    <col min="526" max="526" width="8.28515625" style="2" customWidth="1"/>
    <col min="527" max="527" width="9.140625" style="2"/>
    <col min="528" max="530" width="7.5703125" style="2" customWidth="1"/>
    <col min="531" max="531" width="10.28515625" style="2" customWidth="1"/>
    <col min="532" max="532" width="10.5703125" style="2" customWidth="1"/>
    <col min="533" max="533" width="11.140625" style="2" customWidth="1"/>
    <col min="534" max="534" width="10.42578125" style="2" customWidth="1"/>
    <col min="535" max="544" width="11" style="2" customWidth="1"/>
    <col min="545" max="545" width="9.140625" style="2" customWidth="1"/>
    <col min="546" max="546" width="6.85546875" style="2" customWidth="1"/>
    <col min="547" max="547" width="15" style="2" bestFit="1" customWidth="1"/>
    <col min="548" max="772" width="9.140625" style="2"/>
    <col min="773" max="773" width="4" style="2" customWidth="1"/>
    <col min="774" max="774" width="24.42578125" style="2" customWidth="1"/>
    <col min="775" max="775" width="19.85546875" style="2" customWidth="1"/>
    <col min="776" max="776" width="9.28515625" style="2" customWidth="1"/>
    <col min="777" max="777" width="10" style="2" customWidth="1"/>
    <col min="778" max="778" width="8.42578125" style="2" customWidth="1"/>
    <col min="779" max="779" width="12.28515625" style="2" customWidth="1"/>
    <col min="780" max="780" width="7.5703125" style="2" customWidth="1"/>
    <col min="781" max="781" width="7.85546875" style="2" customWidth="1"/>
    <col min="782" max="782" width="8.28515625" style="2" customWidth="1"/>
    <col min="783" max="783" width="9.140625" style="2"/>
    <col min="784" max="786" width="7.5703125" style="2" customWidth="1"/>
    <col min="787" max="787" width="10.28515625" style="2" customWidth="1"/>
    <col min="788" max="788" width="10.5703125" style="2" customWidth="1"/>
    <col min="789" max="789" width="11.140625" style="2" customWidth="1"/>
    <col min="790" max="790" width="10.42578125" style="2" customWidth="1"/>
    <col min="791" max="800" width="11" style="2" customWidth="1"/>
    <col min="801" max="801" width="9.140625" style="2" customWidth="1"/>
    <col min="802" max="802" width="6.85546875" style="2" customWidth="1"/>
    <col min="803" max="803" width="15" style="2" bestFit="1" customWidth="1"/>
    <col min="804" max="1028" width="9.140625" style="2"/>
    <col min="1029" max="1029" width="4" style="2" customWidth="1"/>
    <col min="1030" max="1030" width="24.42578125" style="2" customWidth="1"/>
    <col min="1031" max="1031" width="19.85546875" style="2" customWidth="1"/>
    <col min="1032" max="1032" width="9.28515625" style="2" customWidth="1"/>
    <col min="1033" max="1033" width="10" style="2" customWidth="1"/>
    <col min="1034" max="1034" width="8.42578125" style="2" customWidth="1"/>
    <col min="1035" max="1035" width="12.28515625" style="2" customWidth="1"/>
    <col min="1036" max="1036" width="7.5703125" style="2" customWidth="1"/>
    <col min="1037" max="1037" width="7.85546875" style="2" customWidth="1"/>
    <col min="1038" max="1038" width="8.28515625" style="2" customWidth="1"/>
    <col min="1039" max="1039" width="9.140625" style="2"/>
    <col min="1040" max="1042" width="7.5703125" style="2" customWidth="1"/>
    <col min="1043" max="1043" width="10.28515625" style="2" customWidth="1"/>
    <col min="1044" max="1044" width="10.5703125" style="2" customWidth="1"/>
    <col min="1045" max="1045" width="11.140625" style="2" customWidth="1"/>
    <col min="1046" max="1046" width="10.42578125" style="2" customWidth="1"/>
    <col min="1047" max="1056" width="11" style="2" customWidth="1"/>
    <col min="1057" max="1057" width="9.140625" style="2" customWidth="1"/>
    <col min="1058" max="1058" width="6.85546875" style="2" customWidth="1"/>
    <col min="1059" max="1059" width="15" style="2" bestFit="1" customWidth="1"/>
    <col min="1060" max="1284" width="9.140625" style="2"/>
    <col min="1285" max="1285" width="4" style="2" customWidth="1"/>
    <col min="1286" max="1286" width="24.42578125" style="2" customWidth="1"/>
    <col min="1287" max="1287" width="19.85546875" style="2" customWidth="1"/>
    <col min="1288" max="1288" width="9.28515625" style="2" customWidth="1"/>
    <col min="1289" max="1289" width="10" style="2" customWidth="1"/>
    <col min="1290" max="1290" width="8.42578125" style="2" customWidth="1"/>
    <col min="1291" max="1291" width="12.28515625" style="2" customWidth="1"/>
    <col min="1292" max="1292" width="7.5703125" style="2" customWidth="1"/>
    <col min="1293" max="1293" width="7.85546875" style="2" customWidth="1"/>
    <col min="1294" max="1294" width="8.28515625" style="2" customWidth="1"/>
    <col min="1295" max="1295" width="9.140625" style="2"/>
    <col min="1296" max="1298" width="7.5703125" style="2" customWidth="1"/>
    <col min="1299" max="1299" width="10.28515625" style="2" customWidth="1"/>
    <col min="1300" max="1300" width="10.5703125" style="2" customWidth="1"/>
    <col min="1301" max="1301" width="11.140625" style="2" customWidth="1"/>
    <col min="1302" max="1302" width="10.42578125" style="2" customWidth="1"/>
    <col min="1303" max="1312" width="11" style="2" customWidth="1"/>
    <col min="1313" max="1313" width="9.140625" style="2" customWidth="1"/>
    <col min="1314" max="1314" width="6.85546875" style="2" customWidth="1"/>
    <col min="1315" max="1315" width="15" style="2" bestFit="1" customWidth="1"/>
    <col min="1316" max="1540" width="9.140625" style="2"/>
    <col min="1541" max="1541" width="4" style="2" customWidth="1"/>
    <col min="1542" max="1542" width="24.42578125" style="2" customWidth="1"/>
    <col min="1543" max="1543" width="19.85546875" style="2" customWidth="1"/>
    <col min="1544" max="1544" width="9.28515625" style="2" customWidth="1"/>
    <col min="1545" max="1545" width="10" style="2" customWidth="1"/>
    <col min="1546" max="1546" width="8.42578125" style="2" customWidth="1"/>
    <col min="1547" max="1547" width="12.28515625" style="2" customWidth="1"/>
    <col min="1548" max="1548" width="7.5703125" style="2" customWidth="1"/>
    <col min="1549" max="1549" width="7.85546875" style="2" customWidth="1"/>
    <col min="1550" max="1550" width="8.28515625" style="2" customWidth="1"/>
    <col min="1551" max="1551" width="9.140625" style="2"/>
    <col min="1552" max="1554" width="7.5703125" style="2" customWidth="1"/>
    <col min="1555" max="1555" width="10.28515625" style="2" customWidth="1"/>
    <col min="1556" max="1556" width="10.5703125" style="2" customWidth="1"/>
    <col min="1557" max="1557" width="11.140625" style="2" customWidth="1"/>
    <col min="1558" max="1558" width="10.42578125" style="2" customWidth="1"/>
    <col min="1559" max="1568" width="11" style="2" customWidth="1"/>
    <col min="1569" max="1569" width="9.140625" style="2" customWidth="1"/>
    <col min="1570" max="1570" width="6.85546875" style="2" customWidth="1"/>
    <col min="1571" max="1571" width="15" style="2" bestFit="1" customWidth="1"/>
    <col min="1572" max="1796" width="9.140625" style="2"/>
    <col min="1797" max="1797" width="4" style="2" customWidth="1"/>
    <col min="1798" max="1798" width="24.42578125" style="2" customWidth="1"/>
    <col min="1799" max="1799" width="19.85546875" style="2" customWidth="1"/>
    <col min="1800" max="1800" width="9.28515625" style="2" customWidth="1"/>
    <col min="1801" max="1801" width="10" style="2" customWidth="1"/>
    <col min="1802" max="1802" width="8.42578125" style="2" customWidth="1"/>
    <col min="1803" max="1803" width="12.28515625" style="2" customWidth="1"/>
    <col min="1804" max="1804" width="7.5703125" style="2" customWidth="1"/>
    <col min="1805" max="1805" width="7.85546875" style="2" customWidth="1"/>
    <col min="1806" max="1806" width="8.28515625" style="2" customWidth="1"/>
    <col min="1807" max="1807" width="9.140625" style="2"/>
    <col min="1808" max="1810" width="7.5703125" style="2" customWidth="1"/>
    <col min="1811" max="1811" width="10.28515625" style="2" customWidth="1"/>
    <col min="1812" max="1812" width="10.5703125" style="2" customWidth="1"/>
    <col min="1813" max="1813" width="11.140625" style="2" customWidth="1"/>
    <col min="1814" max="1814" width="10.42578125" style="2" customWidth="1"/>
    <col min="1815" max="1824" width="11" style="2" customWidth="1"/>
    <col min="1825" max="1825" width="9.140625" style="2" customWidth="1"/>
    <col min="1826" max="1826" width="6.85546875" style="2" customWidth="1"/>
    <col min="1827" max="1827" width="15" style="2" bestFit="1" customWidth="1"/>
    <col min="1828" max="2052" width="9.140625" style="2"/>
    <col min="2053" max="2053" width="4" style="2" customWidth="1"/>
    <col min="2054" max="2054" width="24.42578125" style="2" customWidth="1"/>
    <col min="2055" max="2055" width="19.85546875" style="2" customWidth="1"/>
    <col min="2056" max="2056" width="9.28515625" style="2" customWidth="1"/>
    <col min="2057" max="2057" width="10" style="2" customWidth="1"/>
    <col min="2058" max="2058" width="8.42578125" style="2" customWidth="1"/>
    <col min="2059" max="2059" width="12.28515625" style="2" customWidth="1"/>
    <col min="2060" max="2060" width="7.5703125" style="2" customWidth="1"/>
    <col min="2061" max="2061" width="7.85546875" style="2" customWidth="1"/>
    <col min="2062" max="2062" width="8.28515625" style="2" customWidth="1"/>
    <col min="2063" max="2063" width="9.140625" style="2"/>
    <col min="2064" max="2066" width="7.5703125" style="2" customWidth="1"/>
    <col min="2067" max="2067" width="10.28515625" style="2" customWidth="1"/>
    <col min="2068" max="2068" width="10.5703125" style="2" customWidth="1"/>
    <col min="2069" max="2069" width="11.140625" style="2" customWidth="1"/>
    <col min="2070" max="2070" width="10.42578125" style="2" customWidth="1"/>
    <col min="2071" max="2080" width="11" style="2" customWidth="1"/>
    <col min="2081" max="2081" width="9.140625" style="2" customWidth="1"/>
    <col min="2082" max="2082" width="6.85546875" style="2" customWidth="1"/>
    <col min="2083" max="2083" width="15" style="2" bestFit="1" customWidth="1"/>
    <col min="2084" max="2308" width="9.140625" style="2"/>
    <col min="2309" max="2309" width="4" style="2" customWidth="1"/>
    <col min="2310" max="2310" width="24.42578125" style="2" customWidth="1"/>
    <col min="2311" max="2311" width="19.85546875" style="2" customWidth="1"/>
    <col min="2312" max="2312" width="9.28515625" style="2" customWidth="1"/>
    <col min="2313" max="2313" width="10" style="2" customWidth="1"/>
    <col min="2314" max="2314" width="8.42578125" style="2" customWidth="1"/>
    <col min="2315" max="2315" width="12.28515625" style="2" customWidth="1"/>
    <col min="2316" max="2316" width="7.5703125" style="2" customWidth="1"/>
    <col min="2317" max="2317" width="7.85546875" style="2" customWidth="1"/>
    <col min="2318" max="2318" width="8.28515625" style="2" customWidth="1"/>
    <col min="2319" max="2319" width="9.140625" style="2"/>
    <col min="2320" max="2322" width="7.5703125" style="2" customWidth="1"/>
    <col min="2323" max="2323" width="10.28515625" style="2" customWidth="1"/>
    <col min="2324" max="2324" width="10.5703125" style="2" customWidth="1"/>
    <col min="2325" max="2325" width="11.140625" style="2" customWidth="1"/>
    <col min="2326" max="2326" width="10.42578125" style="2" customWidth="1"/>
    <col min="2327" max="2336" width="11" style="2" customWidth="1"/>
    <col min="2337" max="2337" width="9.140625" style="2" customWidth="1"/>
    <col min="2338" max="2338" width="6.85546875" style="2" customWidth="1"/>
    <col min="2339" max="2339" width="15" style="2" bestFit="1" customWidth="1"/>
    <col min="2340" max="2564" width="9.140625" style="2"/>
    <col min="2565" max="2565" width="4" style="2" customWidth="1"/>
    <col min="2566" max="2566" width="24.42578125" style="2" customWidth="1"/>
    <col min="2567" max="2567" width="19.85546875" style="2" customWidth="1"/>
    <col min="2568" max="2568" width="9.28515625" style="2" customWidth="1"/>
    <col min="2569" max="2569" width="10" style="2" customWidth="1"/>
    <col min="2570" max="2570" width="8.42578125" style="2" customWidth="1"/>
    <col min="2571" max="2571" width="12.28515625" style="2" customWidth="1"/>
    <col min="2572" max="2572" width="7.5703125" style="2" customWidth="1"/>
    <col min="2573" max="2573" width="7.85546875" style="2" customWidth="1"/>
    <col min="2574" max="2574" width="8.28515625" style="2" customWidth="1"/>
    <col min="2575" max="2575" width="9.140625" style="2"/>
    <col min="2576" max="2578" width="7.5703125" style="2" customWidth="1"/>
    <col min="2579" max="2579" width="10.28515625" style="2" customWidth="1"/>
    <col min="2580" max="2580" width="10.5703125" style="2" customWidth="1"/>
    <col min="2581" max="2581" width="11.140625" style="2" customWidth="1"/>
    <col min="2582" max="2582" width="10.42578125" style="2" customWidth="1"/>
    <col min="2583" max="2592" width="11" style="2" customWidth="1"/>
    <col min="2593" max="2593" width="9.140625" style="2" customWidth="1"/>
    <col min="2594" max="2594" width="6.85546875" style="2" customWidth="1"/>
    <col min="2595" max="2595" width="15" style="2" bestFit="1" customWidth="1"/>
    <col min="2596" max="2820" width="9.140625" style="2"/>
    <col min="2821" max="2821" width="4" style="2" customWidth="1"/>
    <col min="2822" max="2822" width="24.42578125" style="2" customWidth="1"/>
    <col min="2823" max="2823" width="19.85546875" style="2" customWidth="1"/>
    <col min="2824" max="2824" width="9.28515625" style="2" customWidth="1"/>
    <col min="2825" max="2825" width="10" style="2" customWidth="1"/>
    <col min="2826" max="2826" width="8.42578125" style="2" customWidth="1"/>
    <col min="2827" max="2827" width="12.28515625" style="2" customWidth="1"/>
    <col min="2828" max="2828" width="7.5703125" style="2" customWidth="1"/>
    <col min="2829" max="2829" width="7.85546875" style="2" customWidth="1"/>
    <col min="2830" max="2830" width="8.28515625" style="2" customWidth="1"/>
    <col min="2831" max="2831" width="9.140625" style="2"/>
    <col min="2832" max="2834" width="7.5703125" style="2" customWidth="1"/>
    <col min="2835" max="2835" width="10.28515625" style="2" customWidth="1"/>
    <col min="2836" max="2836" width="10.5703125" style="2" customWidth="1"/>
    <col min="2837" max="2837" width="11.140625" style="2" customWidth="1"/>
    <col min="2838" max="2838" width="10.42578125" style="2" customWidth="1"/>
    <col min="2839" max="2848" width="11" style="2" customWidth="1"/>
    <col min="2849" max="2849" width="9.140625" style="2" customWidth="1"/>
    <col min="2850" max="2850" width="6.85546875" style="2" customWidth="1"/>
    <col min="2851" max="2851" width="15" style="2" bestFit="1" customWidth="1"/>
    <col min="2852" max="3076" width="9.140625" style="2"/>
    <col min="3077" max="3077" width="4" style="2" customWidth="1"/>
    <col min="3078" max="3078" width="24.42578125" style="2" customWidth="1"/>
    <col min="3079" max="3079" width="19.85546875" style="2" customWidth="1"/>
    <col min="3080" max="3080" width="9.28515625" style="2" customWidth="1"/>
    <col min="3081" max="3081" width="10" style="2" customWidth="1"/>
    <col min="3082" max="3082" width="8.42578125" style="2" customWidth="1"/>
    <col min="3083" max="3083" width="12.28515625" style="2" customWidth="1"/>
    <col min="3084" max="3084" width="7.5703125" style="2" customWidth="1"/>
    <col min="3085" max="3085" width="7.85546875" style="2" customWidth="1"/>
    <col min="3086" max="3086" width="8.28515625" style="2" customWidth="1"/>
    <col min="3087" max="3087" width="9.140625" style="2"/>
    <col min="3088" max="3090" width="7.5703125" style="2" customWidth="1"/>
    <col min="3091" max="3091" width="10.28515625" style="2" customWidth="1"/>
    <col min="3092" max="3092" width="10.5703125" style="2" customWidth="1"/>
    <col min="3093" max="3093" width="11.140625" style="2" customWidth="1"/>
    <col min="3094" max="3094" width="10.42578125" style="2" customWidth="1"/>
    <col min="3095" max="3104" width="11" style="2" customWidth="1"/>
    <col min="3105" max="3105" width="9.140625" style="2" customWidth="1"/>
    <col min="3106" max="3106" width="6.85546875" style="2" customWidth="1"/>
    <col min="3107" max="3107" width="15" style="2" bestFit="1" customWidth="1"/>
    <col min="3108" max="3332" width="9.140625" style="2"/>
    <col min="3333" max="3333" width="4" style="2" customWidth="1"/>
    <col min="3334" max="3334" width="24.42578125" style="2" customWidth="1"/>
    <col min="3335" max="3335" width="19.85546875" style="2" customWidth="1"/>
    <col min="3336" max="3336" width="9.28515625" style="2" customWidth="1"/>
    <col min="3337" max="3337" width="10" style="2" customWidth="1"/>
    <col min="3338" max="3338" width="8.42578125" style="2" customWidth="1"/>
    <col min="3339" max="3339" width="12.28515625" style="2" customWidth="1"/>
    <col min="3340" max="3340" width="7.5703125" style="2" customWidth="1"/>
    <col min="3341" max="3341" width="7.85546875" style="2" customWidth="1"/>
    <col min="3342" max="3342" width="8.28515625" style="2" customWidth="1"/>
    <col min="3343" max="3343" width="9.140625" style="2"/>
    <col min="3344" max="3346" width="7.5703125" style="2" customWidth="1"/>
    <col min="3347" max="3347" width="10.28515625" style="2" customWidth="1"/>
    <col min="3348" max="3348" width="10.5703125" style="2" customWidth="1"/>
    <col min="3349" max="3349" width="11.140625" style="2" customWidth="1"/>
    <col min="3350" max="3350" width="10.42578125" style="2" customWidth="1"/>
    <col min="3351" max="3360" width="11" style="2" customWidth="1"/>
    <col min="3361" max="3361" width="9.140625" style="2" customWidth="1"/>
    <col min="3362" max="3362" width="6.85546875" style="2" customWidth="1"/>
    <col min="3363" max="3363" width="15" style="2" bestFit="1" customWidth="1"/>
    <col min="3364" max="3588" width="9.140625" style="2"/>
    <col min="3589" max="3589" width="4" style="2" customWidth="1"/>
    <col min="3590" max="3590" width="24.42578125" style="2" customWidth="1"/>
    <col min="3591" max="3591" width="19.85546875" style="2" customWidth="1"/>
    <col min="3592" max="3592" width="9.28515625" style="2" customWidth="1"/>
    <col min="3593" max="3593" width="10" style="2" customWidth="1"/>
    <col min="3594" max="3594" width="8.42578125" style="2" customWidth="1"/>
    <col min="3595" max="3595" width="12.28515625" style="2" customWidth="1"/>
    <col min="3596" max="3596" width="7.5703125" style="2" customWidth="1"/>
    <col min="3597" max="3597" width="7.85546875" style="2" customWidth="1"/>
    <col min="3598" max="3598" width="8.28515625" style="2" customWidth="1"/>
    <col min="3599" max="3599" width="9.140625" style="2"/>
    <col min="3600" max="3602" width="7.5703125" style="2" customWidth="1"/>
    <col min="3603" max="3603" width="10.28515625" style="2" customWidth="1"/>
    <col min="3604" max="3604" width="10.5703125" style="2" customWidth="1"/>
    <col min="3605" max="3605" width="11.140625" style="2" customWidth="1"/>
    <col min="3606" max="3606" width="10.42578125" style="2" customWidth="1"/>
    <col min="3607" max="3616" width="11" style="2" customWidth="1"/>
    <col min="3617" max="3617" width="9.140625" style="2" customWidth="1"/>
    <col min="3618" max="3618" width="6.85546875" style="2" customWidth="1"/>
    <col min="3619" max="3619" width="15" style="2" bestFit="1" customWidth="1"/>
    <col min="3620" max="3844" width="9.140625" style="2"/>
    <col min="3845" max="3845" width="4" style="2" customWidth="1"/>
    <col min="3846" max="3846" width="24.42578125" style="2" customWidth="1"/>
    <col min="3847" max="3847" width="19.85546875" style="2" customWidth="1"/>
    <col min="3848" max="3848" width="9.28515625" style="2" customWidth="1"/>
    <col min="3849" max="3849" width="10" style="2" customWidth="1"/>
    <col min="3850" max="3850" width="8.42578125" style="2" customWidth="1"/>
    <col min="3851" max="3851" width="12.28515625" style="2" customWidth="1"/>
    <col min="3852" max="3852" width="7.5703125" style="2" customWidth="1"/>
    <col min="3853" max="3853" width="7.85546875" style="2" customWidth="1"/>
    <col min="3854" max="3854" width="8.28515625" style="2" customWidth="1"/>
    <col min="3855" max="3855" width="9.140625" style="2"/>
    <col min="3856" max="3858" width="7.5703125" style="2" customWidth="1"/>
    <col min="3859" max="3859" width="10.28515625" style="2" customWidth="1"/>
    <col min="3860" max="3860" width="10.5703125" style="2" customWidth="1"/>
    <col min="3861" max="3861" width="11.140625" style="2" customWidth="1"/>
    <col min="3862" max="3862" width="10.42578125" style="2" customWidth="1"/>
    <col min="3863" max="3872" width="11" style="2" customWidth="1"/>
    <col min="3873" max="3873" width="9.140625" style="2" customWidth="1"/>
    <col min="3874" max="3874" width="6.85546875" style="2" customWidth="1"/>
    <col min="3875" max="3875" width="15" style="2" bestFit="1" customWidth="1"/>
    <col min="3876" max="4100" width="9.140625" style="2"/>
    <col min="4101" max="4101" width="4" style="2" customWidth="1"/>
    <col min="4102" max="4102" width="24.42578125" style="2" customWidth="1"/>
    <col min="4103" max="4103" width="19.85546875" style="2" customWidth="1"/>
    <col min="4104" max="4104" width="9.28515625" style="2" customWidth="1"/>
    <col min="4105" max="4105" width="10" style="2" customWidth="1"/>
    <col min="4106" max="4106" width="8.42578125" style="2" customWidth="1"/>
    <col min="4107" max="4107" width="12.28515625" style="2" customWidth="1"/>
    <col min="4108" max="4108" width="7.5703125" style="2" customWidth="1"/>
    <col min="4109" max="4109" width="7.85546875" style="2" customWidth="1"/>
    <col min="4110" max="4110" width="8.28515625" style="2" customWidth="1"/>
    <col min="4111" max="4111" width="9.140625" style="2"/>
    <col min="4112" max="4114" width="7.5703125" style="2" customWidth="1"/>
    <col min="4115" max="4115" width="10.28515625" style="2" customWidth="1"/>
    <col min="4116" max="4116" width="10.5703125" style="2" customWidth="1"/>
    <col min="4117" max="4117" width="11.140625" style="2" customWidth="1"/>
    <col min="4118" max="4118" width="10.42578125" style="2" customWidth="1"/>
    <col min="4119" max="4128" width="11" style="2" customWidth="1"/>
    <col min="4129" max="4129" width="9.140625" style="2" customWidth="1"/>
    <col min="4130" max="4130" width="6.85546875" style="2" customWidth="1"/>
    <col min="4131" max="4131" width="15" style="2" bestFit="1" customWidth="1"/>
    <col min="4132" max="4356" width="9.140625" style="2"/>
    <col min="4357" max="4357" width="4" style="2" customWidth="1"/>
    <col min="4358" max="4358" width="24.42578125" style="2" customWidth="1"/>
    <col min="4359" max="4359" width="19.85546875" style="2" customWidth="1"/>
    <col min="4360" max="4360" width="9.28515625" style="2" customWidth="1"/>
    <col min="4361" max="4361" width="10" style="2" customWidth="1"/>
    <col min="4362" max="4362" width="8.42578125" style="2" customWidth="1"/>
    <col min="4363" max="4363" width="12.28515625" style="2" customWidth="1"/>
    <col min="4364" max="4364" width="7.5703125" style="2" customWidth="1"/>
    <col min="4365" max="4365" width="7.85546875" style="2" customWidth="1"/>
    <col min="4366" max="4366" width="8.28515625" style="2" customWidth="1"/>
    <col min="4367" max="4367" width="9.140625" style="2"/>
    <col min="4368" max="4370" width="7.5703125" style="2" customWidth="1"/>
    <col min="4371" max="4371" width="10.28515625" style="2" customWidth="1"/>
    <col min="4372" max="4372" width="10.5703125" style="2" customWidth="1"/>
    <col min="4373" max="4373" width="11.140625" style="2" customWidth="1"/>
    <col min="4374" max="4374" width="10.42578125" style="2" customWidth="1"/>
    <col min="4375" max="4384" width="11" style="2" customWidth="1"/>
    <col min="4385" max="4385" width="9.140625" style="2" customWidth="1"/>
    <col min="4386" max="4386" width="6.85546875" style="2" customWidth="1"/>
    <col min="4387" max="4387" width="15" style="2" bestFit="1" customWidth="1"/>
    <col min="4388" max="4612" width="9.140625" style="2"/>
    <col min="4613" max="4613" width="4" style="2" customWidth="1"/>
    <col min="4614" max="4614" width="24.42578125" style="2" customWidth="1"/>
    <col min="4615" max="4615" width="19.85546875" style="2" customWidth="1"/>
    <col min="4616" max="4616" width="9.28515625" style="2" customWidth="1"/>
    <col min="4617" max="4617" width="10" style="2" customWidth="1"/>
    <col min="4618" max="4618" width="8.42578125" style="2" customWidth="1"/>
    <col min="4619" max="4619" width="12.28515625" style="2" customWidth="1"/>
    <col min="4620" max="4620" width="7.5703125" style="2" customWidth="1"/>
    <col min="4621" max="4621" width="7.85546875" style="2" customWidth="1"/>
    <col min="4622" max="4622" width="8.28515625" style="2" customWidth="1"/>
    <col min="4623" max="4623" width="9.140625" style="2"/>
    <col min="4624" max="4626" width="7.5703125" style="2" customWidth="1"/>
    <col min="4627" max="4627" width="10.28515625" style="2" customWidth="1"/>
    <col min="4628" max="4628" width="10.5703125" style="2" customWidth="1"/>
    <col min="4629" max="4629" width="11.140625" style="2" customWidth="1"/>
    <col min="4630" max="4630" width="10.42578125" style="2" customWidth="1"/>
    <col min="4631" max="4640" width="11" style="2" customWidth="1"/>
    <col min="4641" max="4641" width="9.140625" style="2" customWidth="1"/>
    <col min="4642" max="4642" width="6.85546875" style="2" customWidth="1"/>
    <col min="4643" max="4643" width="15" style="2" bestFit="1" customWidth="1"/>
    <col min="4644" max="4868" width="9.140625" style="2"/>
    <col min="4869" max="4869" width="4" style="2" customWidth="1"/>
    <col min="4870" max="4870" width="24.42578125" style="2" customWidth="1"/>
    <col min="4871" max="4871" width="19.85546875" style="2" customWidth="1"/>
    <col min="4872" max="4872" width="9.28515625" style="2" customWidth="1"/>
    <col min="4873" max="4873" width="10" style="2" customWidth="1"/>
    <col min="4874" max="4874" width="8.42578125" style="2" customWidth="1"/>
    <col min="4875" max="4875" width="12.28515625" style="2" customWidth="1"/>
    <col min="4876" max="4876" width="7.5703125" style="2" customWidth="1"/>
    <col min="4877" max="4877" width="7.85546875" style="2" customWidth="1"/>
    <col min="4878" max="4878" width="8.28515625" style="2" customWidth="1"/>
    <col min="4879" max="4879" width="9.140625" style="2"/>
    <col min="4880" max="4882" width="7.5703125" style="2" customWidth="1"/>
    <col min="4883" max="4883" width="10.28515625" style="2" customWidth="1"/>
    <col min="4884" max="4884" width="10.5703125" style="2" customWidth="1"/>
    <col min="4885" max="4885" width="11.140625" style="2" customWidth="1"/>
    <col min="4886" max="4886" width="10.42578125" style="2" customWidth="1"/>
    <col min="4887" max="4896" width="11" style="2" customWidth="1"/>
    <col min="4897" max="4897" width="9.140625" style="2" customWidth="1"/>
    <col min="4898" max="4898" width="6.85546875" style="2" customWidth="1"/>
    <col min="4899" max="4899" width="15" style="2" bestFit="1" customWidth="1"/>
    <col min="4900" max="5124" width="9.140625" style="2"/>
    <col min="5125" max="5125" width="4" style="2" customWidth="1"/>
    <col min="5126" max="5126" width="24.42578125" style="2" customWidth="1"/>
    <col min="5127" max="5127" width="19.85546875" style="2" customWidth="1"/>
    <col min="5128" max="5128" width="9.28515625" style="2" customWidth="1"/>
    <col min="5129" max="5129" width="10" style="2" customWidth="1"/>
    <col min="5130" max="5130" width="8.42578125" style="2" customWidth="1"/>
    <col min="5131" max="5131" width="12.28515625" style="2" customWidth="1"/>
    <col min="5132" max="5132" width="7.5703125" style="2" customWidth="1"/>
    <col min="5133" max="5133" width="7.85546875" style="2" customWidth="1"/>
    <col min="5134" max="5134" width="8.28515625" style="2" customWidth="1"/>
    <col min="5135" max="5135" width="9.140625" style="2"/>
    <col min="5136" max="5138" width="7.5703125" style="2" customWidth="1"/>
    <col min="5139" max="5139" width="10.28515625" style="2" customWidth="1"/>
    <col min="5140" max="5140" width="10.5703125" style="2" customWidth="1"/>
    <col min="5141" max="5141" width="11.140625" style="2" customWidth="1"/>
    <col min="5142" max="5142" width="10.42578125" style="2" customWidth="1"/>
    <col min="5143" max="5152" width="11" style="2" customWidth="1"/>
    <col min="5153" max="5153" width="9.140625" style="2" customWidth="1"/>
    <col min="5154" max="5154" width="6.85546875" style="2" customWidth="1"/>
    <col min="5155" max="5155" width="15" style="2" bestFit="1" customWidth="1"/>
    <col min="5156" max="5380" width="9.140625" style="2"/>
    <col min="5381" max="5381" width="4" style="2" customWidth="1"/>
    <col min="5382" max="5382" width="24.42578125" style="2" customWidth="1"/>
    <col min="5383" max="5383" width="19.85546875" style="2" customWidth="1"/>
    <col min="5384" max="5384" width="9.28515625" style="2" customWidth="1"/>
    <col min="5385" max="5385" width="10" style="2" customWidth="1"/>
    <col min="5386" max="5386" width="8.42578125" style="2" customWidth="1"/>
    <col min="5387" max="5387" width="12.28515625" style="2" customWidth="1"/>
    <col min="5388" max="5388" width="7.5703125" style="2" customWidth="1"/>
    <col min="5389" max="5389" width="7.85546875" style="2" customWidth="1"/>
    <col min="5390" max="5390" width="8.28515625" style="2" customWidth="1"/>
    <col min="5391" max="5391" width="9.140625" style="2"/>
    <col min="5392" max="5394" width="7.5703125" style="2" customWidth="1"/>
    <col min="5395" max="5395" width="10.28515625" style="2" customWidth="1"/>
    <col min="5396" max="5396" width="10.5703125" style="2" customWidth="1"/>
    <col min="5397" max="5397" width="11.140625" style="2" customWidth="1"/>
    <col min="5398" max="5398" width="10.42578125" style="2" customWidth="1"/>
    <col min="5399" max="5408" width="11" style="2" customWidth="1"/>
    <col min="5409" max="5409" width="9.140625" style="2" customWidth="1"/>
    <col min="5410" max="5410" width="6.85546875" style="2" customWidth="1"/>
    <col min="5411" max="5411" width="15" style="2" bestFit="1" customWidth="1"/>
    <col min="5412" max="5636" width="9.140625" style="2"/>
    <col min="5637" max="5637" width="4" style="2" customWidth="1"/>
    <col min="5638" max="5638" width="24.42578125" style="2" customWidth="1"/>
    <col min="5639" max="5639" width="19.85546875" style="2" customWidth="1"/>
    <col min="5640" max="5640" width="9.28515625" style="2" customWidth="1"/>
    <col min="5641" max="5641" width="10" style="2" customWidth="1"/>
    <col min="5642" max="5642" width="8.42578125" style="2" customWidth="1"/>
    <col min="5643" max="5643" width="12.28515625" style="2" customWidth="1"/>
    <col min="5644" max="5644" width="7.5703125" style="2" customWidth="1"/>
    <col min="5645" max="5645" width="7.85546875" style="2" customWidth="1"/>
    <col min="5646" max="5646" width="8.28515625" style="2" customWidth="1"/>
    <col min="5647" max="5647" width="9.140625" style="2"/>
    <col min="5648" max="5650" width="7.5703125" style="2" customWidth="1"/>
    <col min="5651" max="5651" width="10.28515625" style="2" customWidth="1"/>
    <col min="5652" max="5652" width="10.5703125" style="2" customWidth="1"/>
    <col min="5653" max="5653" width="11.140625" style="2" customWidth="1"/>
    <col min="5654" max="5654" width="10.42578125" style="2" customWidth="1"/>
    <col min="5655" max="5664" width="11" style="2" customWidth="1"/>
    <col min="5665" max="5665" width="9.140625" style="2" customWidth="1"/>
    <col min="5666" max="5666" width="6.85546875" style="2" customWidth="1"/>
    <col min="5667" max="5667" width="15" style="2" bestFit="1" customWidth="1"/>
    <col min="5668" max="5892" width="9.140625" style="2"/>
    <col min="5893" max="5893" width="4" style="2" customWidth="1"/>
    <col min="5894" max="5894" width="24.42578125" style="2" customWidth="1"/>
    <col min="5895" max="5895" width="19.85546875" style="2" customWidth="1"/>
    <col min="5896" max="5896" width="9.28515625" style="2" customWidth="1"/>
    <col min="5897" max="5897" width="10" style="2" customWidth="1"/>
    <col min="5898" max="5898" width="8.42578125" style="2" customWidth="1"/>
    <col min="5899" max="5899" width="12.28515625" style="2" customWidth="1"/>
    <col min="5900" max="5900" width="7.5703125" style="2" customWidth="1"/>
    <col min="5901" max="5901" width="7.85546875" style="2" customWidth="1"/>
    <col min="5902" max="5902" width="8.28515625" style="2" customWidth="1"/>
    <col min="5903" max="5903" width="9.140625" style="2"/>
    <col min="5904" max="5906" width="7.5703125" style="2" customWidth="1"/>
    <col min="5907" max="5907" width="10.28515625" style="2" customWidth="1"/>
    <col min="5908" max="5908" width="10.5703125" style="2" customWidth="1"/>
    <col min="5909" max="5909" width="11.140625" style="2" customWidth="1"/>
    <col min="5910" max="5910" width="10.42578125" style="2" customWidth="1"/>
    <col min="5911" max="5920" width="11" style="2" customWidth="1"/>
    <col min="5921" max="5921" width="9.140625" style="2" customWidth="1"/>
    <col min="5922" max="5922" width="6.85546875" style="2" customWidth="1"/>
    <col min="5923" max="5923" width="15" style="2" bestFit="1" customWidth="1"/>
    <col min="5924" max="6148" width="9.140625" style="2"/>
    <col min="6149" max="6149" width="4" style="2" customWidth="1"/>
    <col min="6150" max="6150" width="24.42578125" style="2" customWidth="1"/>
    <col min="6151" max="6151" width="19.85546875" style="2" customWidth="1"/>
    <col min="6152" max="6152" width="9.28515625" style="2" customWidth="1"/>
    <col min="6153" max="6153" width="10" style="2" customWidth="1"/>
    <col min="6154" max="6154" width="8.42578125" style="2" customWidth="1"/>
    <col min="6155" max="6155" width="12.28515625" style="2" customWidth="1"/>
    <col min="6156" max="6156" width="7.5703125" style="2" customWidth="1"/>
    <col min="6157" max="6157" width="7.85546875" style="2" customWidth="1"/>
    <col min="6158" max="6158" width="8.28515625" style="2" customWidth="1"/>
    <col min="6159" max="6159" width="9.140625" style="2"/>
    <col min="6160" max="6162" width="7.5703125" style="2" customWidth="1"/>
    <col min="6163" max="6163" width="10.28515625" style="2" customWidth="1"/>
    <col min="6164" max="6164" width="10.5703125" style="2" customWidth="1"/>
    <col min="6165" max="6165" width="11.140625" style="2" customWidth="1"/>
    <col min="6166" max="6166" width="10.42578125" style="2" customWidth="1"/>
    <col min="6167" max="6176" width="11" style="2" customWidth="1"/>
    <col min="6177" max="6177" width="9.140625" style="2" customWidth="1"/>
    <col min="6178" max="6178" width="6.85546875" style="2" customWidth="1"/>
    <col min="6179" max="6179" width="15" style="2" bestFit="1" customWidth="1"/>
    <col min="6180" max="6404" width="9.140625" style="2"/>
    <col min="6405" max="6405" width="4" style="2" customWidth="1"/>
    <col min="6406" max="6406" width="24.42578125" style="2" customWidth="1"/>
    <col min="6407" max="6407" width="19.85546875" style="2" customWidth="1"/>
    <col min="6408" max="6408" width="9.28515625" style="2" customWidth="1"/>
    <col min="6409" max="6409" width="10" style="2" customWidth="1"/>
    <col min="6410" max="6410" width="8.42578125" style="2" customWidth="1"/>
    <col min="6411" max="6411" width="12.28515625" style="2" customWidth="1"/>
    <col min="6412" max="6412" width="7.5703125" style="2" customWidth="1"/>
    <col min="6413" max="6413" width="7.85546875" style="2" customWidth="1"/>
    <col min="6414" max="6414" width="8.28515625" style="2" customWidth="1"/>
    <col min="6415" max="6415" width="9.140625" style="2"/>
    <col min="6416" max="6418" width="7.5703125" style="2" customWidth="1"/>
    <col min="6419" max="6419" width="10.28515625" style="2" customWidth="1"/>
    <col min="6420" max="6420" width="10.5703125" style="2" customWidth="1"/>
    <col min="6421" max="6421" width="11.140625" style="2" customWidth="1"/>
    <col min="6422" max="6422" width="10.42578125" style="2" customWidth="1"/>
    <col min="6423" max="6432" width="11" style="2" customWidth="1"/>
    <col min="6433" max="6433" width="9.140625" style="2" customWidth="1"/>
    <col min="6434" max="6434" width="6.85546875" style="2" customWidth="1"/>
    <col min="6435" max="6435" width="15" style="2" bestFit="1" customWidth="1"/>
    <col min="6436" max="6660" width="9.140625" style="2"/>
    <col min="6661" max="6661" width="4" style="2" customWidth="1"/>
    <col min="6662" max="6662" width="24.42578125" style="2" customWidth="1"/>
    <col min="6663" max="6663" width="19.85546875" style="2" customWidth="1"/>
    <col min="6664" max="6664" width="9.28515625" style="2" customWidth="1"/>
    <col min="6665" max="6665" width="10" style="2" customWidth="1"/>
    <col min="6666" max="6666" width="8.42578125" style="2" customWidth="1"/>
    <col min="6667" max="6667" width="12.28515625" style="2" customWidth="1"/>
    <col min="6668" max="6668" width="7.5703125" style="2" customWidth="1"/>
    <col min="6669" max="6669" width="7.85546875" style="2" customWidth="1"/>
    <col min="6670" max="6670" width="8.28515625" style="2" customWidth="1"/>
    <col min="6671" max="6671" width="9.140625" style="2"/>
    <col min="6672" max="6674" width="7.5703125" style="2" customWidth="1"/>
    <col min="6675" max="6675" width="10.28515625" style="2" customWidth="1"/>
    <col min="6676" max="6676" width="10.5703125" style="2" customWidth="1"/>
    <col min="6677" max="6677" width="11.140625" style="2" customWidth="1"/>
    <col min="6678" max="6678" width="10.42578125" style="2" customWidth="1"/>
    <col min="6679" max="6688" width="11" style="2" customWidth="1"/>
    <col min="6689" max="6689" width="9.140625" style="2" customWidth="1"/>
    <col min="6690" max="6690" width="6.85546875" style="2" customWidth="1"/>
    <col min="6691" max="6691" width="15" style="2" bestFit="1" customWidth="1"/>
    <col min="6692" max="6916" width="9.140625" style="2"/>
    <col min="6917" max="6917" width="4" style="2" customWidth="1"/>
    <col min="6918" max="6918" width="24.42578125" style="2" customWidth="1"/>
    <col min="6919" max="6919" width="19.85546875" style="2" customWidth="1"/>
    <col min="6920" max="6920" width="9.28515625" style="2" customWidth="1"/>
    <col min="6921" max="6921" width="10" style="2" customWidth="1"/>
    <col min="6922" max="6922" width="8.42578125" style="2" customWidth="1"/>
    <col min="6923" max="6923" width="12.28515625" style="2" customWidth="1"/>
    <col min="6924" max="6924" width="7.5703125" style="2" customWidth="1"/>
    <col min="6925" max="6925" width="7.85546875" style="2" customWidth="1"/>
    <col min="6926" max="6926" width="8.28515625" style="2" customWidth="1"/>
    <col min="6927" max="6927" width="9.140625" style="2"/>
    <col min="6928" max="6930" width="7.5703125" style="2" customWidth="1"/>
    <col min="6931" max="6931" width="10.28515625" style="2" customWidth="1"/>
    <col min="6932" max="6932" width="10.5703125" style="2" customWidth="1"/>
    <col min="6933" max="6933" width="11.140625" style="2" customWidth="1"/>
    <col min="6934" max="6934" width="10.42578125" style="2" customWidth="1"/>
    <col min="6935" max="6944" width="11" style="2" customWidth="1"/>
    <col min="6945" max="6945" width="9.140625" style="2" customWidth="1"/>
    <col min="6946" max="6946" width="6.85546875" style="2" customWidth="1"/>
    <col min="6947" max="6947" width="15" style="2" bestFit="1" customWidth="1"/>
    <col min="6948" max="7172" width="9.140625" style="2"/>
    <col min="7173" max="7173" width="4" style="2" customWidth="1"/>
    <col min="7174" max="7174" width="24.42578125" style="2" customWidth="1"/>
    <col min="7175" max="7175" width="19.85546875" style="2" customWidth="1"/>
    <col min="7176" max="7176" width="9.28515625" style="2" customWidth="1"/>
    <col min="7177" max="7177" width="10" style="2" customWidth="1"/>
    <col min="7178" max="7178" width="8.42578125" style="2" customWidth="1"/>
    <col min="7179" max="7179" width="12.28515625" style="2" customWidth="1"/>
    <col min="7180" max="7180" width="7.5703125" style="2" customWidth="1"/>
    <col min="7181" max="7181" width="7.85546875" style="2" customWidth="1"/>
    <col min="7182" max="7182" width="8.28515625" style="2" customWidth="1"/>
    <col min="7183" max="7183" width="9.140625" style="2"/>
    <col min="7184" max="7186" width="7.5703125" style="2" customWidth="1"/>
    <col min="7187" max="7187" width="10.28515625" style="2" customWidth="1"/>
    <col min="7188" max="7188" width="10.5703125" style="2" customWidth="1"/>
    <col min="7189" max="7189" width="11.140625" style="2" customWidth="1"/>
    <col min="7190" max="7190" width="10.42578125" style="2" customWidth="1"/>
    <col min="7191" max="7200" width="11" style="2" customWidth="1"/>
    <col min="7201" max="7201" width="9.140625" style="2" customWidth="1"/>
    <col min="7202" max="7202" width="6.85546875" style="2" customWidth="1"/>
    <col min="7203" max="7203" width="15" style="2" bestFit="1" customWidth="1"/>
    <col min="7204" max="7428" width="9.140625" style="2"/>
    <col min="7429" max="7429" width="4" style="2" customWidth="1"/>
    <col min="7430" max="7430" width="24.42578125" style="2" customWidth="1"/>
    <col min="7431" max="7431" width="19.85546875" style="2" customWidth="1"/>
    <col min="7432" max="7432" width="9.28515625" style="2" customWidth="1"/>
    <col min="7433" max="7433" width="10" style="2" customWidth="1"/>
    <col min="7434" max="7434" width="8.42578125" style="2" customWidth="1"/>
    <col min="7435" max="7435" width="12.28515625" style="2" customWidth="1"/>
    <col min="7436" max="7436" width="7.5703125" style="2" customWidth="1"/>
    <col min="7437" max="7437" width="7.85546875" style="2" customWidth="1"/>
    <col min="7438" max="7438" width="8.28515625" style="2" customWidth="1"/>
    <col min="7439" max="7439" width="9.140625" style="2"/>
    <col min="7440" max="7442" width="7.5703125" style="2" customWidth="1"/>
    <col min="7443" max="7443" width="10.28515625" style="2" customWidth="1"/>
    <col min="7444" max="7444" width="10.5703125" style="2" customWidth="1"/>
    <col min="7445" max="7445" width="11.140625" style="2" customWidth="1"/>
    <col min="7446" max="7446" width="10.42578125" style="2" customWidth="1"/>
    <col min="7447" max="7456" width="11" style="2" customWidth="1"/>
    <col min="7457" max="7457" width="9.140625" style="2" customWidth="1"/>
    <col min="7458" max="7458" width="6.85546875" style="2" customWidth="1"/>
    <col min="7459" max="7459" width="15" style="2" bestFit="1" customWidth="1"/>
    <col min="7460" max="7684" width="9.140625" style="2"/>
    <col min="7685" max="7685" width="4" style="2" customWidth="1"/>
    <col min="7686" max="7686" width="24.42578125" style="2" customWidth="1"/>
    <col min="7687" max="7687" width="19.85546875" style="2" customWidth="1"/>
    <col min="7688" max="7688" width="9.28515625" style="2" customWidth="1"/>
    <col min="7689" max="7689" width="10" style="2" customWidth="1"/>
    <col min="7690" max="7690" width="8.42578125" style="2" customWidth="1"/>
    <col min="7691" max="7691" width="12.28515625" style="2" customWidth="1"/>
    <col min="7692" max="7692" width="7.5703125" style="2" customWidth="1"/>
    <col min="7693" max="7693" width="7.85546875" style="2" customWidth="1"/>
    <col min="7694" max="7694" width="8.28515625" style="2" customWidth="1"/>
    <col min="7695" max="7695" width="9.140625" style="2"/>
    <col min="7696" max="7698" width="7.5703125" style="2" customWidth="1"/>
    <col min="7699" max="7699" width="10.28515625" style="2" customWidth="1"/>
    <col min="7700" max="7700" width="10.5703125" style="2" customWidth="1"/>
    <col min="7701" max="7701" width="11.140625" style="2" customWidth="1"/>
    <col min="7702" max="7702" width="10.42578125" style="2" customWidth="1"/>
    <col min="7703" max="7712" width="11" style="2" customWidth="1"/>
    <col min="7713" max="7713" width="9.140625" style="2" customWidth="1"/>
    <col min="7714" max="7714" width="6.85546875" style="2" customWidth="1"/>
    <col min="7715" max="7715" width="15" style="2" bestFit="1" customWidth="1"/>
    <col min="7716" max="7940" width="9.140625" style="2"/>
    <col min="7941" max="7941" width="4" style="2" customWidth="1"/>
    <col min="7942" max="7942" width="24.42578125" style="2" customWidth="1"/>
    <col min="7943" max="7943" width="19.85546875" style="2" customWidth="1"/>
    <col min="7944" max="7944" width="9.28515625" style="2" customWidth="1"/>
    <col min="7945" max="7945" width="10" style="2" customWidth="1"/>
    <col min="7946" max="7946" width="8.42578125" style="2" customWidth="1"/>
    <col min="7947" max="7947" width="12.28515625" style="2" customWidth="1"/>
    <col min="7948" max="7948" width="7.5703125" style="2" customWidth="1"/>
    <col min="7949" max="7949" width="7.85546875" style="2" customWidth="1"/>
    <col min="7950" max="7950" width="8.28515625" style="2" customWidth="1"/>
    <col min="7951" max="7951" width="9.140625" style="2"/>
    <col min="7952" max="7954" width="7.5703125" style="2" customWidth="1"/>
    <col min="7955" max="7955" width="10.28515625" style="2" customWidth="1"/>
    <col min="7956" max="7956" width="10.5703125" style="2" customWidth="1"/>
    <col min="7957" max="7957" width="11.140625" style="2" customWidth="1"/>
    <col min="7958" max="7958" width="10.42578125" style="2" customWidth="1"/>
    <col min="7959" max="7968" width="11" style="2" customWidth="1"/>
    <col min="7969" max="7969" width="9.140625" style="2" customWidth="1"/>
    <col min="7970" max="7970" width="6.85546875" style="2" customWidth="1"/>
    <col min="7971" max="7971" width="15" style="2" bestFit="1" customWidth="1"/>
    <col min="7972" max="8196" width="9.140625" style="2"/>
    <col min="8197" max="8197" width="4" style="2" customWidth="1"/>
    <col min="8198" max="8198" width="24.42578125" style="2" customWidth="1"/>
    <col min="8199" max="8199" width="19.85546875" style="2" customWidth="1"/>
    <col min="8200" max="8200" width="9.28515625" style="2" customWidth="1"/>
    <col min="8201" max="8201" width="10" style="2" customWidth="1"/>
    <col min="8202" max="8202" width="8.42578125" style="2" customWidth="1"/>
    <col min="8203" max="8203" width="12.28515625" style="2" customWidth="1"/>
    <col min="8204" max="8204" width="7.5703125" style="2" customWidth="1"/>
    <col min="8205" max="8205" width="7.85546875" style="2" customWidth="1"/>
    <col min="8206" max="8206" width="8.28515625" style="2" customWidth="1"/>
    <col min="8207" max="8207" width="9.140625" style="2"/>
    <col min="8208" max="8210" width="7.5703125" style="2" customWidth="1"/>
    <col min="8211" max="8211" width="10.28515625" style="2" customWidth="1"/>
    <col min="8212" max="8212" width="10.5703125" style="2" customWidth="1"/>
    <col min="8213" max="8213" width="11.140625" style="2" customWidth="1"/>
    <col min="8214" max="8214" width="10.42578125" style="2" customWidth="1"/>
    <col min="8215" max="8224" width="11" style="2" customWidth="1"/>
    <col min="8225" max="8225" width="9.140625" style="2" customWidth="1"/>
    <col min="8226" max="8226" width="6.85546875" style="2" customWidth="1"/>
    <col min="8227" max="8227" width="15" style="2" bestFit="1" customWidth="1"/>
    <col min="8228" max="8452" width="9.140625" style="2"/>
    <col min="8453" max="8453" width="4" style="2" customWidth="1"/>
    <col min="8454" max="8454" width="24.42578125" style="2" customWidth="1"/>
    <col min="8455" max="8455" width="19.85546875" style="2" customWidth="1"/>
    <col min="8456" max="8456" width="9.28515625" style="2" customWidth="1"/>
    <col min="8457" max="8457" width="10" style="2" customWidth="1"/>
    <col min="8458" max="8458" width="8.42578125" style="2" customWidth="1"/>
    <col min="8459" max="8459" width="12.28515625" style="2" customWidth="1"/>
    <col min="8460" max="8460" width="7.5703125" style="2" customWidth="1"/>
    <col min="8461" max="8461" width="7.85546875" style="2" customWidth="1"/>
    <col min="8462" max="8462" width="8.28515625" style="2" customWidth="1"/>
    <col min="8463" max="8463" width="9.140625" style="2"/>
    <col min="8464" max="8466" width="7.5703125" style="2" customWidth="1"/>
    <col min="8467" max="8467" width="10.28515625" style="2" customWidth="1"/>
    <col min="8468" max="8468" width="10.5703125" style="2" customWidth="1"/>
    <col min="8469" max="8469" width="11.140625" style="2" customWidth="1"/>
    <col min="8470" max="8470" width="10.42578125" style="2" customWidth="1"/>
    <col min="8471" max="8480" width="11" style="2" customWidth="1"/>
    <col min="8481" max="8481" width="9.140625" style="2" customWidth="1"/>
    <col min="8482" max="8482" width="6.85546875" style="2" customWidth="1"/>
    <col min="8483" max="8483" width="15" style="2" bestFit="1" customWidth="1"/>
    <col min="8484" max="8708" width="9.140625" style="2"/>
    <col min="8709" max="8709" width="4" style="2" customWidth="1"/>
    <col min="8710" max="8710" width="24.42578125" style="2" customWidth="1"/>
    <col min="8711" max="8711" width="19.85546875" style="2" customWidth="1"/>
    <col min="8712" max="8712" width="9.28515625" style="2" customWidth="1"/>
    <col min="8713" max="8713" width="10" style="2" customWidth="1"/>
    <col min="8714" max="8714" width="8.42578125" style="2" customWidth="1"/>
    <col min="8715" max="8715" width="12.28515625" style="2" customWidth="1"/>
    <col min="8716" max="8716" width="7.5703125" style="2" customWidth="1"/>
    <col min="8717" max="8717" width="7.85546875" style="2" customWidth="1"/>
    <col min="8718" max="8718" width="8.28515625" style="2" customWidth="1"/>
    <col min="8719" max="8719" width="9.140625" style="2"/>
    <col min="8720" max="8722" width="7.5703125" style="2" customWidth="1"/>
    <col min="8723" max="8723" width="10.28515625" style="2" customWidth="1"/>
    <col min="8724" max="8724" width="10.5703125" style="2" customWidth="1"/>
    <col min="8725" max="8725" width="11.140625" style="2" customWidth="1"/>
    <col min="8726" max="8726" width="10.42578125" style="2" customWidth="1"/>
    <col min="8727" max="8736" width="11" style="2" customWidth="1"/>
    <col min="8737" max="8737" width="9.140625" style="2" customWidth="1"/>
    <col min="8738" max="8738" width="6.85546875" style="2" customWidth="1"/>
    <col min="8739" max="8739" width="15" style="2" bestFit="1" customWidth="1"/>
    <col min="8740" max="8964" width="9.140625" style="2"/>
    <col min="8965" max="8965" width="4" style="2" customWidth="1"/>
    <col min="8966" max="8966" width="24.42578125" style="2" customWidth="1"/>
    <col min="8967" max="8967" width="19.85546875" style="2" customWidth="1"/>
    <col min="8968" max="8968" width="9.28515625" style="2" customWidth="1"/>
    <col min="8969" max="8969" width="10" style="2" customWidth="1"/>
    <col min="8970" max="8970" width="8.42578125" style="2" customWidth="1"/>
    <col min="8971" max="8971" width="12.28515625" style="2" customWidth="1"/>
    <col min="8972" max="8972" width="7.5703125" style="2" customWidth="1"/>
    <col min="8973" max="8973" width="7.85546875" style="2" customWidth="1"/>
    <col min="8974" max="8974" width="8.28515625" style="2" customWidth="1"/>
    <col min="8975" max="8975" width="9.140625" style="2"/>
    <col min="8976" max="8978" width="7.5703125" style="2" customWidth="1"/>
    <col min="8979" max="8979" width="10.28515625" style="2" customWidth="1"/>
    <col min="8980" max="8980" width="10.5703125" style="2" customWidth="1"/>
    <col min="8981" max="8981" width="11.140625" style="2" customWidth="1"/>
    <col min="8982" max="8982" width="10.42578125" style="2" customWidth="1"/>
    <col min="8983" max="8992" width="11" style="2" customWidth="1"/>
    <col min="8993" max="8993" width="9.140625" style="2" customWidth="1"/>
    <col min="8994" max="8994" width="6.85546875" style="2" customWidth="1"/>
    <col min="8995" max="8995" width="15" style="2" bestFit="1" customWidth="1"/>
    <col min="8996" max="9220" width="9.140625" style="2"/>
    <col min="9221" max="9221" width="4" style="2" customWidth="1"/>
    <col min="9222" max="9222" width="24.42578125" style="2" customWidth="1"/>
    <col min="9223" max="9223" width="19.85546875" style="2" customWidth="1"/>
    <col min="9224" max="9224" width="9.28515625" style="2" customWidth="1"/>
    <col min="9225" max="9225" width="10" style="2" customWidth="1"/>
    <col min="9226" max="9226" width="8.42578125" style="2" customWidth="1"/>
    <col min="9227" max="9227" width="12.28515625" style="2" customWidth="1"/>
    <col min="9228" max="9228" width="7.5703125" style="2" customWidth="1"/>
    <col min="9229" max="9229" width="7.85546875" style="2" customWidth="1"/>
    <col min="9230" max="9230" width="8.28515625" style="2" customWidth="1"/>
    <col min="9231" max="9231" width="9.140625" style="2"/>
    <col min="9232" max="9234" width="7.5703125" style="2" customWidth="1"/>
    <col min="9235" max="9235" width="10.28515625" style="2" customWidth="1"/>
    <col min="9236" max="9236" width="10.5703125" style="2" customWidth="1"/>
    <col min="9237" max="9237" width="11.140625" style="2" customWidth="1"/>
    <col min="9238" max="9238" width="10.42578125" style="2" customWidth="1"/>
    <col min="9239" max="9248" width="11" style="2" customWidth="1"/>
    <col min="9249" max="9249" width="9.140625" style="2" customWidth="1"/>
    <col min="9250" max="9250" width="6.85546875" style="2" customWidth="1"/>
    <col min="9251" max="9251" width="15" style="2" bestFit="1" customWidth="1"/>
    <col min="9252" max="9476" width="9.140625" style="2"/>
    <col min="9477" max="9477" width="4" style="2" customWidth="1"/>
    <col min="9478" max="9478" width="24.42578125" style="2" customWidth="1"/>
    <col min="9479" max="9479" width="19.85546875" style="2" customWidth="1"/>
    <col min="9480" max="9480" width="9.28515625" style="2" customWidth="1"/>
    <col min="9481" max="9481" width="10" style="2" customWidth="1"/>
    <col min="9482" max="9482" width="8.42578125" style="2" customWidth="1"/>
    <col min="9483" max="9483" width="12.28515625" style="2" customWidth="1"/>
    <col min="9484" max="9484" width="7.5703125" style="2" customWidth="1"/>
    <col min="9485" max="9485" width="7.85546875" style="2" customWidth="1"/>
    <col min="9486" max="9486" width="8.28515625" style="2" customWidth="1"/>
    <col min="9487" max="9487" width="9.140625" style="2"/>
    <col min="9488" max="9490" width="7.5703125" style="2" customWidth="1"/>
    <col min="9491" max="9491" width="10.28515625" style="2" customWidth="1"/>
    <col min="9492" max="9492" width="10.5703125" style="2" customWidth="1"/>
    <col min="9493" max="9493" width="11.140625" style="2" customWidth="1"/>
    <col min="9494" max="9494" width="10.42578125" style="2" customWidth="1"/>
    <col min="9495" max="9504" width="11" style="2" customWidth="1"/>
    <col min="9505" max="9505" width="9.140625" style="2" customWidth="1"/>
    <col min="9506" max="9506" width="6.85546875" style="2" customWidth="1"/>
    <col min="9507" max="9507" width="15" style="2" bestFit="1" customWidth="1"/>
    <col min="9508" max="9732" width="9.140625" style="2"/>
    <col min="9733" max="9733" width="4" style="2" customWidth="1"/>
    <col min="9734" max="9734" width="24.42578125" style="2" customWidth="1"/>
    <col min="9735" max="9735" width="19.85546875" style="2" customWidth="1"/>
    <col min="9736" max="9736" width="9.28515625" style="2" customWidth="1"/>
    <col min="9737" max="9737" width="10" style="2" customWidth="1"/>
    <col min="9738" max="9738" width="8.42578125" style="2" customWidth="1"/>
    <col min="9739" max="9739" width="12.28515625" style="2" customWidth="1"/>
    <col min="9740" max="9740" width="7.5703125" style="2" customWidth="1"/>
    <col min="9741" max="9741" width="7.85546875" style="2" customWidth="1"/>
    <col min="9742" max="9742" width="8.28515625" style="2" customWidth="1"/>
    <col min="9743" max="9743" width="9.140625" style="2"/>
    <col min="9744" max="9746" width="7.5703125" style="2" customWidth="1"/>
    <col min="9747" max="9747" width="10.28515625" style="2" customWidth="1"/>
    <col min="9748" max="9748" width="10.5703125" style="2" customWidth="1"/>
    <col min="9749" max="9749" width="11.140625" style="2" customWidth="1"/>
    <col min="9750" max="9750" width="10.42578125" style="2" customWidth="1"/>
    <col min="9751" max="9760" width="11" style="2" customWidth="1"/>
    <col min="9761" max="9761" width="9.140625" style="2" customWidth="1"/>
    <col min="9762" max="9762" width="6.85546875" style="2" customWidth="1"/>
    <col min="9763" max="9763" width="15" style="2" bestFit="1" customWidth="1"/>
    <col min="9764" max="9988" width="9.140625" style="2"/>
    <col min="9989" max="9989" width="4" style="2" customWidth="1"/>
    <col min="9990" max="9990" width="24.42578125" style="2" customWidth="1"/>
    <col min="9991" max="9991" width="19.85546875" style="2" customWidth="1"/>
    <col min="9992" max="9992" width="9.28515625" style="2" customWidth="1"/>
    <col min="9993" max="9993" width="10" style="2" customWidth="1"/>
    <col min="9994" max="9994" width="8.42578125" style="2" customWidth="1"/>
    <col min="9995" max="9995" width="12.28515625" style="2" customWidth="1"/>
    <col min="9996" max="9996" width="7.5703125" style="2" customWidth="1"/>
    <col min="9997" max="9997" width="7.85546875" style="2" customWidth="1"/>
    <col min="9998" max="9998" width="8.28515625" style="2" customWidth="1"/>
    <col min="9999" max="9999" width="9.140625" style="2"/>
    <col min="10000" max="10002" width="7.5703125" style="2" customWidth="1"/>
    <col min="10003" max="10003" width="10.28515625" style="2" customWidth="1"/>
    <col min="10004" max="10004" width="10.5703125" style="2" customWidth="1"/>
    <col min="10005" max="10005" width="11.140625" style="2" customWidth="1"/>
    <col min="10006" max="10006" width="10.42578125" style="2" customWidth="1"/>
    <col min="10007" max="10016" width="11" style="2" customWidth="1"/>
    <col min="10017" max="10017" width="9.140625" style="2" customWidth="1"/>
    <col min="10018" max="10018" width="6.85546875" style="2" customWidth="1"/>
    <col min="10019" max="10019" width="15" style="2" bestFit="1" customWidth="1"/>
    <col min="10020" max="10244" width="9.140625" style="2"/>
    <col min="10245" max="10245" width="4" style="2" customWidth="1"/>
    <col min="10246" max="10246" width="24.42578125" style="2" customWidth="1"/>
    <col min="10247" max="10247" width="19.85546875" style="2" customWidth="1"/>
    <col min="10248" max="10248" width="9.28515625" style="2" customWidth="1"/>
    <col min="10249" max="10249" width="10" style="2" customWidth="1"/>
    <col min="10250" max="10250" width="8.42578125" style="2" customWidth="1"/>
    <col min="10251" max="10251" width="12.28515625" style="2" customWidth="1"/>
    <col min="10252" max="10252" width="7.5703125" style="2" customWidth="1"/>
    <col min="10253" max="10253" width="7.85546875" style="2" customWidth="1"/>
    <col min="10254" max="10254" width="8.28515625" style="2" customWidth="1"/>
    <col min="10255" max="10255" width="9.140625" style="2"/>
    <col min="10256" max="10258" width="7.5703125" style="2" customWidth="1"/>
    <col min="10259" max="10259" width="10.28515625" style="2" customWidth="1"/>
    <col min="10260" max="10260" width="10.5703125" style="2" customWidth="1"/>
    <col min="10261" max="10261" width="11.140625" style="2" customWidth="1"/>
    <col min="10262" max="10262" width="10.42578125" style="2" customWidth="1"/>
    <col min="10263" max="10272" width="11" style="2" customWidth="1"/>
    <col min="10273" max="10273" width="9.140625" style="2" customWidth="1"/>
    <col min="10274" max="10274" width="6.85546875" style="2" customWidth="1"/>
    <col min="10275" max="10275" width="15" style="2" bestFit="1" customWidth="1"/>
    <col min="10276" max="10500" width="9.140625" style="2"/>
    <col min="10501" max="10501" width="4" style="2" customWidth="1"/>
    <col min="10502" max="10502" width="24.42578125" style="2" customWidth="1"/>
    <col min="10503" max="10503" width="19.85546875" style="2" customWidth="1"/>
    <col min="10504" max="10504" width="9.28515625" style="2" customWidth="1"/>
    <col min="10505" max="10505" width="10" style="2" customWidth="1"/>
    <col min="10506" max="10506" width="8.42578125" style="2" customWidth="1"/>
    <col min="10507" max="10507" width="12.28515625" style="2" customWidth="1"/>
    <col min="10508" max="10508" width="7.5703125" style="2" customWidth="1"/>
    <col min="10509" max="10509" width="7.85546875" style="2" customWidth="1"/>
    <col min="10510" max="10510" width="8.28515625" style="2" customWidth="1"/>
    <col min="10511" max="10511" width="9.140625" style="2"/>
    <col min="10512" max="10514" width="7.5703125" style="2" customWidth="1"/>
    <col min="10515" max="10515" width="10.28515625" style="2" customWidth="1"/>
    <col min="10516" max="10516" width="10.5703125" style="2" customWidth="1"/>
    <col min="10517" max="10517" width="11.140625" style="2" customWidth="1"/>
    <col min="10518" max="10518" width="10.42578125" style="2" customWidth="1"/>
    <col min="10519" max="10528" width="11" style="2" customWidth="1"/>
    <col min="10529" max="10529" width="9.140625" style="2" customWidth="1"/>
    <col min="10530" max="10530" width="6.85546875" style="2" customWidth="1"/>
    <col min="10531" max="10531" width="15" style="2" bestFit="1" customWidth="1"/>
    <col min="10532" max="10756" width="9.140625" style="2"/>
    <col min="10757" max="10757" width="4" style="2" customWidth="1"/>
    <col min="10758" max="10758" width="24.42578125" style="2" customWidth="1"/>
    <col min="10759" max="10759" width="19.85546875" style="2" customWidth="1"/>
    <col min="10760" max="10760" width="9.28515625" style="2" customWidth="1"/>
    <col min="10761" max="10761" width="10" style="2" customWidth="1"/>
    <col min="10762" max="10762" width="8.42578125" style="2" customWidth="1"/>
    <col min="10763" max="10763" width="12.28515625" style="2" customWidth="1"/>
    <col min="10764" max="10764" width="7.5703125" style="2" customWidth="1"/>
    <col min="10765" max="10765" width="7.85546875" style="2" customWidth="1"/>
    <col min="10766" max="10766" width="8.28515625" style="2" customWidth="1"/>
    <col min="10767" max="10767" width="9.140625" style="2"/>
    <col min="10768" max="10770" width="7.5703125" style="2" customWidth="1"/>
    <col min="10771" max="10771" width="10.28515625" style="2" customWidth="1"/>
    <col min="10772" max="10772" width="10.5703125" style="2" customWidth="1"/>
    <col min="10773" max="10773" width="11.140625" style="2" customWidth="1"/>
    <col min="10774" max="10774" width="10.42578125" style="2" customWidth="1"/>
    <col min="10775" max="10784" width="11" style="2" customWidth="1"/>
    <col min="10785" max="10785" width="9.140625" style="2" customWidth="1"/>
    <col min="10786" max="10786" width="6.85546875" style="2" customWidth="1"/>
    <col min="10787" max="10787" width="15" style="2" bestFit="1" customWidth="1"/>
    <col min="10788" max="11012" width="9.140625" style="2"/>
    <col min="11013" max="11013" width="4" style="2" customWidth="1"/>
    <col min="11014" max="11014" width="24.42578125" style="2" customWidth="1"/>
    <col min="11015" max="11015" width="19.85546875" style="2" customWidth="1"/>
    <col min="11016" max="11016" width="9.28515625" style="2" customWidth="1"/>
    <col min="11017" max="11017" width="10" style="2" customWidth="1"/>
    <col min="11018" max="11018" width="8.42578125" style="2" customWidth="1"/>
    <col min="11019" max="11019" width="12.28515625" style="2" customWidth="1"/>
    <col min="11020" max="11020" width="7.5703125" style="2" customWidth="1"/>
    <col min="11021" max="11021" width="7.85546875" style="2" customWidth="1"/>
    <col min="11022" max="11022" width="8.28515625" style="2" customWidth="1"/>
    <col min="11023" max="11023" width="9.140625" style="2"/>
    <col min="11024" max="11026" width="7.5703125" style="2" customWidth="1"/>
    <col min="11027" max="11027" width="10.28515625" style="2" customWidth="1"/>
    <col min="11028" max="11028" width="10.5703125" style="2" customWidth="1"/>
    <col min="11029" max="11029" width="11.140625" style="2" customWidth="1"/>
    <col min="11030" max="11030" width="10.42578125" style="2" customWidth="1"/>
    <col min="11031" max="11040" width="11" style="2" customWidth="1"/>
    <col min="11041" max="11041" width="9.140625" style="2" customWidth="1"/>
    <col min="11042" max="11042" width="6.85546875" style="2" customWidth="1"/>
    <col min="11043" max="11043" width="15" style="2" bestFit="1" customWidth="1"/>
    <col min="11044" max="11268" width="9.140625" style="2"/>
    <col min="11269" max="11269" width="4" style="2" customWidth="1"/>
    <col min="11270" max="11270" width="24.42578125" style="2" customWidth="1"/>
    <col min="11271" max="11271" width="19.85546875" style="2" customWidth="1"/>
    <col min="11272" max="11272" width="9.28515625" style="2" customWidth="1"/>
    <col min="11273" max="11273" width="10" style="2" customWidth="1"/>
    <col min="11274" max="11274" width="8.42578125" style="2" customWidth="1"/>
    <col min="11275" max="11275" width="12.28515625" style="2" customWidth="1"/>
    <col min="11276" max="11276" width="7.5703125" style="2" customWidth="1"/>
    <col min="11277" max="11277" width="7.85546875" style="2" customWidth="1"/>
    <col min="11278" max="11278" width="8.28515625" style="2" customWidth="1"/>
    <col min="11279" max="11279" width="9.140625" style="2"/>
    <col min="11280" max="11282" width="7.5703125" style="2" customWidth="1"/>
    <col min="11283" max="11283" width="10.28515625" style="2" customWidth="1"/>
    <col min="11284" max="11284" width="10.5703125" style="2" customWidth="1"/>
    <col min="11285" max="11285" width="11.140625" style="2" customWidth="1"/>
    <col min="11286" max="11286" width="10.42578125" style="2" customWidth="1"/>
    <col min="11287" max="11296" width="11" style="2" customWidth="1"/>
    <col min="11297" max="11297" width="9.140625" style="2" customWidth="1"/>
    <col min="11298" max="11298" width="6.85546875" style="2" customWidth="1"/>
    <col min="11299" max="11299" width="15" style="2" bestFit="1" customWidth="1"/>
    <col min="11300" max="11524" width="9.140625" style="2"/>
    <col min="11525" max="11525" width="4" style="2" customWidth="1"/>
    <col min="11526" max="11526" width="24.42578125" style="2" customWidth="1"/>
    <col min="11527" max="11527" width="19.85546875" style="2" customWidth="1"/>
    <col min="11528" max="11528" width="9.28515625" style="2" customWidth="1"/>
    <col min="11529" max="11529" width="10" style="2" customWidth="1"/>
    <col min="11530" max="11530" width="8.42578125" style="2" customWidth="1"/>
    <col min="11531" max="11531" width="12.28515625" style="2" customWidth="1"/>
    <col min="11532" max="11532" width="7.5703125" style="2" customWidth="1"/>
    <col min="11533" max="11533" width="7.85546875" style="2" customWidth="1"/>
    <col min="11534" max="11534" width="8.28515625" style="2" customWidth="1"/>
    <col min="11535" max="11535" width="9.140625" style="2"/>
    <col min="11536" max="11538" width="7.5703125" style="2" customWidth="1"/>
    <col min="11539" max="11539" width="10.28515625" style="2" customWidth="1"/>
    <col min="11540" max="11540" width="10.5703125" style="2" customWidth="1"/>
    <col min="11541" max="11541" width="11.140625" style="2" customWidth="1"/>
    <col min="11542" max="11542" width="10.42578125" style="2" customWidth="1"/>
    <col min="11543" max="11552" width="11" style="2" customWidth="1"/>
    <col min="11553" max="11553" width="9.140625" style="2" customWidth="1"/>
    <col min="11554" max="11554" width="6.85546875" style="2" customWidth="1"/>
    <col min="11555" max="11555" width="15" style="2" bestFit="1" customWidth="1"/>
    <col min="11556" max="11780" width="9.140625" style="2"/>
    <col min="11781" max="11781" width="4" style="2" customWidth="1"/>
    <col min="11782" max="11782" width="24.42578125" style="2" customWidth="1"/>
    <col min="11783" max="11783" width="19.85546875" style="2" customWidth="1"/>
    <col min="11784" max="11784" width="9.28515625" style="2" customWidth="1"/>
    <col min="11785" max="11785" width="10" style="2" customWidth="1"/>
    <col min="11786" max="11786" width="8.42578125" style="2" customWidth="1"/>
    <col min="11787" max="11787" width="12.28515625" style="2" customWidth="1"/>
    <col min="11788" max="11788" width="7.5703125" style="2" customWidth="1"/>
    <col min="11789" max="11789" width="7.85546875" style="2" customWidth="1"/>
    <col min="11790" max="11790" width="8.28515625" style="2" customWidth="1"/>
    <col min="11791" max="11791" width="9.140625" style="2"/>
    <col min="11792" max="11794" width="7.5703125" style="2" customWidth="1"/>
    <col min="11795" max="11795" width="10.28515625" style="2" customWidth="1"/>
    <col min="11796" max="11796" width="10.5703125" style="2" customWidth="1"/>
    <col min="11797" max="11797" width="11.140625" style="2" customWidth="1"/>
    <col min="11798" max="11798" width="10.42578125" style="2" customWidth="1"/>
    <col min="11799" max="11808" width="11" style="2" customWidth="1"/>
    <col min="11809" max="11809" width="9.140625" style="2" customWidth="1"/>
    <col min="11810" max="11810" width="6.85546875" style="2" customWidth="1"/>
    <col min="11811" max="11811" width="15" style="2" bestFit="1" customWidth="1"/>
    <col min="11812" max="12036" width="9.140625" style="2"/>
    <col min="12037" max="12037" width="4" style="2" customWidth="1"/>
    <col min="12038" max="12038" width="24.42578125" style="2" customWidth="1"/>
    <col min="12039" max="12039" width="19.85546875" style="2" customWidth="1"/>
    <col min="12040" max="12040" width="9.28515625" style="2" customWidth="1"/>
    <col min="12041" max="12041" width="10" style="2" customWidth="1"/>
    <col min="12042" max="12042" width="8.42578125" style="2" customWidth="1"/>
    <col min="12043" max="12043" width="12.28515625" style="2" customWidth="1"/>
    <col min="12044" max="12044" width="7.5703125" style="2" customWidth="1"/>
    <col min="12045" max="12045" width="7.85546875" style="2" customWidth="1"/>
    <col min="12046" max="12046" width="8.28515625" style="2" customWidth="1"/>
    <col min="12047" max="12047" width="9.140625" style="2"/>
    <col min="12048" max="12050" width="7.5703125" style="2" customWidth="1"/>
    <col min="12051" max="12051" width="10.28515625" style="2" customWidth="1"/>
    <col min="12052" max="12052" width="10.5703125" style="2" customWidth="1"/>
    <col min="12053" max="12053" width="11.140625" style="2" customWidth="1"/>
    <col min="12054" max="12054" width="10.42578125" style="2" customWidth="1"/>
    <col min="12055" max="12064" width="11" style="2" customWidth="1"/>
    <col min="12065" max="12065" width="9.140625" style="2" customWidth="1"/>
    <col min="12066" max="12066" width="6.85546875" style="2" customWidth="1"/>
    <col min="12067" max="12067" width="15" style="2" bestFit="1" customWidth="1"/>
    <col min="12068" max="12292" width="9.140625" style="2"/>
    <col min="12293" max="12293" width="4" style="2" customWidth="1"/>
    <col min="12294" max="12294" width="24.42578125" style="2" customWidth="1"/>
    <col min="12295" max="12295" width="19.85546875" style="2" customWidth="1"/>
    <col min="12296" max="12296" width="9.28515625" style="2" customWidth="1"/>
    <col min="12297" max="12297" width="10" style="2" customWidth="1"/>
    <col min="12298" max="12298" width="8.42578125" style="2" customWidth="1"/>
    <col min="12299" max="12299" width="12.28515625" style="2" customWidth="1"/>
    <col min="12300" max="12300" width="7.5703125" style="2" customWidth="1"/>
    <col min="12301" max="12301" width="7.85546875" style="2" customWidth="1"/>
    <col min="12302" max="12302" width="8.28515625" style="2" customWidth="1"/>
    <col min="12303" max="12303" width="9.140625" style="2"/>
    <col min="12304" max="12306" width="7.5703125" style="2" customWidth="1"/>
    <col min="12307" max="12307" width="10.28515625" style="2" customWidth="1"/>
    <col min="12308" max="12308" width="10.5703125" style="2" customWidth="1"/>
    <col min="12309" max="12309" width="11.140625" style="2" customWidth="1"/>
    <col min="12310" max="12310" width="10.42578125" style="2" customWidth="1"/>
    <col min="12311" max="12320" width="11" style="2" customWidth="1"/>
    <col min="12321" max="12321" width="9.140625" style="2" customWidth="1"/>
    <col min="12322" max="12322" width="6.85546875" style="2" customWidth="1"/>
    <col min="12323" max="12323" width="15" style="2" bestFit="1" customWidth="1"/>
    <col min="12324" max="12548" width="9.140625" style="2"/>
    <col min="12549" max="12549" width="4" style="2" customWidth="1"/>
    <col min="12550" max="12550" width="24.42578125" style="2" customWidth="1"/>
    <col min="12551" max="12551" width="19.85546875" style="2" customWidth="1"/>
    <col min="12552" max="12552" width="9.28515625" style="2" customWidth="1"/>
    <col min="12553" max="12553" width="10" style="2" customWidth="1"/>
    <col min="12554" max="12554" width="8.42578125" style="2" customWidth="1"/>
    <col min="12555" max="12555" width="12.28515625" style="2" customWidth="1"/>
    <col min="12556" max="12556" width="7.5703125" style="2" customWidth="1"/>
    <col min="12557" max="12557" width="7.85546875" style="2" customWidth="1"/>
    <col min="12558" max="12558" width="8.28515625" style="2" customWidth="1"/>
    <col min="12559" max="12559" width="9.140625" style="2"/>
    <col min="12560" max="12562" width="7.5703125" style="2" customWidth="1"/>
    <col min="12563" max="12563" width="10.28515625" style="2" customWidth="1"/>
    <col min="12564" max="12564" width="10.5703125" style="2" customWidth="1"/>
    <col min="12565" max="12565" width="11.140625" style="2" customWidth="1"/>
    <col min="12566" max="12566" width="10.42578125" style="2" customWidth="1"/>
    <col min="12567" max="12576" width="11" style="2" customWidth="1"/>
    <col min="12577" max="12577" width="9.140625" style="2" customWidth="1"/>
    <col min="12578" max="12578" width="6.85546875" style="2" customWidth="1"/>
    <col min="12579" max="12579" width="15" style="2" bestFit="1" customWidth="1"/>
    <col min="12580" max="12804" width="9.140625" style="2"/>
    <col min="12805" max="12805" width="4" style="2" customWidth="1"/>
    <col min="12806" max="12806" width="24.42578125" style="2" customWidth="1"/>
    <col min="12807" max="12807" width="19.85546875" style="2" customWidth="1"/>
    <col min="12808" max="12808" width="9.28515625" style="2" customWidth="1"/>
    <col min="12809" max="12809" width="10" style="2" customWidth="1"/>
    <col min="12810" max="12810" width="8.42578125" style="2" customWidth="1"/>
    <col min="12811" max="12811" width="12.28515625" style="2" customWidth="1"/>
    <col min="12812" max="12812" width="7.5703125" style="2" customWidth="1"/>
    <col min="12813" max="12813" width="7.85546875" style="2" customWidth="1"/>
    <col min="12814" max="12814" width="8.28515625" style="2" customWidth="1"/>
    <col min="12815" max="12815" width="9.140625" style="2"/>
    <col min="12816" max="12818" width="7.5703125" style="2" customWidth="1"/>
    <col min="12819" max="12819" width="10.28515625" style="2" customWidth="1"/>
    <col min="12820" max="12820" width="10.5703125" style="2" customWidth="1"/>
    <col min="12821" max="12821" width="11.140625" style="2" customWidth="1"/>
    <col min="12822" max="12822" width="10.42578125" style="2" customWidth="1"/>
    <col min="12823" max="12832" width="11" style="2" customWidth="1"/>
    <col min="12833" max="12833" width="9.140625" style="2" customWidth="1"/>
    <col min="12834" max="12834" width="6.85546875" style="2" customWidth="1"/>
    <col min="12835" max="12835" width="15" style="2" bestFit="1" customWidth="1"/>
    <col min="12836" max="13060" width="9.140625" style="2"/>
    <col min="13061" max="13061" width="4" style="2" customWidth="1"/>
    <col min="13062" max="13062" width="24.42578125" style="2" customWidth="1"/>
    <col min="13063" max="13063" width="19.85546875" style="2" customWidth="1"/>
    <col min="13064" max="13064" width="9.28515625" style="2" customWidth="1"/>
    <col min="13065" max="13065" width="10" style="2" customWidth="1"/>
    <col min="13066" max="13066" width="8.42578125" style="2" customWidth="1"/>
    <col min="13067" max="13067" width="12.28515625" style="2" customWidth="1"/>
    <col min="13068" max="13068" width="7.5703125" style="2" customWidth="1"/>
    <col min="13069" max="13069" width="7.85546875" style="2" customWidth="1"/>
    <col min="13070" max="13070" width="8.28515625" style="2" customWidth="1"/>
    <col min="13071" max="13071" width="9.140625" style="2"/>
    <col min="13072" max="13074" width="7.5703125" style="2" customWidth="1"/>
    <col min="13075" max="13075" width="10.28515625" style="2" customWidth="1"/>
    <col min="13076" max="13076" width="10.5703125" style="2" customWidth="1"/>
    <col min="13077" max="13077" width="11.140625" style="2" customWidth="1"/>
    <col min="13078" max="13078" width="10.42578125" style="2" customWidth="1"/>
    <col min="13079" max="13088" width="11" style="2" customWidth="1"/>
    <col min="13089" max="13089" width="9.140625" style="2" customWidth="1"/>
    <col min="13090" max="13090" width="6.85546875" style="2" customWidth="1"/>
    <col min="13091" max="13091" width="15" style="2" bestFit="1" customWidth="1"/>
    <col min="13092" max="13316" width="9.140625" style="2"/>
    <col min="13317" max="13317" width="4" style="2" customWidth="1"/>
    <col min="13318" max="13318" width="24.42578125" style="2" customWidth="1"/>
    <col min="13319" max="13319" width="19.85546875" style="2" customWidth="1"/>
    <col min="13320" max="13320" width="9.28515625" style="2" customWidth="1"/>
    <col min="13321" max="13321" width="10" style="2" customWidth="1"/>
    <col min="13322" max="13322" width="8.42578125" style="2" customWidth="1"/>
    <col min="13323" max="13323" width="12.28515625" style="2" customWidth="1"/>
    <col min="13324" max="13324" width="7.5703125" style="2" customWidth="1"/>
    <col min="13325" max="13325" width="7.85546875" style="2" customWidth="1"/>
    <col min="13326" max="13326" width="8.28515625" style="2" customWidth="1"/>
    <col min="13327" max="13327" width="9.140625" style="2"/>
    <col min="13328" max="13330" width="7.5703125" style="2" customWidth="1"/>
    <col min="13331" max="13331" width="10.28515625" style="2" customWidth="1"/>
    <col min="13332" max="13332" width="10.5703125" style="2" customWidth="1"/>
    <col min="13333" max="13333" width="11.140625" style="2" customWidth="1"/>
    <col min="13334" max="13334" width="10.42578125" style="2" customWidth="1"/>
    <col min="13335" max="13344" width="11" style="2" customWidth="1"/>
    <col min="13345" max="13345" width="9.140625" style="2" customWidth="1"/>
    <col min="13346" max="13346" width="6.85546875" style="2" customWidth="1"/>
    <col min="13347" max="13347" width="15" style="2" bestFit="1" customWidth="1"/>
    <col min="13348" max="13572" width="9.140625" style="2"/>
    <col min="13573" max="13573" width="4" style="2" customWidth="1"/>
    <col min="13574" max="13574" width="24.42578125" style="2" customWidth="1"/>
    <col min="13575" max="13575" width="19.85546875" style="2" customWidth="1"/>
    <col min="13576" max="13576" width="9.28515625" style="2" customWidth="1"/>
    <col min="13577" max="13577" width="10" style="2" customWidth="1"/>
    <col min="13578" max="13578" width="8.42578125" style="2" customWidth="1"/>
    <col min="13579" max="13579" width="12.28515625" style="2" customWidth="1"/>
    <col min="13580" max="13580" width="7.5703125" style="2" customWidth="1"/>
    <col min="13581" max="13581" width="7.85546875" style="2" customWidth="1"/>
    <col min="13582" max="13582" width="8.28515625" style="2" customWidth="1"/>
    <col min="13583" max="13583" width="9.140625" style="2"/>
    <col min="13584" max="13586" width="7.5703125" style="2" customWidth="1"/>
    <col min="13587" max="13587" width="10.28515625" style="2" customWidth="1"/>
    <col min="13588" max="13588" width="10.5703125" style="2" customWidth="1"/>
    <col min="13589" max="13589" width="11.140625" style="2" customWidth="1"/>
    <col min="13590" max="13590" width="10.42578125" style="2" customWidth="1"/>
    <col min="13591" max="13600" width="11" style="2" customWidth="1"/>
    <col min="13601" max="13601" width="9.140625" style="2" customWidth="1"/>
    <col min="13602" max="13602" width="6.85546875" style="2" customWidth="1"/>
    <col min="13603" max="13603" width="15" style="2" bestFit="1" customWidth="1"/>
    <col min="13604" max="13828" width="9.140625" style="2"/>
    <col min="13829" max="13829" width="4" style="2" customWidth="1"/>
    <col min="13830" max="13830" width="24.42578125" style="2" customWidth="1"/>
    <col min="13831" max="13831" width="19.85546875" style="2" customWidth="1"/>
    <col min="13832" max="13832" width="9.28515625" style="2" customWidth="1"/>
    <col min="13833" max="13833" width="10" style="2" customWidth="1"/>
    <col min="13834" max="13834" width="8.42578125" style="2" customWidth="1"/>
    <col min="13835" max="13835" width="12.28515625" style="2" customWidth="1"/>
    <col min="13836" max="13836" width="7.5703125" style="2" customWidth="1"/>
    <col min="13837" max="13837" width="7.85546875" style="2" customWidth="1"/>
    <col min="13838" max="13838" width="8.28515625" style="2" customWidth="1"/>
    <col min="13839" max="13839" width="9.140625" style="2"/>
    <col min="13840" max="13842" width="7.5703125" style="2" customWidth="1"/>
    <col min="13843" max="13843" width="10.28515625" style="2" customWidth="1"/>
    <col min="13844" max="13844" width="10.5703125" style="2" customWidth="1"/>
    <col min="13845" max="13845" width="11.140625" style="2" customWidth="1"/>
    <col min="13846" max="13846" width="10.42578125" style="2" customWidth="1"/>
    <col min="13847" max="13856" width="11" style="2" customWidth="1"/>
    <col min="13857" max="13857" width="9.140625" style="2" customWidth="1"/>
    <col min="13858" max="13858" width="6.85546875" style="2" customWidth="1"/>
    <col min="13859" max="13859" width="15" style="2" bestFit="1" customWidth="1"/>
    <col min="13860" max="14084" width="9.140625" style="2"/>
    <col min="14085" max="14085" width="4" style="2" customWidth="1"/>
    <col min="14086" max="14086" width="24.42578125" style="2" customWidth="1"/>
    <col min="14087" max="14087" width="19.85546875" style="2" customWidth="1"/>
    <col min="14088" max="14088" width="9.28515625" style="2" customWidth="1"/>
    <col min="14089" max="14089" width="10" style="2" customWidth="1"/>
    <col min="14090" max="14090" width="8.42578125" style="2" customWidth="1"/>
    <col min="14091" max="14091" width="12.28515625" style="2" customWidth="1"/>
    <col min="14092" max="14092" width="7.5703125" style="2" customWidth="1"/>
    <col min="14093" max="14093" width="7.85546875" style="2" customWidth="1"/>
    <col min="14094" max="14094" width="8.28515625" style="2" customWidth="1"/>
    <col min="14095" max="14095" width="9.140625" style="2"/>
    <col min="14096" max="14098" width="7.5703125" style="2" customWidth="1"/>
    <col min="14099" max="14099" width="10.28515625" style="2" customWidth="1"/>
    <col min="14100" max="14100" width="10.5703125" style="2" customWidth="1"/>
    <col min="14101" max="14101" width="11.140625" style="2" customWidth="1"/>
    <col min="14102" max="14102" width="10.42578125" style="2" customWidth="1"/>
    <col min="14103" max="14112" width="11" style="2" customWidth="1"/>
    <col min="14113" max="14113" width="9.140625" style="2" customWidth="1"/>
    <col min="14114" max="14114" width="6.85546875" style="2" customWidth="1"/>
    <col min="14115" max="14115" width="15" style="2" bestFit="1" customWidth="1"/>
    <col min="14116" max="14340" width="9.140625" style="2"/>
    <col min="14341" max="14341" width="4" style="2" customWidth="1"/>
    <col min="14342" max="14342" width="24.42578125" style="2" customWidth="1"/>
    <col min="14343" max="14343" width="19.85546875" style="2" customWidth="1"/>
    <col min="14344" max="14344" width="9.28515625" style="2" customWidth="1"/>
    <col min="14345" max="14345" width="10" style="2" customWidth="1"/>
    <col min="14346" max="14346" width="8.42578125" style="2" customWidth="1"/>
    <col min="14347" max="14347" width="12.28515625" style="2" customWidth="1"/>
    <col min="14348" max="14348" width="7.5703125" style="2" customWidth="1"/>
    <col min="14349" max="14349" width="7.85546875" style="2" customWidth="1"/>
    <col min="14350" max="14350" width="8.28515625" style="2" customWidth="1"/>
    <col min="14351" max="14351" width="9.140625" style="2"/>
    <col min="14352" max="14354" width="7.5703125" style="2" customWidth="1"/>
    <col min="14355" max="14355" width="10.28515625" style="2" customWidth="1"/>
    <col min="14356" max="14356" width="10.5703125" style="2" customWidth="1"/>
    <col min="14357" max="14357" width="11.140625" style="2" customWidth="1"/>
    <col min="14358" max="14358" width="10.42578125" style="2" customWidth="1"/>
    <col min="14359" max="14368" width="11" style="2" customWidth="1"/>
    <col min="14369" max="14369" width="9.140625" style="2" customWidth="1"/>
    <col min="14370" max="14370" width="6.85546875" style="2" customWidth="1"/>
    <col min="14371" max="14371" width="15" style="2" bestFit="1" customWidth="1"/>
    <col min="14372" max="14596" width="9.140625" style="2"/>
    <col min="14597" max="14597" width="4" style="2" customWidth="1"/>
    <col min="14598" max="14598" width="24.42578125" style="2" customWidth="1"/>
    <col min="14599" max="14599" width="19.85546875" style="2" customWidth="1"/>
    <col min="14600" max="14600" width="9.28515625" style="2" customWidth="1"/>
    <col min="14601" max="14601" width="10" style="2" customWidth="1"/>
    <col min="14602" max="14602" width="8.42578125" style="2" customWidth="1"/>
    <col min="14603" max="14603" width="12.28515625" style="2" customWidth="1"/>
    <col min="14604" max="14604" width="7.5703125" style="2" customWidth="1"/>
    <col min="14605" max="14605" width="7.85546875" style="2" customWidth="1"/>
    <col min="14606" max="14606" width="8.28515625" style="2" customWidth="1"/>
    <col min="14607" max="14607" width="9.140625" style="2"/>
    <col min="14608" max="14610" width="7.5703125" style="2" customWidth="1"/>
    <col min="14611" max="14611" width="10.28515625" style="2" customWidth="1"/>
    <col min="14612" max="14612" width="10.5703125" style="2" customWidth="1"/>
    <col min="14613" max="14613" width="11.140625" style="2" customWidth="1"/>
    <col min="14614" max="14614" width="10.42578125" style="2" customWidth="1"/>
    <col min="14615" max="14624" width="11" style="2" customWidth="1"/>
    <col min="14625" max="14625" width="9.140625" style="2" customWidth="1"/>
    <col min="14626" max="14626" width="6.85546875" style="2" customWidth="1"/>
    <col min="14627" max="14627" width="15" style="2" bestFit="1" customWidth="1"/>
    <col min="14628" max="14852" width="9.140625" style="2"/>
    <col min="14853" max="14853" width="4" style="2" customWidth="1"/>
    <col min="14854" max="14854" width="24.42578125" style="2" customWidth="1"/>
    <col min="14855" max="14855" width="19.85546875" style="2" customWidth="1"/>
    <col min="14856" max="14856" width="9.28515625" style="2" customWidth="1"/>
    <col min="14857" max="14857" width="10" style="2" customWidth="1"/>
    <col min="14858" max="14858" width="8.42578125" style="2" customWidth="1"/>
    <col min="14859" max="14859" width="12.28515625" style="2" customWidth="1"/>
    <col min="14860" max="14860" width="7.5703125" style="2" customWidth="1"/>
    <col min="14861" max="14861" width="7.85546875" style="2" customWidth="1"/>
    <col min="14862" max="14862" width="8.28515625" style="2" customWidth="1"/>
    <col min="14863" max="14863" width="9.140625" style="2"/>
    <col min="14864" max="14866" width="7.5703125" style="2" customWidth="1"/>
    <col min="14867" max="14867" width="10.28515625" style="2" customWidth="1"/>
    <col min="14868" max="14868" width="10.5703125" style="2" customWidth="1"/>
    <col min="14869" max="14869" width="11.140625" style="2" customWidth="1"/>
    <col min="14870" max="14870" width="10.42578125" style="2" customWidth="1"/>
    <col min="14871" max="14880" width="11" style="2" customWidth="1"/>
    <col min="14881" max="14881" width="9.140625" style="2" customWidth="1"/>
    <col min="14882" max="14882" width="6.85546875" style="2" customWidth="1"/>
    <col min="14883" max="14883" width="15" style="2" bestFit="1" customWidth="1"/>
    <col min="14884" max="15108" width="9.140625" style="2"/>
    <col min="15109" max="15109" width="4" style="2" customWidth="1"/>
    <col min="15110" max="15110" width="24.42578125" style="2" customWidth="1"/>
    <col min="15111" max="15111" width="19.85546875" style="2" customWidth="1"/>
    <col min="15112" max="15112" width="9.28515625" style="2" customWidth="1"/>
    <col min="15113" max="15113" width="10" style="2" customWidth="1"/>
    <col min="15114" max="15114" width="8.42578125" style="2" customWidth="1"/>
    <col min="15115" max="15115" width="12.28515625" style="2" customWidth="1"/>
    <col min="15116" max="15116" width="7.5703125" style="2" customWidth="1"/>
    <col min="15117" max="15117" width="7.85546875" style="2" customWidth="1"/>
    <col min="15118" max="15118" width="8.28515625" style="2" customWidth="1"/>
    <col min="15119" max="15119" width="9.140625" style="2"/>
    <col min="15120" max="15122" width="7.5703125" style="2" customWidth="1"/>
    <col min="15123" max="15123" width="10.28515625" style="2" customWidth="1"/>
    <col min="15124" max="15124" width="10.5703125" style="2" customWidth="1"/>
    <col min="15125" max="15125" width="11.140625" style="2" customWidth="1"/>
    <col min="15126" max="15126" width="10.42578125" style="2" customWidth="1"/>
    <col min="15127" max="15136" width="11" style="2" customWidth="1"/>
    <col min="15137" max="15137" width="9.140625" style="2" customWidth="1"/>
    <col min="15138" max="15138" width="6.85546875" style="2" customWidth="1"/>
    <col min="15139" max="15139" width="15" style="2" bestFit="1" customWidth="1"/>
    <col min="15140" max="15364" width="9.140625" style="2"/>
    <col min="15365" max="15365" width="4" style="2" customWidth="1"/>
    <col min="15366" max="15366" width="24.42578125" style="2" customWidth="1"/>
    <col min="15367" max="15367" width="19.85546875" style="2" customWidth="1"/>
    <col min="15368" max="15368" width="9.28515625" style="2" customWidth="1"/>
    <col min="15369" max="15369" width="10" style="2" customWidth="1"/>
    <col min="15370" max="15370" width="8.42578125" style="2" customWidth="1"/>
    <col min="15371" max="15371" width="12.28515625" style="2" customWidth="1"/>
    <col min="15372" max="15372" width="7.5703125" style="2" customWidth="1"/>
    <col min="15373" max="15373" width="7.85546875" style="2" customWidth="1"/>
    <col min="15374" max="15374" width="8.28515625" style="2" customWidth="1"/>
    <col min="15375" max="15375" width="9.140625" style="2"/>
    <col min="15376" max="15378" width="7.5703125" style="2" customWidth="1"/>
    <col min="15379" max="15379" width="10.28515625" style="2" customWidth="1"/>
    <col min="15380" max="15380" width="10.5703125" style="2" customWidth="1"/>
    <col min="15381" max="15381" width="11.140625" style="2" customWidth="1"/>
    <col min="15382" max="15382" width="10.42578125" style="2" customWidth="1"/>
    <col min="15383" max="15392" width="11" style="2" customWidth="1"/>
    <col min="15393" max="15393" width="9.140625" style="2" customWidth="1"/>
    <col min="15394" max="15394" width="6.85546875" style="2" customWidth="1"/>
    <col min="15395" max="15395" width="15" style="2" bestFit="1" customWidth="1"/>
    <col min="15396" max="15620" width="9.140625" style="2"/>
    <col min="15621" max="15621" width="4" style="2" customWidth="1"/>
    <col min="15622" max="15622" width="24.42578125" style="2" customWidth="1"/>
    <col min="15623" max="15623" width="19.85546875" style="2" customWidth="1"/>
    <col min="15624" max="15624" width="9.28515625" style="2" customWidth="1"/>
    <col min="15625" max="15625" width="10" style="2" customWidth="1"/>
    <col min="15626" max="15626" width="8.42578125" style="2" customWidth="1"/>
    <col min="15627" max="15627" width="12.28515625" style="2" customWidth="1"/>
    <col min="15628" max="15628" width="7.5703125" style="2" customWidth="1"/>
    <col min="15629" max="15629" width="7.85546875" style="2" customWidth="1"/>
    <col min="15630" max="15630" width="8.28515625" style="2" customWidth="1"/>
    <col min="15631" max="15631" width="9.140625" style="2"/>
    <col min="15632" max="15634" width="7.5703125" style="2" customWidth="1"/>
    <col min="15635" max="15635" width="10.28515625" style="2" customWidth="1"/>
    <col min="15636" max="15636" width="10.5703125" style="2" customWidth="1"/>
    <col min="15637" max="15637" width="11.140625" style="2" customWidth="1"/>
    <col min="15638" max="15638" width="10.42578125" style="2" customWidth="1"/>
    <col min="15639" max="15648" width="11" style="2" customWidth="1"/>
    <col min="15649" max="15649" width="9.140625" style="2" customWidth="1"/>
    <col min="15650" max="15650" width="6.85546875" style="2" customWidth="1"/>
    <col min="15651" max="15651" width="15" style="2" bestFit="1" customWidth="1"/>
    <col min="15652" max="15876" width="9.140625" style="2"/>
    <col min="15877" max="15877" width="4" style="2" customWidth="1"/>
    <col min="15878" max="15878" width="24.42578125" style="2" customWidth="1"/>
    <col min="15879" max="15879" width="19.85546875" style="2" customWidth="1"/>
    <col min="15880" max="15880" width="9.28515625" style="2" customWidth="1"/>
    <col min="15881" max="15881" width="10" style="2" customWidth="1"/>
    <col min="15882" max="15882" width="8.42578125" style="2" customWidth="1"/>
    <col min="15883" max="15883" width="12.28515625" style="2" customWidth="1"/>
    <col min="15884" max="15884" width="7.5703125" style="2" customWidth="1"/>
    <col min="15885" max="15885" width="7.85546875" style="2" customWidth="1"/>
    <col min="15886" max="15886" width="8.28515625" style="2" customWidth="1"/>
    <col min="15887" max="15887" width="9.140625" style="2"/>
    <col min="15888" max="15890" width="7.5703125" style="2" customWidth="1"/>
    <col min="15891" max="15891" width="10.28515625" style="2" customWidth="1"/>
    <col min="15892" max="15892" width="10.5703125" style="2" customWidth="1"/>
    <col min="15893" max="15893" width="11.140625" style="2" customWidth="1"/>
    <col min="15894" max="15894" width="10.42578125" style="2" customWidth="1"/>
    <col min="15895" max="15904" width="11" style="2" customWidth="1"/>
    <col min="15905" max="15905" width="9.140625" style="2" customWidth="1"/>
    <col min="15906" max="15906" width="6.85546875" style="2" customWidth="1"/>
    <col min="15907" max="15907" width="15" style="2" bestFit="1" customWidth="1"/>
    <col min="15908" max="16132" width="9.140625" style="2"/>
    <col min="16133" max="16133" width="4" style="2" customWidth="1"/>
    <col min="16134" max="16134" width="24.42578125" style="2" customWidth="1"/>
    <col min="16135" max="16135" width="19.85546875" style="2" customWidth="1"/>
    <col min="16136" max="16136" width="9.28515625" style="2" customWidth="1"/>
    <col min="16137" max="16137" width="10" style="2" customWidth="1"/>
    <col min="16138" max="16138" width="8.42578125" style="2" customWidth="1"/>
    <col min="16139" max="16139" width="12.28515625" style="2" customWidth="1"/>
    <col min="16140" max="16140" width="7.5703125" style="2" customWidth="1"/>
    <col min="16141" max="16141" width="7.85546875" style="2" customWidth="1"/>
    <col min="16142" max="16142" width="8.28515625" style="2" customWidth="1"/>
    <col min="16143" max="16143" width="9.140625" style="2"/>
    <col min="16144" max="16146" width="7.5703125" style="2" customWidth="1"/>
    <col min="16147" max="16147" width="10.28515625" style="2" customWidth="1"/>
    <col min="16148" max="16148" width="10.5703125" style="2" customWidth="1"/>
    <col min="16149" max="16149" width="11.140625" style="2" customWidth="1"/>
    <col min="16150" max="16150" width="10.42578125" style="2" customWidth="1"/>
    <col min="16151" max="16160" width="11" style="2" customWidth="1"/>
    <col min="16161" max="16161" width="9.140625" style="2" customWidth="1"/>
    <col min="16162" max="16162" width="6.85546875" style="2" customWidth="1"/>
    <col min="16163" max="16163" width="15" style="2" bestFit="1" customWidth="1"/>
    <col min="16164" max="16384" width="9.140625" style="2"/>
  </cols>
  <sheetData>
    <row r="1" spans="1:48" ht="125.25">
      <c r="A1" s="10" t="s">
        <v>17</v>
      </c>
      <c r="B1" s="11" t="s">
        <v>18</v>
      </c>
      <c r="C1" s="11" t="s">
        <v>19</v>
      </c>
      <c r="D1" s="12" t="s">
        <v>20</v>
      </c>
      <c r="E1" s="77" t="s">
        <v>190</v>
      </c>
      <c r="F1" s="77" t="s">
        <v>191</v>
      </c>
      <c r="G1" s="77" t="s">
        <v>192</v>
      </c>
      <c r="H1" s="77" t="s">
        <v>193</v>
      </c>
      <c r="I1" s="13" t="s">
        <v>21</v>
      </c>
      <c r="J1" s="4" t="s">
        <v>22</v>
      </c>
      <c r="K1" s="4" t="s">
        <v>23</v>
      </c>
      <c r="L1" s="4" t="s">
        <v>24</v>
      </c>
      <c r="M1" s="4" t="s">
        <v>25</v>
      </c>
      <c r="N1" s="4" t="s">
        <v>26</v>
      </c>
      <c r="O1" s="4" t="s">
        <v>27</v>
      </c>
      <c r="P1" s="4" t="s">
        <v>28</v>
      </c>
      <c r="Q1" s="4" t="s">
        <v>29</v>
      </c>
      <c r="R1" s="4" t="s">
        <v>30</v>
      </c>
      <c r="S1" s="4" t="s">
        <v>31</v>
      </c>
      <c r="T1" s="4" t="s">
        <v>32</v>
      </c>
      <c r="U1" s="4" t="s">
        <v>33</v>
      </c>
      <c r="V1" s="4" t="s">
        <v>34</v>
      </c>
      <c r="W1" s="4" t="s">
        <v>35</v>
      </c>
      <c r="X1" s="4" t="s">
        <v>36</v>
      </c>
      <c r="Y1" s="4" t="s">
        <v>37</v>
      </c>
      <c r="Z1" s="5" t="s">
        <v>38</v>
      </c>
      <c r="AA1" s="5" t="s">
        <v>39</v>
      </c>
      <c r="AB1" s="26" t="s">
        <v>151</v>
      </c>
      <c r="AC1" s="26" t="s">
        <v>152</v>
      </c>
      <c r="AD1" s="26" t="s">
        <v>153</v>
      </c>
      <c r="AG1" s="34" t="s">
        <v>154</v>
      </c>
      <c r="AH1" s="46" t="s">
        <v>155</v>
      </c>
      <c r="AN1" s="47" t="s">
        <v>156</v>
      </c>
      <c r="AP1" s="73" t="s">
        <v>15</v>
      </c>
      <c r="AS1" s="2">
        <v>4</v>
      </c>
      <c r="AT1" s="2">
        <v>12</v>
      </c>
    </row>
    <row r="2" spans="1:48" ht="23.25" customHeight="1">
      <c r="A2" s="90">
        <v>1</v>
      </c>
      <c r="B2" s="14" t="s">
        <v>40</v>
      </c>
      <c r="C2" s="14" t="s">
        <v>40</v>
      </c>
      <c r="D2" s="15" t="s">
        <v>41</v>
      </c>
      <c r="E2" s="78">
        <f t="shared" ref="E2:E14" si="0">AVERAGE(J2:N2)</f>
        <v>43003</v>
      </c>
      <c r="F2" s="78">
        <f t="shared" ref="F2:F14" si="1">AVERAGE(O2:V2)</f>
        <v>46327.875</v>
      </c>
      <c r="G2" s="78">
        <f>AVERAGE(W2:Z2)</f>
        <v>78850.5</v>
      </c>
      <c r="H2" s="78">
        <f>AVERAGE(AA2:AD2)</f>
        <v>68161.5</v>
      </c>
      <c r="I2" s="6">
        <v>115454</v>
      </c>
      <c r="J2" s="6">
        <f>20953+34257</f>
        <v>55210</v>
      </c>
      <c r="K2" s="6">
        <f>11506+18872</f>
        <v>30378</v>
      </c>
      <c r="L2" s="6">
        <f>15483+33338</f>
        <v>48821</v>
      </c>
      <c r="M2" s="6">
        <v>46267</v>
      </c>
      <c r="N2" s="6">
        <f>11097+23242</f>
        <v>34339</v>
      </c>
      <c r="O2" s="6">
        <v>45068</v>
      </c>
      <c r="P2" s="6">
        <v>48843</v>
      </c>
      <c r="Q2" s="6">
        <v>42904</v>
      </c>
      <c r="R2" s="6">
        <v>47723</v>
      </c>
      <c r="S2" s="6">
        <v>55332</v>
      </c>
      <c r="T2" s="6">
        <v>37415</v>
      </c>
      <c r="U2" s="6">
        <v>47983</v>
      </c>
      <c r="V2" s="6">
        <v>45355</v>
      </c>
      <c r="W2" s="6">
        <v>67196</v>
      </c>
      <c r="X2" s="6">
        <v>82706</v>
      </c>
      <c r="Y2" s="6">
        <v>78158</v>
      </c>
      <c r="Z2" s="6">
        <v>87342</v>
      </c>
      <c r="AA2" s="6">
        <v>85341</v>
      </c>
      <c r="AB2" s="27">
        <v>76252</v>
      </c>
      <c r="AC2" s="27">
        <v>70654</v>
      </c>
      <c r="AD2" s="27">
        <v>40399</v>
      </c>
      <c r="AE2" s="33">
        <f>SUM(I2:AD2)</f>
        <v>1289140</v>
      </c>
      <c r="AF2" s="33"/>
      <c r="AG2" s="35">
        <v>5.8500000000000003E-2</v>
      </c>
      <c r="AH2" s="33">
        <f>AE2*AG2</f>
        <v>75414.69</v>
      </c>
      <c r="AI2" s="46">
        <f>AH2/$AH$44*100</f>
        <v>1.8157100298096203</v>
      </c>
      <c r="AJ2" s="46">
        <f>AI2*$AJ$44/100</f>
        <v>363142.00596192403</v>
      </c>
      <c r="AK2" s="46">
        <f>AJ2/AG2</f>
        <v>6207555.6574687865</v>
      </c>
      <c r="AL2" s="46">
        <f t="shared" ref="AL2:AL17" si="2">AK2/AS2</f>
        <v>290992.39936629747</v>
      </c>
      <c r="AM2" s="46">
        <f>AK2/AT2</f>
        <v>24249.366613858125</v>
      </c>
      <c r="AN2" s="48">
        <v>12852</v>
      </c>
      <c r="AP2" s="74">
        <f>საპენსიო!D2</f>
        <v>92.063670411985015</v>
      </c>
      <c r="AQ2" s="74">
        <f>შშმპ!D2</f>
        <v>78.595238095238102</v>
      </c>
      <c r="AR2" s="9">
        <f>AVERAGE(AP2:AQ2)</f>
        <v>85.329454253611559</v>
      </c>
      <c r="AS2" s="9">
        <f>AR2/$AS$1</f>
        <v>21.33236356340289</v>
      </c>
      <c r="AT2" s="9">
        <f>AS2*$AT$1</f>
        <v>255.98836276083466</v>
      </c>
      <c r="AU2" s="76">
        <f t="shared" ref="AU2:AU17" si="3">AN2/AR2</f>
        <v>150.61622170700852</v>
      </c>
      <c r="AV2" s="76">
        <f>AN2/AS2</f>
        <v>602.46488682803408</v>
      </c>
    </row>
    <row r="3" spans="1:48">
      <c r="A3" s="90"/>
      <c r="B3" s="16" t="s">
        <v>42</v>
      </c>
      <c r="C3" s="16" t="s">
        <v>43</v>
      </c>
      <c r="D3" s="15" t="s">
        <v>44</v>
      </c>
      <c r="E3" s="78">
        <f t="shared" si="0"/>
        <v>62600.6</v>
      </c>
      <c r="F3" s="78">
        <f t="shared" si="1"/>
        <v>82328.125</v>
      </c>
      <c r="G3" s="78">
        <f t="shared" ref="G3:G43" si="4">AVERAGE(W3:Z3)</f>
        <v>138558</v>
      </c>
      <c r="H3" s="78">
        <f t="shared" ref="H3:H43" si="5">AVERAGE(AA3:AD3)</f>
        <v>136314</v>
      </c>
      <c r="I3" s="6">
        <v>128708</v>
      </c>
      <c r="J3" s="6">
        <f>68841</f>
        <v>68841</v>
      </c>
      <c r="K3" s="6">
        <f>41674</f>
        <v>41674</v>
      </c>
      <c r="L3" s="6">
        <f>77476</f>
        <v>77476</v>
      </c>
      <c r="M3" s="6">
        <v>71438</v>
      </c>
      <c r="N3" s="6">
        <f>180+53394</f>
        <v>53574</v>
      </c>
      <c r="O3" s="6">
        <v>68830</v>
      </c>
      <c r="P3" s="6">
        <v>87699</v>
      </c>
      <c r="Q3" s="6">
        <v>79766</v>
      </c>
      <c r="R3" s="6">
        <v>76260</v>
      </c>
      <c r="S3" s="6">
        <v>95079</v>
      </c>
      <c r="T3" s="6">
        <v>75991</v>
      </c>
      <c r="U3" s="6">
        <v>86045</v>
      </c>
      <c r="V3" s="6">
        <v>88955</v>
      </c>
      <c r="W3" s="6">
        <v>117285</v>
      </c>
      <c r="X3" s="6">
        <v>156780</v>
      </c>
      <c r="Y3" s="6">
        <v>143245</v>
      </c>
      <c r="Z3" s="6">
        <v>136922</v>
      </c>
      <c r="AA3" s="6">
        <v>138365</v>
      </c>
      <c r="AB3" s="27">
        <v>134077</v>
      </c>
      <c r="AC3" s="27">
        <v>133218</v>
      </c>
      <c r="AD3" s="27">
        <v>139596</v>
      </c>
      <c r="AE3" s="33">
        <f t="shared" ref="AE3:AE43" si="6">SUM(I3:AD3)</f>
        <v>2199824</v>
      </c>
      <c r="AF3" s="33"/>
      <c r="AG3" s="36">
        <v>6.4500000000000002E-2</v>
      </c>
      <c r="AH3" s="33">
        <f t="shared" ref="AH3:AH43" si="7">AE3*AG3</f>
        <v>141888.64800000002</v>
      </c>
      <c r="AI3" s="46">
        <f t="shared" ref="AI3:AI43" si="8">AH3/$AH$44*100</f>
        <v>3.4161599191049747</v>
      </c>
      <c r="AJ3" s="46">
        <f t="shared" ref="AJ3:AJ43" si="9">AI3*$AJ$44/100</f>
        <v>683231.98382099497</v>
      </c>
      <c r="AK3" s="46">
        <f t="shared" ref="AK3:AK42" si="10">AJ3/AG3</f>
        <v>10592743.935209224</v>
      </c>
      <c r="AL3" s="46">
        <f t="shared" si="2"/>
        <v>461404.90161337459</v>
      </c>
      <c r="AM3" s="46">
        <f t="shared" ref="AM3:AM43" si="11">AK3/AT3</f>
        <v>38450.408467781221</v>
      </c>
      <c r="AN3" s="48">
        <v>970805</v>
      </c>
      <c r="AP3" s="74">
        <f>საპენსიო!D3</f>
        <v>87.473209249858996</v>
      </c>
      <c r="AQ3" s="74">
        <f>შშმპ!D3</f>
        <v>96.1875</v>
      </c>
      <c r="AR3" s="9">
        <f t="shared" ref="AR3:AR43" si="12">AVERAGE(AP3:AQ3)</f>
        <v>91.830354624929498</v>
      </c>
      <c r="AS3" s="9">
        <f t="shared" ref="AS3:AS43" si="13">AR3/$AS$1</f>
        <v>22.957588656232375</v>
      </c>
      <c r="AT3" s="9">
        <f t="shared" ref="AT3:AT43" si="14">AS3*$AT$1</f>
        <v>275.49106387478849</v>
      </c>
      <c r="AU3" s="76">
        <f t="shared" si="3"/>
        <v>10571.722215003319</v>
      </c>
      <c r="AV3" s="76">
        <f t="shared" ref="AV3:AV17" si="15">AN3/AS3</f>
        <v>42286.888860013278</v>
      </c>
    </row>
    <row r="4" spans="1:48">
      <c r="A4" s="16">
        <v>2</v>
      </c>
      <c r="B4" s="16" t="s">
        <v>45</v>
      </c>
      <c r="C4" s="16" t="s">
        <v>46</v>
      </c>
      <c r="D4" s="17" t="s">
        <v>47</v>
      </c>
      <c r="E4" s="78">
        <f t="shared" si="0"/>
        <v>44461.8</v>
      </c>
      <c r="F4" s="78">
        <f t="shared" si="1"/>
        <v>62495.625</v>
      </c>
      <c r="G4" s="78">
        <f t="shared" si="4"/>
        <v>127965.25</v>
      </c>
      <c r="H4" s="78">
        <f t="shared" si="5"/>
        <v>92294.25</v>
      </c>
      <c r="I4" s="6">
        <v>74656</v>
      </c>
      <c r="J4" s="6">
        <f>894+48877</f>
        <v>49771</v>
      </c>
      <c r="K4" s="6">
        <f>304+29577</f>
        <v>29881</v>
      </c>
      <c r="L4" s="6">
        <f>49670</f>
        <v>49670</v>
      </c>
      <c r="M4" s="6">
        <v>52667</v>
      </c>
      <c r="N4" s="6">
        <f>92+40228</f>
        <v>40320</v>
      </c>
      <c r="O4" s="6">
        <v>51024</v>
      </c>
      <c r="P4" s="6">
        <v>63258</v>
      </c>
      <c r="Q4" s="6">
        <v>59752</v>
      </c>
      <c r="R4" s="6">
        <v>57385</v>
      </c>
      <c r="S4" s="6">
        <v>78187</v>
      </c>
      <c r="T4" s="6">
        <v>57063</v>
      </c>
      <c r="U4" s="6">
        <v>65543</v>
      </c>
      <c r="V4" s="6">
        <v>67753</v>
      </c>
      <c r="W4" s="6">
        <v>107766</v>
      </c>
      <c r="X4" s="6">
        <v>143166</v>
      </c>
      <c r="Y4" s="6">
        <v>134239</v>
      </c>
      <c r="Z4" s="6">
        <v>126690</v>
      </c>
      <c r="AA4" s="6">
        <v>118049</v>
      </c>
      <c r="AB4" s="28">
        <f>2143+6105+111108</f>
        <v>119356</v>
      </c>
      <c r="AC4" s="28">
        <v>102458</v>
      </c>
      <c r="AD4" s="28">
        <v>29314</v>
      </c>
      <c r="AE4" s="33">
        <f t="shared" si="6"/>
        <v>1677968</v>
      </c>
      <c r="AF4" s="33"/>
      <c r="AG4" s="36">
        <v>0.21840000000000001</v>
      </c>
      <c r="AH4" s="33">
        <f t="shared" si="7"/>
        <v>366468.21120000002</v>
      </c>
      <c r="AI4" s="46">
        <f t="shared" si="8"/>
        <v>8.8232147699901748</v>
      </c>
      <c r="AJ4" s="46">
        <f t="shared" si="9"/>
        <v>1764642.9539980348</v>
      </c>
      <c r="AK4" s="46">
        <f t="shared" si="10"/>
        <v>8079867.0054855067</v>
      </c>
      <c r="AL4" s="46">
        <f t="shared" si="2"/>
        <v>518126.98224935157</v>
      </c>
      <c r="AM4" s="46">
        <f t="shared" si="11"/>
        <v>43177.2485207793</v>
      </c>
      <c r="AN4" s="48">
        <v>160907</v>
      </c>
      <c r="AP4" s="74">
        <f>საპენსიო!D4</f>
        <v>66.601855287569578</v>
      </c>
      <c r="AQ4" s="74">
        <f>შშმპ!D9</f>
        <v>58.153153153153156</v>
      </c>
      <c r="AR4" s="9">
        <f t="shared" si="12"/>
        <v>62.377504220361367</v>
      </c>
      <c r="AS4" s="9">
        <f t="shared" si="13"/>
        <v>15.594376055090342</v>
      </c>
      <c r="AT4" s="9">
        <f t="shared" si="14"/>
        <v>187.13251266108409</v>
      </c>
      <c r="AU4" s="76">
        <f t="shared" si="3"/>
        <v>2579.5677786588403</v>
      </c>
      <c r="AV4" s="76">
        <f t="shared" si="15"/>
        <v>10318.271114635361</v>
      </c>
    </row>
    <row r="5" spans="1:48">
      <c r="A5" s="16">
        <v>3</v>
      </c>
      <c r="B5" s="16" t="s">
        <v>48</v>
      </c>
      <c r="C5" s="16" t="s">
        <v>48</v>
      </c>
      <c r="D5" s="18" t="s">
        <v>49</v>
      </c>
      <c r="E5" s="78">
        <f t="shared" si="0"/>
        <v>55445</v>
      </c>
      <c r="F5" s="78">
        <f t="shared" si="1"/>
        <v>108836.625</v>
      </c>
      <c r="G5" s="78">
        <f t="shared" si="4"/>
        <v>216440.25</v>
      </c>
      <c r="H5" s="78">
        <f t="shared" si="5"/>
        <v>227824</v>
      </c>
      <c r="I5" s="6">
        <v>0</v>
      </c>
      <c r="J5" s="6">
        <v>0</v>
      </c>
      <c r="K5" s="6">
        <v>11654</v>
      </c>
      <c r="L5" s="6">
        <f>125527</f>
        <v>125527</v>
      </c>
      <c r="M5" s="6">
        <v>76906</v>
      </c>
      <c r="N5" s="6">
        <f>63138</f>
        <v>63138</v>
      </c>
      <c r="O5" s="6">
        <v>94802</v>
      </c>
      <c r="P5" s="6">
        <v>103039</v>
      </c>
      <c r="Q5" s="6">
        <v>106262</v>
      </c>
      <c r="R5" s="6">
        <v>109933</v>
      </c>
      <c r="S5" s="6">
        <v>124788</v>
      </c>
      <c r="T5" s="6">
        <v>101734</v>
      </c>
      <c r="U5" s="6">
        <v>117850</v>
      </c>
      <c r="V5" s="6">
        <v>112285</v>
      </c>
      <c r="W5" s="6">
        <v>174735</v>
      </c>
      <c r="X5" s="6">
        <v>241015</v>
      </c>
      <c r="Y5" s="6">
        <v>224504</v>
      </c>
      <c r="Z5" s="6">
        <v>225507</v>
      </c>
      <c r="AA5" s="6">
        <v>231313</v>
      </c>
      <c r="AB5" s="27">
        <v>231431</v>
      </c>
      <c r="AC5" s="27">
        <v>237975</v>
      </c>
      <c r="AD5" s="27">
        <v>210577</v>
      </c>
      <c r="AE5" s="33">
        <f t="shared" si="6"/>
        <v>2924975</v>
      </c>
      <c r="AF5" s="33"/>
      <c r="AG5" s="37">
        <v>4.1000000000000002E-2</v>
      </c>
      <c r="AH5" s="33">
        <f t="shared" si="7"/>
        <v>119923.97500000001</v>
      </c>
      <c r="AI5" s="46">
        <f t="shared" si="8"/>
        <v>2.8873308929883312</v>
      </c>
      <c r="AJ5" s="46">
        <f t="shared" si="9"/>
        <v>577466.17859766621</v>
      </c>
      <c r="AK5" s="46">
        <f t="shared" si="10"/>
        <v>14084540.941406492</v>
      </c>
      <c r="AL5" s="46">
        <f t="shared" si="2"/>
        <v>493655.95469381614</v>
      </c>
      <c r="AM5" s="46">
        <f t="shared" si="11"/>
        <v>41137.996224484676</v>
      </c>
      <c r="AN5" s="48">
        <v>1304050</v>
      </c>
      <c r="AP5" s="74">
        <f>საპენსიო!D17</f>
        <v>110.81858766233766</v>
      </c>
      <c r="AQ5" s="74">
        <f>შშმპ!D16</f>
        <v>117.43010752688173</v>
      </c>
      <c r="AR5" s="9">
        <f t="shared" si="12"/>
        <v>114.1243475946097</v>
      </c>
      <c r="AS5" s="9">
        <f t="shared" si="13"/>
        <v>28.531086898652426</v>
      </c>
      <c r="AT5" s="9">
        <f t="shared" si="14"/>
        <v>342.37304278382908</v>
      </c>
      <c r="AU5" s="76">
        <f t="shared" si="3"/>
        <v>11426.571345075472</v>
      </c>
      <c r="AV5" s="76">
        <f t="shared" si="15"/>
        <v>45706.285380301888</v>
      </c>
    </row>
    <row r="6" spans="1:48" ht="27" customHeight="1">
      <c r="A6" s="16">
        <v>4</v>
      </c>
      <c r="B6" s="16" t="s">
        <v>50</v>
      </c>
      <c r="C6" s="16" t="s">
        <v>51</v>
      </c>
      <c r="D6" s="19" t="s">
        <v>52</v>
      </c>
      <c r="E6" s="78">
        <f t="shared" si="0"/>
        <v>28665.599999999999</v>
      </c>
      <c r="F6" s="78">
        <f t="shared" si="1"/>
        <v>37865.25</v>
      </c>
      <c r="G6" s="78">
        <f t="shared" si="4"/>
        <v>71543.75</v>
      </c>
      <c r="H6" s="78">
        <f t="shared" si="5"/>
        <v>58414</v>
      </c>
      <c r="I6" s="6">
        <v>71359</v>
      </c>
      <c r="J6" s="6">
        <f>103+23+219+92+90+92+5463+17825+10070</f>
        <v>33977</v>
      </c>
      <c r="K6" s="6">
        <f>71+46+91+92+2667+9088+6961</f>
        <v>19016</v>
      </c>
      <c r="L6" s="6">
        <f>90+230+5697+14666+13155</f>
        <v>33838</v>
      </c>
      <c r="M6" s="6">
        <v>31458</v>
      </c>
      <c r="N6" s="6">
        <f>1+138+115+2448+8277+14060</f>
        <v>25039</v>
      </c>
      <c r="O6" s="6">
        <v>32180</v>
      </c>
      <c r="P6" s="6">
        <v>40242</v>
      </c>
      <c r="Q6" s="6">
        <v>34672</v>
      </c>
      <c r="R6" s="6">
        <v>37150</v>
      </c>
      <c r="S6" s="6">
        <v>44130</v>
      </c>
      <c r="T6" s="6">
        <v>33373</v>
      </c>
      <c r="U6" s="6">
        <v>39863</v>
      </c>
      <c r="V6" s="6">
        <v>41312</v>
      </c>
      <c r="W6" s="6">
        <v>62328</v>
      </c>
      <c r="X6" s="6">
        <v>81237</v>
      </c>
      <c r="Y6" s="6">
        <v>72170</v>
      </c>
      <c r="Z6" s="6">
        <v>70440</v>
      </c>
      <c r="AA6" s="6">
        <v>70692</v>
      </c>
      <c r="AB6" s="27">
        <v>71155</v>
      </c>
      <c r="AC6" s="27">
        <v>64086</v>
      </c>
      <c r="AD6" s="27">
        <v>27723</v>
      </c>
      <c r="AE6" s="33">
        <f t="shared" si="6"/>
        <v>1037440</v>
      </c>
      <c r="AF6" s="33"/>
      <c r="AG6" s="37">
        <v>4.7500000000000001E-2</v>
      </c>
      <c r="AH6" s="33">
        <f t="shared" si="7"/>
        <v>49278.400000000001</v>
      </c>
      <c r="AI6" s="46">
        <f t="shared" si="8"/>
        <v>1.1864437171719513</v>
      </c>
      <c r="AJ6" s="46">
        <f t="shared" si="9"/>
        <v>237288.74343439029</v>
      </c>
      <c r="AK6" s="46">
        <f t="shared" si="10"/>
        <v>4995552.4933555853</v>
      </c>
      <c r="AL6" s="46">
        <f t="shared" si="2"/>
        <v>333075.57899198943</v>
      </c>
      <c r="AM6" s="46">
        <f t="shared" si="11"/>
        <v>27756.298249332449</v>
      </c>
      <c r="AN6" s="48">
        <v>6776</v>
      </c>
      <c r="AP6" s="74">
        <f>საპენსიო!D6</f>
        <v>57.986040609137056</v>
      </c>
      <c r="AQ6" s="74">
        <f>შშმპ!D4</f>
        <v>62</v>
      </c>
      <c r="AR6" s="9">
        <f t="shared" si="12"/>
        <v>59.993020304568532</v>
      </c>
      <c r="AS6" s="9">
        <f t="shared" si="13"/>
        <v>14.998255076142133</v>
      </c>
      <c r="AT6" s="9">
        <f t="shared" si="14"/>
        <v>179.97906091370561</v>
      </c>
      <c r="AU6" s="76">
        <f t="shared" si="3"/>
        <v>112.94647219960019</v>
      </c>
      <c r="AV6" s="76">
        <f t="shared" si="15"/>
        <v>451.78588879840078</v>
      </c>
    </row>
    <row r="7" spans="1:48" ht="30" customHeight="1">
      <c r="A7" s="16">
        <v>5</v>
      </c>
      <c r="B7" s="14" t="s">
        <v>53</v>
      </c>
      <c r="C7" s="16" t="s">
        <v>54</v>
      </c>
      <c r="D7" s="18" t="s">
        <v>55</v>
      </c>
      <c r="E7" s="78">
        <f t="shared" si="0"/>
        <v>12809.8</v>
      </c>
      <c r="F7" s="78">
        <f t="shared" si="1"/>
        <v>16399.375</v>
      </c>
      <c r="G7" s="78">
        <f t="shared" si="4"/>
        <v>36643.75</v>
      </c>
      <c r="H7" s="78">
        <f t="shared" si="5"/>
        <v>40709</v>
      </c>
      <c r="I7" s="6">
        <v>35172</v>
      </c>
      <c r="J7" s="6">
        <f>14677+300</f>
        <v>14977</v>
      </c>
      <c r="K7" s="6">
        <f>7169</f>
        <v>7169</v>
      </c>
      <c r="L7" s="6">
        <f>16509</f>
        <v>16509</v>
      </c>
      <c r="M7" s="6">
        <v>14056</v>
      </c>
      <c r="N7" s="6">
        <f>11338</f>
        <v>11338</v>
      </c>
      <c r="O7" s="6">
        <v>15140</v>
      </c>
      <c r="P7" s="6">
        <v>16835</v>
      </c>
      <c r="Q7" s="6">
        <v>15104</v>
      </c>
      <c r="R7" s="6">
        <v>15293</v>
      </c>
      <c r="S7" s="6">
        <v>18158</v>
      </c>
      <c r="T7" s="6">
        <v>14011</v>
      </c>
      <c r="U7" s="6">
        <v>19170</v>
      </c>
      <c r="V7" s="6">
        <v>17484</v>
      </c>
      <c r="W7" s="6">
        <v>31052</v>
      </c>
      <c r="X7" s="6">
        <v>40073</v>
      </c>
      <c r="Y7" s="6">
        <v>38322</v>
      </c>
      <c r="Z7" s="6">
        <v>37128</v>
      </c>
      <c r="AA7" s="6">
        <v>38507</v>
      </c>
      <c r="AB7" s="27">
        <v>37090</v>
      </c>
      <c r="AC7" s="27">
        <v>43811</v>
      </c>
      <c r="AD7" s="27">
        <v>43428</v>
      </c>
      <c r="AE7" s="33">
        <f t="shared" si="6"/>
        <v>539827</v>
      </c>
      <c r="AF7" s="33"/>
      <c r="AG7" s="38">
        <v>0.1034559</v>
      </c>
      <c r="AH7" s="33">
        <f t="shared" si="7"/>
        <v>55848.288129300003</v>
      </c>
      <c r="AI7" s="46">
        <f t="shared" si="8"/>
        <v>1.3446226047480614</v>
      </c>
      <c r="AJ7" s="46">
        <f t="shared" si="9"/>
        <v>268924.52094961226</v>
      </c>
      <c r="AK7" s="46">
        <f t="shared" si="10"/>
        <v>2599412.1258392441</v>
      </c>
      <c r="AL7" s="46">
        <f t="shared" si="2"/>
        <v>120855.50166763978</v>
      </c>
      <c r="AM7" s="46">
        <f t="shared" si="11"/>
        <v>10071.291805636649</v>
      </c>
      <c r="AN7" s="48">
        <v>516988</v>
      </c>
      <c r="AP7" s="74">
        <f>საპენსიო!D7</f>
        <v>84.567441860465109</v>
      </c>
      <c r="AQ7" s="74">
        <f>შშმპ!D5</f>
        <v>87.5</v>
      </c>
      <c r="AR7" s="9">
        <f t="shared" si="12"/>
        <v>86.033720930232562</v>
      </c>
      <c r="AS7" s="9">
        <f t="shared" si="13"/>
        <v>21.50843023255814</v>
      </c>
      <c r="AT7" s="9">
        <f t="shared" si="14"/>
        <v>258.10116279069769</v>
      </c>
      <c r="AU7" s="76">
        <f t="shared" si="3"/>
        <v>6009.1321682952866</v>
      </c>
      <c r="AV7" s="76">
        <f t="shared" si="15"/>
        <v>24036.528673181147</v>
      </c>
    </row>
    <row r="8" spans="1:48" ht="25.5" customHeight="1">
      <c r="A8" s="16">
        <v>6</v>
      </c>
      <c r="B8" s="16" t="s">
        <v>56</v>
      </c>
      <c r="C8" s="16" t="s">
        <v>57</v>
      </c>
      <c r="D8" s="19" t="s">
        <v>52</v>
      </c>
      <c r="E8" s="78">
        <f t="shared" si="0"/>
        <v>3011.4</v>
      </c>
      <c r="F8" s="78">
        <f t="shared" si="1"/>
        <v>3165.375</v>
      </c>
      <c r="G8" s="78">
        <f t="shared" si="4"/>
        <v>8302.5</v>
      </c>
      <c r="H8" s="78">
        <f t="shared" si="5"/>
        <v>10258.5</v>
      </c>
      <c r="I8" s="6">
        <v>0</v>
      </c>
      <c r="J8" s="6">
        <v>2759</v>
      </c>
      <c r="K8" s="6">
        <v>3999</v>
      </c>
      <c r="L8" s="6">
        <f>2385</f>
        <v>2385</v>
      </c>
      <c r="M8" s="6">
        <v>2844</v>
      </c>
      <c r="N8" s="6">
        <f>3070</f>
        <v>3070</v>
      </c>
      <c r="O8" s="6">
        <v>2441</v>
      </c>
      <c r="P8" s="6">
        <v>2913</v>
      </c>
      <c r="Q8" s="6">
        <v>3614</v>
      </c>
      <c r="R8" s="6">
        <v>3529</v>
      </c>
      <c r="S8" s="6">
        <v>3254</v>
      </c>
      <c r="T8" s="6">
        <v>3147</v>
      </c>
      <c r="U8" s="6">
        <v>3592</v>
      </c>
      <c r="V8" s="6">
        <v>2833</v>
      </c>
      <c r="W8" s="6">
        <v>8669</v>
      </c>
      <c r="X8" s="6">
        <v>7654</v>
      </c>
      <c r="Y8" s="6">
        <v>7780</v>
      </c>
      <c r="Z8" s="6">
        <v>9107</v>
      </c>
      <c r="AA8" s="6">
        <v>9951</v>
      </c>
      <c r="AB8" s="27">
        <v>10209</v>
      </c>
      <c r="AC8" s="27">
        <v>10994</v>
      </c>
      <c r="AD8" s="27">
        <v>9880</v>
      </c>
      <c r="AE8" s="33">
        <f t="shared" si="6"/>
        <v>114624</v>
      </c>
      <c r="AF8" s="33"/>
      <c r="AG8" s="37">
        <v>0.188</v>
      </c>
      <c r="AH8" s="33">
        <f t="shared" si="7"/>
        <v>21549.312000000002</v>
      </c>
      <c r="AI8" s="46">
        <f t="shared" si="8"/>
        <v>0.51882865173743753</v>
      </c>
      <c r="AJ8" s="46">
        <f t="shared" si="9"/>
        <v>103765.73034748749</v>
      </c>
      <c r="AK8" s="46">
        <f t="shared" si="10"/>
        <v>551945.37418876321</v>
      </c>
      <c r="AL8" s="46">
        <f t="shared" si="2"/>
        <v>22825.255630135849</v>
      </c>
      <c r="AM8" s="46">
        <f t="shared" si="11"/>
        <v>1902.104635844654</v>
      </c>
      <c r="AN8" s="48">
        <v>27649</v>
      </c>
      <c r="AP8" s="74">
        <f>საპენსიო!D15</f>
        <v>77.575757575757578</v>
      </c>
      <c r="AQ8" s="74">
        <f>შშმპ!D15</f>
        <v>115.875</v>
      </c>
      <c r="AR8" s="9">
        <f t="shared" si="12"/>
        <v>96.725378787878782</v>
      </c>
      <c r="AS8" s="9">
        <f t="shared" si="13"/>
        <v>24.181344696969695</v>
      </c>
      <c r="AT8" s="9">
        <f t="shared" si="14"/>
        <v>290.17613636363637</v>
      </c>
      <c r="AU8" s="76">
        <f t="shared" si="3"/>
        <v>285.85052182256078</v>
      </c>
      <c r="AV8" s="76">
        <f t="shared" si="15"/>
        <v>1143.4020872902431</v>
      </c>
    </row>
    <row r="9" spans="1:48" ht="24.75" customHeight="1">
      <c r="A9" s="16">
        <v>7</v>
      </c>
      <c r="B9" s="16" t="s">
        <v>58</v>
      </c>
      <c r="C9" s="16" t="s">
        <v>59</v>
      </c>
      <c r="D9" s="19" t="s">
        <v>60</v>
      </c>
      <c r="E9" s="78">
        <f t="shared" si="0"/>
        <v>20840.8</v>
      </c>
      <c r="F9" s="78">
        <f t="shared" si="1"/>
        <v>29990.375</v>
      </c>
      <c r="G9" s="78">
        <f t="shared" si="4"/>
        <v>66727.75</v>
      </c>
      <c r="H9" s="78">
        <f t="shared" si="5"/>
        <v>75478</v>
      </c>
      <c r="I9" s="6">
        <v>56943</v>
      </c>
      <c r="J9" s="6">
        <v>22075</v>
      </c>
      <c r="K9" s="6">
        <v>12111</v>
      </c>
      <c r="L9" s="6">
        <f>26890</f>
        <v>26890</v>
      </c>
      <c r="M9" s="6">
        <v>24446</v>
      </c>
      <c r="N9" s="6">
        <f>18682</f>
        <v>18682</v>
      </c>
      <c r="O9" s="6">
        <v>27577</v>
      </c>
      <c r="P9" s="6">
        <v>31298</v>
      </c>
      <c r="Q9" s="6">
        <v>24233</v>
      </c>
      <c r="R9" s="6">
        <v>30732</v>
      </c>
      <c r="S9" s="6">
        <v>32988</v>
      </c>
      <c r="T9" s="6">
        <v>26408</v>
      </c>
      <c r="U9" s="6">
        <v>34308</v>
      </c>
      <c r="V9" s="6">
        <v>32379</v>
      </c>
      <c r="W9" s="6">
        <v>57431</v>
      </c>
      <c r="X9" s="6">
        <v>72802</v>
      </c>
      <c r="Y9" s="6">
        <v>68970</v>
      </c>
      <c r="Z9" s="6">
        <v>67708</v>
      </c>
      <c r="AA9" s="6">
        <v>74700</v>
      </c>
      <c r="AB9" s="28">
        <v>74139</v>
      </c>
      <c r="AC9" s="28">
        <v>76518</v>
      </c>
      <c r="AD9" s="28">
        <v>76555</v>
      </c>
      <c r="AE9" s="33">
        <f t="shared" si="6"/>
        <v>969893</v>
      </c>
      <c r="AF9" s="33"/>
      <c r="AG9" s="37">
        <v>6.6000000000000003E-2</v>
      </c>
      <c r="AH9" s="33">
        <f t="shared" si="7"/>
        <v>64012.938000000002</v>
      </c>
      <c r="AI9" s="46">
        <f t="shared" si="8"/>
        <v>1.5411975248347687</v>
      </c>
      <c r="AJ9" s="46">
        <f t="shared" si="9"/>
        <v>308239.50496695371</v>
      </c>
      <c r="AK9" s="46">
        <f t="shared" si="10"/>
        <v>4670295.5298023289</v>
      </c>
      <c r="AL9" s="46">
        <f t="shared" si="2"/>
        <v>152330.37571742694</v>
      </c>
      <c r="AM9" s="46">
        <f t="shared" si="11"/>
        <v>12694.197976452246</v>
      </c>
      <c r="AN9" s="48">
        <v>1682441</v>
      </c>
      <c r="AP9" s="74">
        <f>საპენსიო!D8</f>
        <v>117.69565217391305</v>
      </c>
      <c r="AQ9" s="74">
        <f>შშმპ!D11</f>
        <v>127.57627118644068</v>
      </c>
      <c r="AR9" s="9">
        <f t="shared" si="12"/>
        <v>122.63596168017686</v>
      </c>
      <c r="AS9" s="9">
        <f t="shared" si="13"/>
        <v>30.658990420044216</v>
      </c>
      <c r="AT9" s="9">
        <f t="shared" si="14"/>
        <v>367.90788504053057</v>
      </c>
      <c r="AU9" s="76">
        <f t="shared" si="3"/>
        <v>13718.985662522458</v>
      </c>
      <c r="AV9" s="76">
        <f t="shared" si="15"/>
        <v>54875.942650089833</v>
      </c>
    </row>
    <row r="10" spans="1:48" ht="25.5" customHeight="1">
      <c r="A10" s="16">
        <v>8</v>
      </c>
      <c r="B10" s="16" t="s">
        <v>61</v>
      </c>
      <c r="C10" s="16" t="s">
        <v>62</v>
      </c>
      <c r="D10" s="20" t="s">
        <v>63</v>
      </c>
      <c r="E10" s="78">
        <f t="shared" si="0"/>
        <v>32143.4</v>
      </c>
      <c r="F10" s="78">
        <f t="shared" si="1"/>
        <v>38286.375</v>
      </c>
      <c r="G10" s="78">
        <f t="shared" si="4"/>
        <v>70734.5</v>
      </c>
      <c r="H10" s="78">
        <f t="shared" si="5"/>
        <v>79779</v>
      </c>
      <c r="I10" s="6">
        <v>37254</v>
      </c>
      <c r="J10" s="6">
        <v>49150</v>
      </c>
      <c r="K10" s="6">
        <f>668+13686+92+5642</f>
        <v>20088</v>
      </c>
      <c r="L10" s="6">
        <f>1102+11045+1028+18908</f>
        <v>32083</v>
      </c>
      <c r="M10" s="6">
        <v>34438</v>
      </c>
      <c r="N10" s="6">
        <f>1174+18698+5086</f>
        <v>24958</v>
      </c>
      <c r="O10" s="6">
        <v>30837</v>
      </c>
      <c r="P10" s="6">
        <v>39593</v>
      </c>
      <c r="Q10" s="6">
        <v>35795</v>
      </c>
      <c r="R10" s="6">
        <v>32955</v>
      </c>
      <c r="S10" s="6">
        <v>48160</v>
      </c>
      <c r="T10" s="6">
        <v>37230</v>
      </c>
      <c r="U10" s="6">
        <v>39410</v>
      </c>
      <c r="V10" s="6">
        <v>42311</v>
      </c>
      <c r="W10" s="6">
        <v>66372</v>
      </c>
      <c r="X10" s="6">
        <v>80964</v>
      </c>
      <c r="Y10" s="6">
        <v>75701</v>
      </c>
      <c r="Z10" s="6">
        <v>59901</v>
      </c>
      <c r="AA10" s="6">
        <v>72905</v>
      </c>
      <c r="AB10" s="27">
        <v>81999</v>
      </c>
      <c r="AC10" s="27">
        <v>83146</v>
      </c>
      <c r="AD10" s="27">
        <v>81066</v>
      </c>
      <c r="AE10" s="33">
        <f t="shared" si="6"/>
        <v>1106316</v>
      </c>
      <c r="AF10" s="33"/>
      <c r="AG10" s="37">
        <v>0.155</v>
      </c>
      <c r="AH10" s="33">
        <f t="shared" si="7"/>
        <v>171478.98</v>
      </c>
      <c r="AI10" s="46">
        <f t="shared" si="8"/>
        <v>4.1285869356159033</v>
      </c>
      <c r="AJ10" s="46">
        <f t="shared" si="9"/>
        <v>825717.38712318067</v>
      </c>
      <c r="AK10" s="46">
        <f t="shared" si="10"/>
        <v>5327208.949181811</v>
      </c>
      <c r="AL10" s="46">
        <f t="shared" si="2"/>
        <v>267282.54940084589</v>
      </c>
      <c r="AM10" s="46">
        <f t="shared" si="11"/>
        <v>22273.545783403824</v>
      </c>
      <c r="AN10" s="48">
        <v>124143</v>
      </c>
      <c r="AP10" s="74">
        <f>საპენსიო!D14</f>
        <v>77.405156537753228</v>
      </c>
      <c r="AQ10" s="74">
        <f>შშმპ!D14</f>
        <v>82.042857142857144</v>
      </c>
      <c r="AR10" s="9">
        <f t="shared" si="12"/>
        <v>79.724006840305179</v>
      </c>
      <c r="AS10" s="9">
        <f t="shared" si="13"/>
        <v>19.931001710076295</v>
      </c>
      <c r="AT10" s="9">
        <f t="shared" si="14"/>
        <v>239.17202052091554</v>
      </c>
      <c r="AU10" s="76">
        <f t="shared" si="3"/>
        <v>1557.1595673643237</v>
      </c>
      <c r="AV10" s="76">
        <f t="shared" si="15"/>
        <v>6228.6382694572949</v>
      </c>
    </row>
    <row r="11" spans="1:48" ht="40.5" customHeight="1">
      <c r="A11" s="16">
        <v>9</v>
      </c>
      <c r="B11" s="16" t="s">
        <v>64</v>
      </c>
      <c r="C11" s="16" t="s">
        <v>65</v>
      </c>
      <c r="D11" s="20" t="s">
        <v>66</v>
      </c>
      <c r="E11" s="78">
        <f t="shared" si="0"/>
        <v>15407.6</v>
      </c>
      <c r="F11" s="78">
        <f t="shared" si="1"/>
        <v>17747.875</v>
      </c>
      <c r="G11" s="78">
        <f t="shared" si="4"/>
        <v>32779.25</v>
      </c>
      <c r="H11" s="78">
        <f t="shared" si="5"/>
        <v>34241.25</v>
      </c>
      <c r="I11" s="6">
        <v>39979</v>
      </c>
      <c r="J11" s="6">
        <f>2529+14404+837+2536</f>
        <v>20306</v>
      </c>
      <c r="K11" s="6">
        <f>1774+7298+1212+1147</f>
        <v>11431</v>
      </c>
      <c r="L11" s="6">
        <f>2120+11319+1962+1944</f>
        <v>17345</v>
      </c>
      <c r="M11" s="6">
        <v>15502</v>
      </c>
      <c r="N11" s="6">
        <f>1800+7254+2436+964</f>
        <v>12454</v>
      </c>
      <c r="O11" s="6">
        <v>17248</v>
      </c>
      <c r="P11" s="6">
        <v>20487</v>
      </c>
      <c r="Q11" s="6">
        <v>14079</v>
      </c>
      <c r="R11" s="6">
        <v>18864</v>
      </c>
      <c r="S11" s="6">
        <v>19832</v>
      </c>
      <c r="T11" s="6">
        <v>13412</v>
      </c>
      <c r="U11" s="6">
        <v>19005</v>
      </c>
      <c r="V11" s="6">
        <v>19056</v>
      </c>
      <c r="W11" s="6">
        <v>32198</v>
      </c>
      <c r="X11" s="6">
        <v>38592</v>
      </c>
      <c r="Y11" s="6">
        <v>33194</v>
      </c>
      <c r="Z11" s="6">
        <v>27133</v>
      </c>
      <c r="AA11" s="6">
        <v>34869</v>
      </c>
      <c r="AB11" s="27">
        <v>37403</v>
      </c>
      <c r="AC11" s="27">
        <v>32044</v>
      </c>
      <c r="AD11" s="27">
        <v>32649</v>
      </c>
      <c r="AE11" s="33">
        <f t="shared" si="6"/>
        <v>527082</v>
      </c>
      <c r="AF11" s="33"/>
      <c r="AG11" s="37">
        <v>2.9399999999999999E-2</v>
      </c>
      <c r="AH11" s="33">
        <f t="shared" si="7"/>
        <v>15496.210799999999</v>
      </c>
      <c r="AI11" s="46">
        <f t="shared" si="8"/>
        <v>0.37309210411929239</v>
      </c>
      <c r="AJ11" s="46">
        <f t="shared" si="9"/>
        <v>74618.420823858469</v>
      </c>
      <c r="AK11" s="46">
        <f t="shared" si="10"/>
        <v>2538041.5246210364</v>
      </c>
      <c r="AL11" s="46">
        <f t="shared" si="2"/>
        <v>134337.65085347873</v>
      </c>
      <c r="AM11" s="46">
        <f t="shared" si="11"/>
        <v>11194.804237789895</v>
      </c>
      <c r="AN11" s="48">
        <v>121039</v>
      </c>
      <c r="AP11" s="74">
        <f>საპენსიო!D9</f>
        <v>70.788461538461533</v>
      </c>
      <c r="AQ11" s="74">
        <f>შშმპ!D17</f>
        <v>80.355555555555554</v>
      </c>
      <c r="AR11" s="9">
        <f t="shared" si="12"/>
        <v>75.572008547008551</v>
      </c>
      <c r="AS11" s="9">
        <f t="shared" si="13"/>
        <v>18.893002136752138</v>
      </c>
      <c r="AT11" s="9">
        <f t="shared" si="14"/>
        <v>226.71602564102565</v>
      </c>
      <c r="AU11" s="76">
        <f t="shared" si="3"/>
        <v>1601.6379917269146</v>
      </c>
      <c r="AV11" s="76">
        <f t="shared" si="15"/>
        <v>6406.5519669076584</v>
      </c>
    </row>
    <row r="12" spans="1:48" ht="37.5" customHeight="1">
      <c r="A12" s="16">
        <v>10</v>
      </c>
      <c r="B12" s="16" t="s">
        <v>67</v>
      </c>
      <c r="C12" s="16" t="s">
        <v>67</v>
      </c>
      <c r="D12" s="15" t="s">
        <v>68</v>
      </c>
      <c r="E12" s="78">
        <f t="shared" si="0"/>
        <v>8689.4</v>
      </c>
      <c r="F12" s="78">
        <f t="shared" si="1"/>
        <v>13555.5</v>
      </c>
      <c r="G12" s="78">
        <f t="shared" si="4"/>
        <v>24737.25</v>
      </c>
      <c r="H12" s="78">
        <f t="shared" si="5"/>
        <v>28414</v>
      </c>
      <c r="I12" s="6">
        <v>0</v>
      </c>
      <c r="J12" s="6">
        <v>0</v>
      </c>
      <c r="K12" s="6">
        <v>7868</v>
      </c>
      <c r="L12" s="6">
        <f>14375</f>
        <v>14375</v>
      </c>
      <c r="M12" s="6">
        <v>11156</v>
      </c>
      <c r="N12" s="6">
        <f>10048</f>
        <v>10048</v>
      </c>
      <c r="O12" s="6">
        <v>12392</v>
      </c>
      <c r="P12" s="6">
        <v>14103</v>
      </c>
      <c r="Q12" s="6">
        <v>13297</v>
      </c>
      <c r="R12" s="6">
        <v>12604</v>
      </c>
      <c r="S12" s="6">
        <v>14359</v>
      </c>
      <c r="T12" s="6">
        <v>12716</v>
      </c>
      <c r="U12" s="6">
        <v>14051</v>
      </c>
      <c r="V12" s="6">
        <v>14922</v>
      </c>
      <c r="W12" s="6">
        <v>22164</v>
      </c>
      <c r="X12" s="6">
        <v>27374</v>
      </c>
      <c r="Y12" s="6">
        <v>25245</v>
      </c>
      <c r="Z12" s="6">
        <v>24166</v>
      </c>
      <c r="AA12" s="6">
        <v>27361</v>
      </c>
      <c r="AB12" s="27">
        <v>28311</v>
      </c>
      <c r="AC12" s="27">
        <v>29744</v>
      </c>
      <c r="AD12" s="27">
        <v>28240</v>
      </c>
      <c r="AE12" s="33">
        <f t="shared" si="6"/>
        <v>364496</v>
      </c>
      <c r="AF12" s="33"/>
      <c r="AG12" s="36">
        <v>6.1499999999999999E-2</v>
      </c>
      <c r="AH12" s="33">
        <f t="shared" si="7"/>
        <v>22416.504000000001</v>
      </c>
      <c r="AI12" s="46">
        <f t="shared" si="8"/>
        <v>0.5397074647667115</v>
      </c>
      <c r="AJ12" s="46">
        <f t="shared" si="9"/>
        <v>107941.4929533423</v>
      </c>
      <c r="AK12" s="46">
        <f t="shared" si="10"/>
        <v>1755146.2268836147</v>
      </c>
      <c r="AL12" s="46">
        <f t="shared" si="2"/>
        <v>177680.03416618693</v>
      </c>
      <c r="AM12" s="46">
        <f t="shared" si="11"/>
        <v>14806.669513848912</v>
      </c>
      <c r="AN12" s="48">
        <v>845871</v>
      </c>
      <c r="AP12" s="74">
        <f>საპენსიო!D16</f>
        <v>39.715504978662871</v>
      </c>
      <c r="AQ12" s="74">
        <f>შშმპ!D13</f>
        <v>39.30952380952381</v>
      </c>
      <c r="AR12" s="9">
        <f t="shared" si="12"/>
        <v>39.512514394093344</v>
      </c>
      <c r="AS12" s="9">
        <f t="shared" si="13"/>
        <v>9.878128598523336</v>
      </c>
      <c r="AT12" s="9">
        <f t="shared" si="14"/>
        <v>118.53754318228003</v>
      </c>
      <c r="AU12" s="76">
        <f t="shared" si="3"/>
        <v>21407.673314924443</v>
      </c>
      <c r="AV12" s="76">
        <f t="shared" si="15"/>
        <v>85630.693259697771</v>
      </c>
    </row>
    <row r="13" spans="1:48" ht="51" customHeight="1">
      <c r="A13" s="16">
        <v>11</v>
      </c>
      <c r="B13" s="16" t="s">
        <v>69</v>
      </c>
      <c r="C13" s="16" t="s">
        <v>70</v>
      </c>
      <c r="D13" s="15" t="s">
        <v>71</v>
      </c>
      <c r="E13" s="78">
        <f t="shared" si="0"/>
        <v>44384.4</v>
      </c>
      <c r="F13" s="78">
        <f t="shared" si="1"/>
        <v>58376</v>
      </c>
      <c r="G13" s="78">
        <f t="shared" si="4"/>
        <v>107546.25</v>
      </c>
      <c r="H13" s="78">
        <f t="shared" si="5"/>
        <v>119633.25</v>
      </c>
      <c r="I13" s="6">
        <v>116872</v>
      </c>
      <c r="J13" s="6">
        <v>54518</v>
      </c>
      <c r="K13" s="6">
        <f>368+9138+18725</f>
        <v>28231</v>
      </c>
      <c r="L13" s="6">
        <f>504+13261+39087</f>
        <v>52852</v>
      </c>
      <c r="M13" s="6">
        <v>49931</v>
      </c>
      <c r="N13" s="6">
        <f>10476+25914</f>
        <v>36390</v>
      </c>
      <c r="O13" s="6">
        <v>53175</v>
      </c>
      <c r="P13" s="6">
        <v>16046</v>
      </c>
      <c r="Q13" s="6">
        <v>97151</v>
      </c>
      <c r="R13" s="6">
        <v>57469</v>
      </c>
      <c r="S13" s="6">
        <v>66296</v>
      </c>
      <c r="T13" s="6">
        <v>51563</v>
      </c>
      <c r="U13" s="6">
        <v>64649</v>
      </c>
      <c r="V13" s="6">
        <v>60659</v>
      </c>
      <c r="W13" s="6">
        <v>97657</v>
      </c>
      <c r="X13" s="6">
        <v>118246</v>
      </c>
      <c r="Y13" s="6">
        <v>107252</v>
      </c>
      <c r="Z13" s="6">
        <v>107030</v>
      </c>
      <c r="AA13" s="6">
        <v>117604</v>
      </c>
      <c r="AB13" s="27">
        <v>114148</v>
      </c>
      <c r="AC13" s="27">
        <v>124387</v>
      </c>
      <c r="AD13" s="27">
        <v>122394</v>
      </c>
      <c r="AE13" s="33">
        <f t="shared" si="6"/>
        <v>1714520</v>
      </c>
      <c r="AF13" s="33"/>
      <c r="AG13" s="36">
        <v>0.1205</v>
      </c>
      <c r="AH13" s="33">
        <f t="shared" si="7"/>
        <v>206599.66</v>
      </c>
      <c r="AI13" s="46">
        <f t="shared" si="8"/>
        <v>4.9741645138003934</v>
      </c>
      <c r="AJ13" s="46">
        <f t="shared" si="9"/>
        <v>994832.90276007866</v>
      </c>
      <c r="AK13" s="46">
        <f t="shared" si="10"/>
        <v>8255874.7117018979</v>
      </c>
      <c r="AL13" s="46">
        <f t="shared" si="2"/>
        <v>335127.09448478837</v>
      </c>
      <c r="AM13" s="46">
        <f t="shared" si="11"/>
        <v>27927.257873732367</v>
      </c>
      <c r="AN13" s="48">
        <v>759525</v>
      </c>
      <c r="AP13" s="74">
        <f>საპენსიო!D10</f>
        <v>93.378066378066379</v>
      </c>
      <c r="AQ13" s="74">
        <f>შშმპ!D12</f>
        <v>103.70238095238095</v>
      </c>
      <c r="AR13" s="9">
        <f t="shared" si="12"/>
        <v>98.540223665223664</v>
      </c>
      <c r="AS13" s="9">
        <f t="shared" si="13"/>
        <v>24.635055916305916</v>
      </c>
      <c r="AT13" s="9">
        <f t="shared" si="14"/>
        <v>295.62067099567099</v>
      </c>
      <c r="AU13" s="76">
        <f t="shared" si="3"/>
        <v>7707.7661461412727</v>
      </c>
      <c r="AV13" s="76">
        <f t="shared" si="15"/>
        <v>30831.064584565091</v>
      </c>
    </row>
    <row r="14" spans="1:48" ht="46.5" customHeight="1">
      <c r="A14" s="16">
        <v>12</v>
      </c>
      <c r="B14" s="16" t="s">
        <v>72</v>
      </c>
      <c r="C14" s="16" t="s">
        <v>73</v>
      </c>
      <c r="D14" s="20" t="s">
        <v>74</v>
      </c>
      <c r="E14" s="78">
        <f t="shared" si="0"/>
        <v>48634.2</v>
      </c>
      <c r="F14" s="78">
        <f t="shared" si="1"/>
        <v>66894.25</v>
      </c>
      <c r="G14" s="78">
        <f t="shared" si="4"/>
        <v>100176.75</v>
      </c>
      <c r="H14" s="78">
        <f t="shared" si="5"/>
        <v>128898.75</v>
      </c>
      <c r="I14" s="6">
        <v>70352</v>
      </c>
      <c r="J14" s="6">
        <f>57648</f>
        <v>57648</v>
      </c>
      <c r="K14" s="6">
        <f>32988</f>
        <v>32988</v>
      </c>
      <c r="L14" s="6">
        <f>52491</f>
        <v>52491</v>
      </c>
      <c r="M14" s="6">
        <v>57398</v>
      </c>
      <c r="N14" s="6">
        <f>42646</f>
        <v>42646</v>
      </c>
      <c r="O14" s="6">
        <v>55777</v>
      </c>
      <c r="P14" s="6">
        <v>67473</v>
      </c>
      <c r="Q14" s="6">
        <v>63449</v>
      </c>
      <c r="R14" s="6">
        <v>61564</v>
      </c>
      <c r="S14" s="6">
        <v>82603</v>
      </c>
      <c r="T14" s="6">
        <v>62189</v>
      </c>
      <c r="U14" s="6">
        <v>68137</v>
      </c>
      <c r="V14" s="6">
        <v>73962</v>
      </c>
      <c r="W14" s="6">
        <v>131382</v>
      </c>
      <c r="X14" s="6">
        <v>164451</v>
      </c>
      <c r="Y14" s="6">
        <v>89377</v>
      </c>
      <c r="Z14" s="6">
        <v>15497</v>
      </c>
      <c r="AA14" s="6">
        <v>88710</v>
      </c>
      <c r="AB14" s="27">
        <v>128733</v>
      </c>
      <c r="AC14" s="27">
        <v>149378</v>
      </c>
      <c r="AD14" s="27">
        <v>148774</v>
      </c>
      <c r="AE14" s="33">
        <f t="shared" si="6"/>
        <v>1764979</v>
      </c>
      <c r="AF14" s="33"/>
      <c r="AG14" s="39">
        <v>0.09</v>
      </c>
      <c r="AH14" s="33">
        <f t="shared" si="7"/>
        <v>158848.10999999999</v>
      </c>
      <c r="AI14" s="46">
        <f t="shared" si="8"/>
        <v>3.8244817626818044</v>
      </c>
      <c r="AJ14" s="46">
        <f t="shared" si="9"/>
        <v>764896.35253636097</v>
      </c>
      <c r="AK14" s="46">
        <f t="shared" si="10"/>
        <v>8498848.3615151215</v>
      </c>
      <c r="AL14" s="46">
        <f t="shared" si="2"/>
        <v>467190.50322795869</v>
      </c>
      <c r="AM14" s="46">
        <f t="shared" si="11"/>
        <v>38932.541935663226</v>
      </c>
      <c r="AN14" s="48">
        <v>156923</v>
      </c>
      <c r="AP14" s="74">
        <f>საპენსიო!D12</f>
        <v>70.693345742205679</v>
      </c>
      <c r="AQ14" s="74">
        <f>შშმპ!D7</f>
        <v>74.837837837837839</v>
      </c>
      <c r="AR14" s="9">
        <f t="shared" si="12"/>
        <v>72.765591790021759</v>
      </c>
      <c r="AS14" s="9">
        <f t="shared" si="13"/>
        <v>18.19139794750544</v>
      </c>
      <c r="AT14" s="9">
        <f t="shared" si="14"/>
        <v>218.29677537006529</v>
      </c>
      <c r="AU14" s="76">
        <f t="shared" si="3"/>
        <v>2156.5549889682698</v>
      </c>
      <c r="AV14" s="76">
        <f t="shared" si="15"/>
        <v>8626.219955873079</v>
      </c>
    </row>
    <row r="15" spans="1:48" ht="46.5" customHeight="1">
      <c r="A15" s="16">
        <v>13</v>
      </c>
      <c r="B15" s="16" t="s">
        <v>75</v>
      </c>
      <c r="C15" s="16" t="s">
        <v>75</v>
      </c>
      <c r="D15" s="20" t="s">
        <v>76</v>
      </c>
      <c r="E15" s="78"/>
      <c r="F15" s="78"/>
      <c r="G15" s="78">
        <f t="shared" si="4"/>
        <v>99656.5</v>
      </c>
      <c r="H15" s="78">
        <f t="shared" si="5"/>
        <v>67065.75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>
        <v>0</v>
      </c>
      <c r="Z15" s="6">
        <v>199313</v>
      </c>
      <c r="AA15" s="6">
        <v>138489</v>
      </c>
      <c r="AB15" s="27">
        <v>43957</v>
      </c>
      <c r="AC15" s="27">
        <v>53947</v>
      </c>
      <c r="AD15" s="27">
        <v>31870</v>
      </c>
      <c r="AE15" s="33">
        <f t="shared" si="6"/>
        <v>467576</v>
      </c>
      <c r="AF15" s="33"/>
      <c r="AG15" s="39">
        <v>0.105</v>
      </c>
      <c r="AH15" s="33">
        <f t="shared" si="7"/>
        <v>49095.479999999996</v>
      </c>
      <c r="AI15" s="46">
        <f t="shared" si="8"/>
        <v>1.1820396723014788</v>
      </c>
      <c r="AJ15" s="46">
        <f t="shared" si="9"/>
        <v>236407.93446029574</v>
      </c>
      <c r="AK15" s="46">
        <f t="shared" si="10"/>
        <v>2251504.1377171022</v>
      </c>
      <c r="AL15" s="46">
        <f t="shared" si="2"/>
        <v>91686.631625454684</v>
      </c>
      <c r="AM15" s="46">
        <f t="shared" si="11"/>
        <v>7640.5526354545582</v>
      </c>
      <c r="AN15" s="48">
        <v>1735389</v>
      </c>
      <c r="AP15" s="74">
        <f>საპენსიო!D11</f>
        <v>97.300604229607245</v>
      </c>
      <c r="AQ15" s="74">
        <f>შშმპ!D6</f>
        <v>99.151515151515156</v>
      </c>
      <c r="AR15" s="9">
        <f t="shared" si="12"/>
        <v>98.2260596905612</v>
      </c>
      <c r="AS15" s="9">
        <f t="shared" si="13"/>
        <v>24.5565149226403</v>
      </c>
      <c r="AT15" s="9">
        <f t="shared" si="14"/>
        <v>294.67817907168359</v>
      </c>
      <c r="AU15" s="76">
        <f t="shared" si="3"/>
        <v>17667.297308544668</v>
      </c>
      <c r="AV15" s="76">
        <f t="shared" si="15"/>
        <v>70669.189234178673</v>
      </c>
    </row>
    <row r="16" spans="1:48" ht="46.5" customHeight="1">
      <c r="A16" s="16">
        <v>14</v>
      </c>
      <c r="B16" s="16" t="s">
        <v>77</v>
      </c>
      <c r="C16" s="16" t="s">
        <v>78</v>
      </c>
      <c r="D16" s="20" t="s">
        <v>79</v>
      </c>
      <c r="E16" s="78"/>
      <c r="F16" s="78"/>
      <c r="G16" s="78">
        <f t="shared" si="4"/>
        <v>5203.5</v>
      </c>
      <c r="H16" s="78">
        <f t="shared" si="5"/>
        <v>13615.75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>
        <v>0</v>
      </c>
      <c r="Z16" s="6">
        <v>10407</v>
      </c>
      <c r="AA16" s="6">
        <v>11936</v>
      </c>
      <c r="AB16" s="27">
        <v>13690</v>
      </c>
      <c r="AC16" s="27">
        <v>14570</v>
      </c>
      <c r="AD16" s="27">
        <v>14267</v>
      </c>
      <c r="AE16" s="33">
        <f t="shared" si="6"/>
        <v>64870</v>
      </c>
      <c r="AF16" s="33"/>
      <c r="AG16" s="40">
        <v>0.23400000000000001</v>
      </c>
      <c r="AH16" s="33">
        <f t="shared" si="7"/>
        <v>15179.580000000002</v>
      </c>
      <c r="AI16" s="46">
        <f t="shared" si="8"/>
        <v>0.36546879201250471</v>
      </c>
      <c r="AJ16" s="46">
        <f t="shared" si="9"/>
        <v>73093.758402500942</v>
      </c>
      <c r="AK16" s="46">
        <f t="shared" si="10"/>
        <v>312366.48889957665</v>
      </c>
      <c r="AL16" s="46">
        <f t="shared" si="2"/>
        <v>35627.122790332658</v>
      </c>
      <c r="AM16" s="46">
        <f t="shared" si="11"/>
        <v>2968.9268991943882</v>
      </c>
      <c r="AN16" s="48">
        <v>408402</v>
      </c>
      <c r="AP16" s="74">
        <f>საპენსიო!D13</f>
        <v>37.95945945945946</v>
      </c>
      <c r="AQ16" s="74">
        <f>შშმპ!D8</f>
        <v>32.18181818181818</v>
      </c>
      <c r="AR16" s="9">
        <f t="shared" si="12"/>
        <v>35.07063882063882</v>
      </c>
      <c r="AS16" s="9">
        <f t="shared" si="13"/>
        <v>8.7676597051597049</v>
      </c>
      <c r="AT16" s="9">
        <f t="shared" si="14"/>
        <v>105.21191646191646</v>
      </c>
      <c r="AU16" s="76">
        <f t="shared" si="3"/>
        <v>11645.12577283475</v>
      </c>
      <c r="AV16" s="76">
        <f t="shared" si="15"/>
        <v>46580.503091339</v>
      </c>
    </row>
    <row r="17" spans="1:48" ht="46.5" customHeight="1">
      <c r="A17" s="16">
        <v>15</v>
      </c>
      <c r="B17" s="21" t="s">
        <v>80</v>
      </c>
      <c r="C17" s="16" t="s">
        <v>81</v>
      </c>
      <c r="D17" s="20" t="s">
        <v>68</v>
      </c>
      <c r="E17" s="78"/>
      <c r="F17" s="78"/>
      <c r="G17" s="78">
        <f t="shared" si="4"/>
        <v>0</v>
      </c>
      <c r="H17" s="78">
        <f t="shared" si="5"/>
        <v>22701.5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>
        <v>0</v>
      </c>
      <c r="AA17" s="6">
        <v>9963</v>
      </c>
      <c r="AB17" s="27">
        <v>21402</v>
      </c>
      <c r="AC17" s="27">
        <v>23577</v>
      </c>
      <c r="AD17" s="27">
        <v>35864</v>
      </c>
      <c r="AE17" s="33">
        <f t="shared" si="6"/>
        <v>90806</v>
      </c>
      <c r="AF17" s="33"/>
      <c r="AG17" s="39">
        <v>0.316</v>
      </c>
      <c r="AH17" s="33">
        <f t="shared" si="7"/>
        <v>28694.696</v>
      </c>
      <c r="AI17" s="46">
        <f t="shared" si="8"/>
        <v>0.6908633759488767</v>
      </c>
      <c r="AJ17" s="46">
        <f t="shared" si="9"/>
        <v>138172.67518977533</v>
      </c>
      <c r="AK17" s="46">
        <f t="shared" si="10"/>
        <v>437255.30123346625</v>
      </c>
      <c r="AL17" s="46">
        <f t="shared" si="2"/>
        <v>58300.706831128831</v>
      </c>
      <c r="AM17" s="46">
        <f t="shared" si="11"/>
        <v>4858.3922359274029</v>
      </c>
      <c r="AN17" s="48">
        <v>743338</v>
      </c>
      <c r="AP17" s="74"/>
      <c r="AQ17" s="74">
        <f>შშმპ!D28</f>
        <v>30</v>
      </c>
      <c r="AR17" s="9">
        <f t="shared" si="12"/>
        <v>30</v>
      </c>
      <c r="AS17" s="9">
        <f t="shared" si="13"/>
        <v>7.5</v>
      </c>
      <c r="AT17" s="9">
        <f t="shared" si="14"/>
        <v>90</v>
      </c>
      <c r="AU17" s="76">
        <f t="shared" si="3"/>
        <v>24777.933333333334</v>
      </c>
      <c r="AV17" s="76">
        <f t="shared" si="15"/>
        <v>99111.733333333337</v>
      </c>
    </row>
    <row r="18" spans="1:48" ht="46.5" customHeight="1">
      <c r="A18" s="16">
        <v>16</v>
      </c>
      <c r="B18" s="21" t="s">
        <v>82</v>
      </c>
      <c r="C18" s="16" t="s">
        <v>83</v>
      </c>
      <c r="D18" s="20" t="s">
        <v>68</v>
      </c>
      <c r="E18" s="78"/>
      <c r="F18" s="78"/>
      <c r="G18" s="78">
        <f t="shared" si="4"/>
        <v>92</v>
      </c>
      <c r="H18" s="78">
        <f t="shared" si="5"/>
        <v>41466.75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>
        <v>92</v>
      </c>
      <c r="AA18" s="6">
        <v>18621</v>
      </c>
      <c r="AB18" s="27">
        <v>37794</v>
      </c>
      <c r="AC18" s="27">
        <v>50309</v>
      </c>
      <c r="AD18" s="27">
        <v>59143</v>
      </c>
      <c r="AE18" s="33">
        <f t="shared" si="6"/>
        <v>165959</v>
      </c>
      <c r="AF18" s="33"/>
      <c r="AG18" s="39">
        <v>0.38</v>
      </c>
      <c r="AH18" s="33">
        <f t="shared" si="7"/>
        <v>63064.42</v>
      </c>
      <c r="AI18" s="46">
        <f t="shared" si="8"/>
        <v>1.5183606790417943</v>
      </c>
      <c r="AJ18" s="46">
        <f t="shared" si="9"/>
        <v>303672.13580835884</v>
      </c>
      <c r="AK18" s="46">
        <f t="shared" si="10"/>
        <v>799137.1994956811</v>
      </c>
      <c r="AN18" s="48">
        <v>851106</v>
      </c>
      <c r="AP18" s="74"/>
      <c r="AQ18" s="74"/>
      <c r="AR18" s="9"/>
      <c r="AS18" s="9">
        <f t="shared" si="13"/>
        <v>0</v>
      </c>
      <c r="AT18" s="9">
        <f t="shared" si="14"/>
        <v>0</v>
      </c>
      <c r="AU18" s="76"/>
    </row>
    <row r="19" spans="1:48" ht="46.5" customHeight="1">
      <c r="A19" s="16">
        <v>18</v>
      </c>
      <c r="B19" s="21" t="s">
        <v>84</v>
      </c>
      <c r="C19" s="16" t="s">
        <v>85</v>
      </c>
      <c r="D19" s="20" t="s">
        <v>86</v>
      </c>
      <c r="E19" s="78"/>
      <c r="F19" s="78"/>
      <c r="G19" s="78">
        <f t="shared" si="4"/>
        <v>14476</v>
      </c>
      <c r="H19" s="78">
        <f t="shared" si="5"/>
        <v>83265.75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>
        <v>14476</v>
      </c>
      <c r="AA19" s="6">
        <v>64466</v>
      </c>
      <c r="AB19" s="27">
        <v>102410</v>
      </c>
      <c r="AC19" s="27">
        <v>128627</v>
      </c>
      <c r="AD19" s="27">
        <v>37560</v>
      </c>
      <c r="AE19" s="33">
        <f t="shared" si="6"/>
        <v>347539</v>
      </c>
      <c r="AF19" s="33"/>
      <c r="AG19" s="36">
        <v>6.7500000000000004E-2</v>
      </c>
      <c r="AH19" s="33">
        <f t="shared" si="7"/>
        <v>23458.882500000003</v>
      </c>
      <c r="AI19" s="46">
        <f t="shared" si="8"/>
        <v>0.56480412825903525</v>
      </c>
      <c r="AJ19" s="46">
        <f t="shared" si="9"/>
        <v>112960.82565180706</v>
      </c>
      <c r="AK19" s="46">
        <f t="shared" si="10"/>
        <v>1673493.7133601045</v>
      </c>
      <c r="AN19" s="48">
        <v>1812679</v>
      </c>
      <c r="AP19" s="74"/>
      <c r="AQ19" s="74"/>
      <c r="AR19" s="9"/>
      <c r="AS19" s="9">
        <f t="shared" si="13"/>
        <v>0</v>
      </c>
      <c r="AT19" s="9">
        <f t="shared" si="14"/>
        <v>0</v>
      </c>
      <c r="AU19" s="76"/>
    </row>
    <row r="20" spans="1:48" ht="46.5" customHeight="1">
      <c r="A20" s="16">
        <v>19</v>
      </c>
      <c r="B20" s="21" t="s">
        <v>87</v>
      </c>
      <c r="C20" s="16" t="s">
        <v>88</v>
      </c>
      <c r="D20" s="20" t="s">
        <v>89</v>
      </c>
      <c r="E20" s="78"/>
      <c r="F20" s="78"/>
      <c r="G20" s="78">
        <f t="shared" si="4"/>
        <v>152</v>
      </c>
      <c r="H20" s="78">
        <f t="shared" si="5"/>
        <v>34770.75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>
        <v>152</v>
      </c>
      <c r="AA20" s="6">
        <v>19619</v>
      </c>
      <c r="AB20" s="27">
        <v>36603</v>
      </c>
      <c r="AC20" s="27">
        <v>40167</v>
      </c>
      <c r="AD20" s="27">
        <v>42694</v>
      </c>
      <c r="AE20" s="33">
        <f t="shared" si="6"/>
        <v>139235</v>
      </c>
      <c r="AF20" s="33"/>
      <c r="AG20" s="39">
        <v>0.06</v>
      </c>
      <c r="AH20" s="33">
        <f t="shared" si="7"/>
        <v>8354.1</v>
      </c>
      <c r="AI20" s="46">
        <f t="shared" si="8"/>
        <v>0.2011361865974991</v>
      </c>
      <c r="AJ20" s="46">
        <f t="shared" si="9"/>
        <v>40227.237319499822</v>
      </c>
      <c r="AK20" s="46">
        <f t="shared" si="10"/>
        <v>670453.95532499708</v>
      </c>
      <c r="AL20" s="46">
        <f t="shared" ref="AL20:AL31" si="16">AK20/AS20</f>
        <v>43964.193791803089</v>
      </c>
      <c r="AM20" s="46">
        <f t="shared" si="11"/>
        <v>3663.6828159835904</v>
      </c>
      <c r="AN20" s="48">
        <v>1501133</v>
      </c>
      <c r="AP20" s="74">
        <f>საპენსიო!D29</f>
        <v>61</v>
      </c>
      <c r="AQ20" s="74"/>
      <c r="AR20" s="9">
        <f t="shared" si="12"/>
        <v>61</v>
      </c>
      <c r="AS20" s="9">
        <f t="shared" si="13"/>
        <v>15.25</v>
      </c>
      <c r="AT20" s="9">
        <f t="shared" si="14"/>
        <v>183</v>
      </c>
      <c r="AU20" s="76">
        <f t="shared" ref="AU20:AU31" si="17">AN20/AR20</f>
        <v>24608.737704918032</v>
      </c>
    </row>
    <row r="21" spans="1:48" ht="46.5" customHeight="1">
      <c r="A21" s="16">
        <v>20</v>
      </c>
      <c r="B21" s="21" t="s">
        <v>90</v>
      </c>
      <c r="C21" s="21" t="s">
        <v>91</v>
      </c>
      <c r="D21" s="20" t="s">
        <v>86</v>
      </c>
      <c r="E21" s="78"/>
      <c r="F21" s="78"/>
      <c r="G21" s="78">
        <f t="shared" si="4"/>
        <v>5620</v>
      </c>
      <c r="H21" s="78">
        <f t="shared" si="5"/>
        <v>35194.75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>
        <v>5620</v>
      </c>
      <c r="AA21" s="6">
        <v>23666</v>
      </c>
      <c r="AB21" s="27">
        <v>35141</v>
      </c>
      <c r="AC21" s="27">
        <v>40081</v>
      </c>
      <c r="AD21" s="27">
        <v>41891</v>
      </c>
      <c r="AE21" s="33">
        <f t="shared" si="6"/>
        <v>146399</v>
      </c>
      <c r="AF21" s="33"/>
      <c r="AG21" s="40">
        <v>0.14899999999999999</v>
      </c>
      <c r="AH21" s="33">
        <f t="shared" si="7"/>
        <v>21813.450999999997</v>
      </c>
      <c r="AI21" s="46">
        <f t="shared" si="8"/>
        <v>0.525188153202787</v>
      </c>
      <c r="AJ21" s="46">
        <f t="shared" si="9"/>
        <v>105037.63064055741</v>
      </c>
      <c r="AK21" s="46">
        <f t="shared" si="10"/>
        <v>704950.54121179471</v>
      </c>
      <c r="AL21" s="46">
        <f t="shared" si="16"/>
        <v>60842.20438674411</v>
      </c>
      <c r="AM21" s="46">
        <f t="shared" si="11"/>
        <v>5070.1836988953419</v>
      </c>
      <c r="AN21" s="48">
        <v>1800628</v>
      </c>
      <c r="AP21" s="74">
        <f>საპენსიო!D35</f>
        <v>54.692307692307693</v>
      </c>
      <c r="AQ21" s="74">
        <f>შშმპ!D36</f>
        <v>38</v>
      </c>
      <c r="AR21" s="9">
        <f t="shared" si="12"/>
        <v>46.346153846153847</v>
      </c>
      <c r="AS21" s="9">
        <f t="shared" si="13"/>
        <v>11.586538461538462</v>
      </c>
      <c r="AT21" s="9">
        <f t="shared" si="14"/>
        <v>139.03846153846155</v>
      </c>
      <c r="AU21" s="76">
        <f t="shared" si="17"/>
        <v>38851.724481327801</v>
      </c>
    </row>
    <row r="22" spans="1:48" ht="46.5" customHeight="1">
      <c r="A22" s="16">
        <v>22</v>
      </c>
      <c r="B22" s="21" t="s">
        <v>92</v>
      </c>
      <c r="C22" s="16" t="s">
        <v>93</v>
      </c>
      <c r="D22" s="20" t="s">
        <v>94</v>
      </c>
      <c r="E22" s="78"/>
      <c r="F22" s="78"/>
      <c r="G22" s="78">
        <f t="shared" si="4"/>
        <v>16901</v>
      </c>
      <c r="H22" s="78">
        <f t="shared" si="5"/>
        <v>132485.75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>
        <v>16901</v>
      </c>
      <c r="AA22" s="6">
        <v>84884</v>
      </c>
      <c r="AB22" s="27">
        <v>131581</v>
      </c>
      <c r="AC22" s="27">
        <v>153370</v>
      </c>
      <c r="AD22" s="27">
        <v>160108</v>
      </c>
      <c r="AE22" s="33">
        <f t="shared" si="6"/>
        <v>546844</v>
      </c>
      <c r="AF22" s="33"/>
      <c r="AG22" s="39">
        <v>7.2099999999999997E-2</v>
      </c>
      <c r="AH22" s="33">
        <f t="shared" si="7"/>
        <v>39427.452400000002</v>
      </c>
      <c r="AI22" s="46">
        <f t="shared" si="8"/>
        <v>0.94926891262857926</v>
      </c>
      <c r="AJ22" s="46">
        <f t="shared" si="9"/>
        <v>189853.78252571585</v>
      </c>
      <c r="AK22" s="46">
        <f t="shared" si="10"/>
        <v>2633200.8672082643</v>
      </c>
      <c r="AL22" s="46">
        <f t="shared" si="16"/>
        <v>152883.9464895417</v>
      </c>
      <c r="AM22" s="46">
        <f t="shared" si="11"/>
        <v>12740.328874128476</v>
      </c>
      <c r="AN22" s="48">
        <v>20329792</v>
      </c>
      <c r="AP22" s="74">
        <f>საპენსიო!D31</f>
        <v>72.359649122807014</v>
      </c>
      <c r="AQ22" s="74">
        <f>შშმპ!D31</f>
        <v>65.428571428571431</v>
      </c>
      <c r="AR22" s="9">
        <f t="shared" si="12"/>
        <v>68.894110275689229</v>
      </c>
      <c r="AS22" s="9">
        <f t="shared" si="13"/>
        <v>17.223527568922307</v>
      </c>
      <c r="AT22" s="9">
        <f t="shared" si="14"/>
        <v>206.68233082706769</v>
      </c>
      <c r="AU22" s="76">
        <f t="shared" si="17"/>
        <v>295087.517911873</v>
      </c>
    </row>
    <row r="23" spans="1:48" ht="46.5" customHeight="1">
      <c r="A23" s="16">
        <v>23</v>
      </c>
      <c r="B23" s="21" t="s">
        <v>95</v>
      </c>
      <c r="C23" s="16" t="s">
        <v>96</v>
      </c>
      <c r="D23" s="20" t="s">
        <v>97</v>
      </c>
      <c r="E23" s="78"/>
      <c r="F23" s="78"/>
      <c r="G23" s="78">
        <f t="shared" si="4"/>
        <v>2114</v>
      </c>
      <c r="H23" s="78">
        <f t="shared" si="5"/>
        <v>21529.5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>
        <v>2114</v>
      </c>
      <c r="AA23" s="6">
        <v>15922</v>
      </c>
      <c r="AB23" s="27">
        <v>19185</v>
      </c>
      <c r="AC23" s="27">
        <v>23726</v>
      </c>
      <c r="AD23" s="27">
        <v>27285</v>
      </c>
      <c r="AE23" s="33">
        <f t="shared" si="6"/>
        <v>88232</v>
      </c>
      <c r="AF23" s="33"/>
      <c r="AG23" s="39">
        <v>0.08</v>
      </c>
      <c r="AH23" s="33">
        <f t="shared" si="7"/>
        <v>7058.56</v>
      </c>
      <c r="AI23" s="46">
        <f t="shared" si="8"/>
        <v>0.16994431970764576</v>
      </c>
      <c r="AJ23" s="46">
        <f t="shared" si="9"/>
        <v>33988.863941529155</v>
      </c>
      <c r="AK23" s="46">
        <f t="shared" si="10"/>
        <v>424860.79926911445</v>
      </c>
      <c r="AL23" s="46">
        <f t="shared" si="16"/>
        <v>28448.82884973806</v>
      </c>
      <c r="AM23" s="46">
        <f t="shared" si="11"/>
        <v>2370.7357374781714</v>
      </c>
      <c r="AN23" s="48">
        <v>4642341</v>
      </c>
      <c r="AP23" s="74">
        <f>საპენსიო!D30</f>
        <v>59.736842105263158</v>
      </c>
      <c r="AQ23" s="74"/>
      <c r="AR23" s="9">
        <f t="shared" si="12"/>
        <v>59.736842105263158</v>
      </c>
      <c r="AS23" s="9">
        <f t="shared" si="13"/>
        <v>14.934210526315789</v>
      </c>
      <c r="AT23" s="9">
        <f t="shared" si="14"/>
        <v>179.21052631578948</v>
      </c>
      <c r="AU23" s="76">
        <f t="shared" si="17"/>
        <v>77713.197356828197</v>
      </c>
    </row>
    <row r="24" spans="1:48" ht="33.75" customHeight="1">
      <c r="A24" s="16">
        <v>24</v>
      </c>
      <c r="B24" s="16" t="s">
        <v>98</v>
      </c>
      <c r="C24" s="16" t="s">
        <v>99</v>
      </c>
      <c r="D24" s="19" t="s">
        <v>100</v>
      </c>
      <c r="E24" s="78">
        <f t="shared" ref="E24:E31" si="18">AVERAGE(J24:N24)</f>
        <v>111386.8</v>
      </c>
      <c r="F24" s="78">
        <f t="shared" ref="F24:F31" si="19">AVERAGE(O24:V24)</f>
        <v>170083.625</v>
      </c>
      <c r="G24" s="78">
        <f t="shared" si="4"/>
        <v>340627</v>
      </c>
      <c r="H24" s="78">
        <f t="shared" si="5"/>
        <v>413211</v>
      </c>
      <c r="I24" s="6">
        <v>255662</v>
      </c>
      <c r="J24" s="6">
        <v>103969</v>
      </c>
      <c r="K24" s="6">
        <f>14393+31795+12615+6244+1102</f>
        <v>66149</v>
      </c>
      <c r="L24" s="6">
        <f>31487+100998+25728+1020</f>
        <v>159233</v>
      </c>
      <c r="M24" s="6">
        <v>129089</v>
      </c>
      <c r="N24" s="22">
        <f>6352+51394+39920+828</f>
        <v>98494</v>
      </c>
      <c r="O24" s="22">
        <v>168080</v>
      </c>
      <c r="P24" s="22">
        <v>168944</v>
      </c>
      <c r="Q24" s="22">
        <v>137425</v>
      </c>
      <c r="R24" s="22">
        <v>172936</v>
      </c>
      <c r="S24" s="22">
        <v>195246</v>
      </c>
      <c r="T24" s="22">
        <v>141714</v>
      </c>
      <c r="U24" s="22">
        <v>185410</v>
      </c>
      <c r="V24" s="22">
        <v>190914</v>
      </c>
      <c r="W24" s="22">
        <v>277656</v>
      </c>
      <c r="X24" s="22">
        <v>352098</v>
      </c>
      <c r="Y24" s="22">
        <v>363351</v>
      </c>
      <c r="Z24" s="22">
        <v>369403</v>
      </c>
      <c r="AA24" s="22">
        <v>398024</v>
      </c>
      <c r="AB24" s="29">
        <v>426880</v>
      </c>
      <c r="AC24" s="29">
        <v>422016</v>
      </c>
      <c r="AD24" s="29">
        <v>405924</v>
      </c>
      <c r="AE24" s="33">
        <f t="shared" si="6"/>
        <v>5188617</v>
      </c>
      <c r="AF24" s="33"/>
      <c r="AG24" s="40">
        <v>8.4500000000000006E-2</v>
      </c>
      <c r="AH24" s="33">
        <f t="shared" si="7"/>
        <v>438438.13650000002</v>
      </c>
      <c r="AI24" s="46">
        <f t="shared" si="8"/>
        <v>10.555987459394043</v>
      </c>
      <c r="AJ24" s="46">
        <f t="shared" si="9"/>
        <v>2111197.4918788085</v>
      </c>
      <c r="AK24" s="46">
        <f t="shared" si="10"/>
        <v>24984585.70270779</v>
      </c>
      <c r="AL24" s="46">
        <f t="shared" si="16"/>
        <v>690732.3753495625</v>
      </c>
      <c r="AM24" s="46">
        <f t="shared" si="11"/>
        <v>57561.031279130213</v>
      </c>
      <c r="AN24" s="48">
        <v>823420</v>
      </c>
      <c r="AP24" s="74">
        <f>საპენსიო!D18</f>
        <v>143.02982162764772</v>
      </c>
      <c r="AQ24" s="74">
        <f>შშმპ!D19</f>
        <v>146.33939393939394</v>
      </c>
      <c r="AR24" s="9">
        <f t="shared" si="12"/>
        <v>144.68460778352085</v>
      </c>
      <c r="AS24" s="9">
        <f t="shared" si="13"/>
        <v>36.171151945880212</v>
      </c>
      <c r="AT24" s="9">
        <f t="shared" si="14"/>
        <v>434.05382335056254</v>
      </c>
      <c r="AU24" s="76">
        <f t="shared" si="17"/>
        <v>5691.1375205302602</v>
      </c>
    </row>
    <row r="25" spans="1:48" ht="51.75" customHeight="1">
      <c r="A25" s="16">
        <v>25</v>
      </c>
      <c r="B25" s="16" t="s">
        <v>101</v>
      </c>
      <c r="C25" s="16" t="s">
        <v>102</v>
      </c>
      <c r="D25" s="20" t="s">
        <v>103</v>
      </c>
      <c r="E25" s="78">
        <f t="shared" si="18"/>
        <v>29537.8</v>
      </c>
      <c r="F25" s="78">
        <f t="shared" si="19"/>
        <v>59391.375</v>
      </c>
      <c r="G25" s="78">
        <f t="shared" si="4"/>
        <v>107459.75</v>
      </c>
      <c r="H25" s="78">
        <f t="shared" si="5"/>
        <v>148344.75</v>
      </c>
      <c r="I25" s="6">
        <v>22614</v>
      </c>
      <c r="J25" s="6">
        <f>3092+8803</f>
        <v>11895</v>
      </c>
      <c r="K25" s="6">
        <v>700</v>
      </c>
      <c r="L25" s="6">
        <f>562+329+28856</f>
        <v>29747</v>
      </c>
      <c r="M25" s="6">
        <v>79226</v>
      </c>
      <c r="N25" s="6">
        <f>26120+1</f>
        <v>26121</v>
      </c>
      <c r="O25" s="6">
        <v>51767</v>
      </c>
      <c r="P25" s="6">
        <v>64413</v>
      </c>
      <c r="Q25" s="6">
        <v>45245</v>
      </c>
      <c r="R25" s="6">
        <v>53493</v>
      </c>
      <c r="S25" s="6">
        <v>75130</v>
      </c>
      <c r="T25" s="6">
        <v>47604</v>
      </c>
      <c r="U25" s="6">
        <v>60976</v>
      </c>
      <c r="V25" s="6">
        <v>76503</v>
      </c>
      <c r="W25" s="6">
        <v>99668</v>
      </c>
      <c r="X25" s="6">
        <v>130154</v>
      </c>
      <c r="Y25" s="6">
        <v>97303</v>
      </c>
      <c r="Z25" s="6">
        <v>102714</v>
      </c>
      <c r="AA25" s="6">
        <v>167394</v>
      </c>
      <c r="AB25" s="27">
        <v>142531</v>
      </c>
      <c r="AC25" s="27">
        <v>138106</v>
      </c>
      <c r="AD25" s="27">
        <v>145348</v>
      </c>
      <c r="AE25" s="33">
        <f t="shared" si="6"/>
        <v>1668652</v>
      </c>
      <c r="AF25" s="33"/>
      <c r="AG25" s="41">
        <v>0.1119</v>
      </c>
      <c r="AH25" s="33">
        <f t="shared" si="7"/>
        <v>186722.1588</v>
      </c>
      <c r="AI25" s="46">
        <f t="shared" si="8"/>
        <v>4.4955869542242324</v>
      </c>
      <c r="AJ25" s="46">
        <f t="shared" si="9"/>
        <v>899117.39084484649</v>
      </c>
      <c r="AK25" s="46">
        <f t="shared" si="10"/>
        <v>8035007.9610799504</v>
      </c>
      <c r="AL25" s="46">
        <f t="shared" si="16"/>
        <v>380995.92534833838</v>
      </c>
      <c r="AM25" s="46">
        <f t="shared" si="11"/>
        <v>31749.660445694863</v>
      </c>
      <c r="AN25" s="48">
        <v>610238</v>
      </c>
      <c r="AP25" s="74">
        <f>საპენსიო!D20</f>
        <v>83.653382275825905</v>
      </c>
      <c r="AQ25" s="74">
        <f>შშმპ!D20</f>
        <v>85.0625</v>
      </c>
      <c r="AR25" s="9">
        <f t="shared" si="12"/>
        <v>84.357941137912945</v>
      </c>
      <c r="AS25" s="9">
        <f t="shared" si="13"/>
        <v>21.089485284478236</v>
      </c>
      <c r="AT25" s="9">
        <f t="shared" si="14"/>
        <v>253.07382341373884</v>
      </c>
      <c r="AU25" s="76">
        <f t="shared" si="17"/>
        <v>7233.9129164182632</v>
      </c>
    </row>
    <row r="26" spans="1:48">
      <c r="A26" s="16">
        <v>26</v>
      </c>
      <c r="B26" s="16" t="s">
        <v>104</v>
      </c>
      <c r="C26" s="16" t="s">
        <v>105</v>
      </c>
      <c r="D26" s="23" t="s">
        <v>106</v>
      </c>
      <c r="E26" s="78">
        <f t="shared" si="18"/>
        <v>32737.8</v>
      </c>
      <c r="F26" s="78">
        <f t="shared" si="19"/>
        <v>54173.125</v>
      </c>
      <c r="G26" s="78">
        <f t="shared" si="4"/>
        <v>105344.25</v>
      </c>
      <c r="H26" s="78">
        <f t="shared" si="5"/>
        <v>131738.25</v>
      </c>
      <c r="I26" s="6">
        <v>35404</v>
      </c>
      <c r="J26" s="6">
        <f>630+300</f>
        <v>930</v>
      </c>
      <c r="K26" s="6">
        <v>24</v>
      </c>
      <c r="L26" s="6">
        <f>2+18170+30+84119</f>
        <v>102321</v>
      </c>
      <c r="M26" s="6">
        <v>38566</v>
      </c>
      <c r="N26" s="6">
        <f>3538+30+18280</f>
        <v>21848</v>
      </c>
      <c r="O26" s="6">
        <v>72462</v>
      </c>
      <c r="P26" s="6">
        <v>48945</v>
      </c>
      <c r="Q26" s="6">
        <v>33097</v>
      </c>
      <c r="R26" s="6">
        <v>65867</v>
      </c>
      <c r="S26" s="6">
        <v>59457</v>
      </c>
      <c r="T26" s="6">
        <v>34447</v>
      </c>
      <c r="U26" s="6">
        <v>64628</v>
      </c>
      <c r="V26" s="6">
        <v>54482</v>
      </c>
      <c r="W26" s="6">
        <v>84344</v>
      </c>
      <c r="X26" s="6">
        <v>130224</v>
      </c>
      <c r="Y26" s="6">
        <v>103094</v>
      </c>
      <c r="Z26" s="6">
        <v>103715</v>
      </c>
      <c r="AA26" s="6">
        <v>136114</v>
      </c>
      <c r="AB26" s="27">
        <v>128423</v>
      </c>
      <c r="AC26" s="27">
        <v>130971</v>
      </c>
      <c r="AD26" s="27">
        <v>131445</v>
      </c>
      <c r="AE26" s="33">
        <f t="shared" si="6"/>
        <v>1580808</v>
      </c>
      <c r="AF26" s="33"/>
      <c r="AG26" s="42">
        <v>0.109</v>
      </c>
      <c r="AH26" s="33">
        <f t="shared" si="7"/>
        <v>172308.07199999999</v>
      </c>
      <c r="AI26" s="46">
        <f t="shared" si="8"/>
        <v>4.1485484399333625</v>
      </c>
      <c r="AJ26" s="46">
        <f t="shared" si="9"/>
        <v>829709.68798667251</v>
      </c>
      <c r="AK26" s="46">
        <f t="shared" si="10"/>
        <v>7612015.4861162612</v>
      </c>
      <c r="AL26" s="46">
        <f t="shared" si="16"/>
        <v>259106.61317650956</v>
      </c>
      <c r="AM26" s="46">
        <f t="shared" si="11"/>
        <v>21592.21776470913</v>
      </c>
      <c r="AN26" s="48">
        <v>304248</v>
      </c>
      <c r="AP26" s="74">
        <f>საპენსიო!D19</f>
        <v>119.85441176470589</v>
      </c>
      <c r="AQ26" s="74">
        <f>შშმპ!D18</f>
        <v>115.16901408450704</v>
      </c>
      <c r="AR26" s="9">
        <f t="shared" si="12"/>
        <v>117.51171292460646</v>
      </c>
      <c r="AS26" s="9">
        <f t="shared" si="13"/>
        <v>29.377928231151614</v>
      </c>
      <c r="AT26" s="9">
        <f t="shared" si="14"/>
        <v>352.53513877381937</v>
      </c>
      <c r="AU26" s="76">
        <f t="shared" si="17"/>
        <v>2589.0865891402709</v>
      </c>
    </row>
    <row r="27" spans="1:48">
      <c r="A27" s="16">
        <v>27</v>
      </c>
      <c r="B27" s="16" t="s">
        <v>107</v>
      </c>
      <c r="C27" s="16" t="s">
        <v>108</v>
      </c>
      <c r="D27" s="20" t="s">
        <v>109</v>
      </c>
      <c r="E27" s="78">
        <f t="shared" si="18"/>
        <v>3042.2</v>
      </c>
      <c r="F27" s="78">
        <f t="shared" si="19"/>
        <v>3862.625</v>
      </c>
      <c r="G27" s="78">
        <f t="shared" si="4"/>
        <v>8559.25</v>
      </c>
      <c r="H27" s="78">
        <f t="shared" si="5"/>
        <v>7996.333333333333</v>
      </c>
      <c r="I27" s="6">
        <v>2774</v>
      </c>
      <c r="J27" s="6">
        <v>3424</v>
      </c>
      <c r="K27" s="6">
        <v>2384</v>
      </c>
      <c r="L27" s="6">
        <f>2117</f>
        <v>2117</v>
      </c>
      <c r="M27" s="6">
        <v>4162</v>
      </c>
      <c r="N27" s="6">
        <f>2480+644</f>
        <v>3124</v>
      </c>
      <c r="O27" s="6">
        <v>2678</v>
      </c>
      <c r="P27" s="6">
        <v>2208</v>
      </c>
      <c r="Q27" s="6">
        <v>5712</v>
      </c>
      <c r="R27" s="6">
        <v>2577</v>
      </c>
      <c r="S27" s="6">
        <v>4044</v>
      </c>
      <c r="T27" s="6">
        <v>5261</v>
      </c>
      <c r="U27" s="6">
        <v>4810</v>
      </c>
      <c r="V27" s="6">
        <v>3611</v>
      </c>
      <c r="W27" s="6">
        <v>6970</v>
      </c>
      <c r="X27" s="6">
        <v>10729</v>
      </c>
      <c r="Y27" s="6">
        <v>7133</v>
      </c>
      <c r="Z27" s="6">
        <v>9405</v>
      </c>
      <c r="AA27" s="6">
        <v>6884</v>
      </c>
      <c r="AB27" s="27">
        <v>10015</v>
      </c>
      <c r="AC27" s="27">
        <v>7090</v>
      </c>
      <c r="AD27" s="27"/>
      <c r="AE27" s="33">
        <f t="shared" si="6"/>
        <v>107112</v>
      </c>
      <c r="AF27" s="33"/>
      <c r="AG27" s="36">
        <v>0.16520000000000001</v>
      </c>
      <c r="AH27" s="33">
        <f t="shared" si="7"/>
        <v>17694.902400000003</v>
      </c>
      <c r="AI27" s="46">
        <f t="shared" si="8"/>
        <v>0.42602855974323206</v>
      </c>
      <c r="AJ27" s="46">
        <f t="shared" si="9"/>
        <v>85205.711948646422</v>
      </c>
      <c r="AK27" s="46">
        <f t="shared" si="10"/>
        <v>515773.07474967564</v>
      </c>
      <c r="AL27" s="46">
        <f t="shared" si="16"/>
        <v>15842.754968978164</v>
      </c>
      <c r="AM27" s="46">
        <f t="shared" si="11"/>
        <v>1320.2295807481803</v>
      </c>
      <c r="AN27" s="48">
        <v>21710</v>
      </c>
      <c r="AP27" s="74">
        <f>საპენსიო!D27</f>
        <v>189.44615384615383</v>
      </c>
      <c r="AQ27" s="74">
        <f>შშმპ!D26</f>
        <v>71</v>
      </c>
      <c r="AR27" s="9">
        <f t="shared" si="12"/>
        <v>130.22307692307692</v>
      </c>
      <c r="AS27" s="9">
        <f t="shared" si="13"/>
        <v>32.555769230769229</v>
      </c>
      <c r="AT27" s="9">
        <f t="shared" si="14"/>
        <v>390.66923076923075</v>
      </c>
      <c r="AU27" s="76">
        <f t="shared" si="17"/>
        <v>166.71392285427373</v>
      </c>
    </row>
    <row r="28" spans="1:48" ht="27.75" customHeight="1">
      <c r="A28" s="16">
        <v>28</v>
      </c>
      <c r="B28" s="16" t="s">
        <v>110</v>
      </c>
      <c r="C28" s="16" t="s">
        <v>111</v>
      </c>
      <c r="D28" s="20" t="s">
        <v>112</v>
      </c>
      <c r="E28" s="78">
        <f t="shared" si="18"/>
        <v>28454.799999999999</v>
      </c>
      <c r="F28" s="78">
        <f t="shared" si="19"/>
        <v>36332.375</v>
      </c>
      <c r="G28" s="78">
        <f t="shared" si="4"/>
        <v>89779</v>
      </c>
      <c r="H28" s="78">
        <f t="shared" si="5"/>
        <v>101791.75</v>
      </c>
      <c r="I28" s="6">
        <v>0</v>
      </c>
      <c r="J28" s="6">
        <v>21555</v>
      </c>
      <c r="K28" s="6">
        <v>35764</v>
      </c>
      <c r="L28" s="6">
        <f>21573</f>
        <v>21573</v>
      </c>
      <c r="M28" s="6">
        <v>28139</v>
      </c>
      <c r="N28" s="6">
        <f>35243</f>
        <v>35243</v>
      </c>
      <c r="O28" s="6">
        <v>25652</v>
      </c>
      <c r="P28" s="6">
        <v>31840</v>
      </c>
      <c r="Q28" s="6">
        <v>43499</v>
      </c>
      <c r="R28" s="6">
        <v>34555</v>
      </c>
      <c r="S28" s="6">
        <v>39389</v>
      </c>
      <c r="T28" s="6">
        <v>38730</v>
      </c>
      <c r="U28" s="6">
        <v>38749</v>
      </c>
      <c r="V28" s="6">
        <v>38245</v>
      </c>
      <c r="W28" s="6">
        <v>74463</v>
      </c>
      <c r="X28" s="6">
        <v>85375</v>
      </c>
      <c r="Y28" s="6">
        <v>97444</v>
      </c>
      <c r="Z28" s="6">
        <v>101834</v>
      </c>
      <c r="AA28" s="6">
        <v>85627</v>
      </c>
      <c r="AB28" s="27">
        <v>103526</v>
      </c>
      <c r="AC28" s="27">
        <v>127741</v>
      </c>
      <c r="AD28" s="27">
        <v>90273</v>
      </c>
      <c r="AE28" s="33">
        <f t="shared" si="6"/>
        <v>1199216</v>
      </c>
      <c r="AF28" s="33"/>
      <c r="AG28" s="40">
        <v>4.4999999999999998E-2</v>
      </c>
      <c r="AH28" s="33">
        <f t="shared" si="7"/>
        <v>53964.72</v>
      </c>
      <c r="AI28" s="46">
        <f t="shared" si="8"/>
        <v>1.2992731702519471</v>
      </c>
      <c r="AJ28" s="46">
        <f t="shared" si="9"/>
        <v>259854.6340503894</v>
      </c>
      <c r="AK28" s="46">
        <f t="shared" si="10"/>
        <v>5774547.4233419867</v>
      </c>
      <c r="AL28" s="46">
        <f t="shared" si="16"/>
        <v>183394.43311081282</v>
      </c>
      <c r="AM28" s="46">
        <f t="shared" si="11"/>
        <v>15282.86942590107</v>
      </c>
      <c r="AN28" s="48">
        <v>46718</v>
      </c>
      <c r="AP28" s="74">
        <f>საპენსიო!D28</f>
        <v>118.71681415929204</v>
      </c>
      <c r="AQ28" s="74">
        <f>შშმპ!D27</f>
        <v>133.17948717948718</v>
      </c>
      <c r="AR28" s="9">
        <f t="shared" si="12"/>
        <v>125.94815066938961</v>
      </c>
      <c r="AS28" s="9">
        <f t="shared" si="13"/>
        <v>31.487037667347401</v>
      </c>
      <c r="AT28" s="9">
        <f t="shared" si="14"/>
        <v>377.84445200816879</v>
      </c>
      <c r="AU28" s="76">
        <f t="shared" si="17"/>
        <v>370.93041661749726</v>
      </c>
    </row>
    <row r="29" spans="1:48" ht="26.25" customHeight="1">
      <c r="A29" s="16">
        <v>29</v>
      </c>
      <c r="B29" s="16" t="s">
        <v>113</v>
      </c>
      <c r="C29" s="16" t="s">
        <v>114</v>
      </c>
      <c r="D29" s="20" t="s">
        <v>79</v>
      </c>
      <c r="E29" s="78">
        <f t="shared" si="18"/>
        <v>754.2</v>
      </c>
      <c r="F29" s="78">
        <f t="shared" si="19"/>
        <v>1018.25</v>
      </c>
      <c r="G29" s="78">
        <f t="shared" si="4"/>
        <v>1003.75</v>
      </c>
      <c r="H29" s="78">
        <f t="shared" si="5"/>
        <v>1529</v>
      </c>
      <c r="I29" s="6">
        <v>547</v>
      </c>
      <c r="J29" s="6">
        <v>464</v>
      </c>
      <c r="K29" s="6">
        <v>356</v>
      </c>
      <c r="L29" s="6">
        <v>1050</v>
      </c>
      <c r="M29" s="6">
        <v>1342</v>
      </c>
      <c r="N29" s="6">
        <f>559</f>
        <v>559</v>
      </c>
      <c r="O29" s="6">
        <v>776</v>
      </c>
      <c r="P29" s="6">
        <v>1012</v>
      </c>
      <c r="Q29" s="6">
        <v>664</v>
      </c>
      <c r="R29" s="6">
        <v>926</v>
      </c>
      <c r="S29" s="6">
        <v>1161</v>
      </c>
      <c r="T29" s="6">
        <v>918</v>
      </c>
      <c r="U29" s="6">
        <v>1668</v>
      </c>
      <c r="V29" s="6">
        <v>1021</v>
      </c>
      <c r="W29" s="6">
        <v>513</v>
      </c>
      <c r="X29" s="6">
        <v>1320</v>
      </c>
      <c r="Y29" s="6">
        <v>1348</v>
      </c>
      <c r="Z29" s="6">
        <v>834</v>
      </c>
      <c r="AA29" s="6">
        <f>1971+1640</f>
        <v>3611</v>
      </c>
      <c r="AB29" s="27">
        <v>1204</v>
      </c>
      <c r="AC29" s="27">
        <v>898</v>
      </c>
      <c r="AD29" s="27">
        <v>403</v>
      </c>
      <c r="AE29" s="33">
        <f t="shared" si="6"/>
        <v>22595</v>
      </c>
      <c r="AF29" s="33"/>
      <c r="AG29" s="50">
        <v>3.2294999999999998</v>
      </c>
      <c r="AH29" s="33">
        <f t="shared" si="7"/>
        <v>72970.552499999991</v>
      </c>
      <c r="AI29" s="46">
        <f t="shared" si="8"/>
        <v>1.7568641342290137</v>
      </c>
      <c r="AJ29" s="46">
        <f t="shared" si="9"/>
        <v>351372.82684580272</v>
      </c>
      <c r="AK29" s="46">
        <f t="shared" si="10"/>
        <v>108800.99917813987</v>
      </c>
      <c r="AL29" s="46">
        <f t="shared" si="16"/>
        <v>36571.764429626848</v>
      </c>
      <c r="AM29" s="46">
        <f t="shared" si="11"/>
        <v>3047.647035802237</v>
      </c>
      <c r="AN29" s="51">
        <v>2687</v>
      </c>
      <c r="AP29" s="74">
        <f>საპენსიო!D25</f>
        <v>14.3</v>
      </c>
      <c r="AQ29" s="74">
        <f>შშმპ!D25</f>
        <v>9.5</v>
      </c>
      <c r="AR29" s="9">
        <f t="shared" si="12"/>
        <v>11.9</v>
      </c>
      <c r="AS29" s="9">
        <f t="shared" si="13"/>
        <v>2.9750000000000001</v>
      </c>
      <c r="AT29" s="9">
        <f t="shared" si="14"/>
        <v>35.700000000000003</v>
      </c>
      <c r="AU29" s="76">
        <f t="shared" si="17"/>
        <v>225.79831932773109</v>
      </c>
    </row>
    <row r="30" spans="1:48" ht="39.75" customHeight="1">
      <c r="A30" s="16">
        <v>30</v>
      </c>
      <c r="B30" s="16" t="s">
        <v>115</v>
      </c>
      <c r="C30" s="16" t="s">
        <v>116</v>
      </c>
      <c r="D30" s="20" t="s">
        <v>117</v>
      </c>
      <c r="E30" s="78">
        <f t="shared" si="18"/>
        <v>105.2</v>
      </c>
      <c r="F30" s="78">
        <f t="shared" si="19"/>
        <v>119.375</v>
      </c>
      <c r="G30" s="78">
        <f t="shared" si="4"/>
        <v>107.5</v>
      </c>
      <c r="H30" s="78">
        <f t="shared" si="5"/>
        <v>1125</v>
      </c>
      <c r="I30" s="6">
        <v>290</v>
      </c>
      <c r="J30" s="6">
        <v>46</v>
      </c>
      <c r="K30" s="6">
        <v>110</v>
      </c>
      <c r="L30" s="6">
        <v>131</v>
      </c>
      <c r="M30" s="6">
        <v>165</v>
      </c>
      <c r="N30" s="6">
        <f>74</f>
        <v>74</v>
      </c>
      <c r="O30" s="6">
        <v>0</v>
      </c>
      <c r="P30" s="6">
        <v>55</v>
      </c>
      <c r="Q30" s="6">
        <v>100</v>
      </c>
      <c r="R30" s="6">
        <v>400</v>
      </c>
      <c r="S30" s="6">
        <v>80</v>
      </c>
      <c r="T30" s="6">
        <v>90</v>
      </c>
      <c r="U30" s="6">
        <v>184</v>
      </c>
      <c r="V30" s="6">
        <v>46</v>
      </c>
      <c r="W30" s="6">
        <v>40</v>
      </c>
      <c r="X30" s="6">
        <v>120</v>
      </c>
      <c r="Y30" s="6">
        <v>203</v>
      </c>
      <c r="Z30" s="6">
        <v>67</v>
      </c>
      <c r="AA30" s="6">
        <v>1125</v>
      </c>
      <c r="AB30" s="32"/>
      <c r="AC30" s="32"/>
      <c r="AD30" s="32"/>
      <c r="AE30" s="54">
        <f t="shared" si="6"/>
        <v>3326</v>
      </c>
      <c r="AF30" s="54"/>
      <c r="AG30" s="32"/>
      <c r="AH30" s="54">
        <f t="shared" si="7"/>
        <v>0</v>
      </c>
      <c r="AI30" s="46">
        <f t="shared" si="8"/>
        <v>0</v>
      </c>
      <c r="AJ30" s="46">
        <f t="shared" si="9"/>
        <v>0</v>
      </c>
      <c r="AL30" s="46">
        <f t="shared" si="16"/>
        <v>0</v>
      </c>
      <c r="AM30" s="46">
        <f t="shared" si="11"/>
        <v>0</v>
      </c>
      <c r="AN30" s="32"/>
      <c r="AP30" s="74">
        <f>საპენსიო!D21</f>
        <v>30</v>
      </c>
      <c r="AQ30" s="74"/>
      <c r="AR30" s="9">
        <f t="shared" si="12"/>
        <v>30</v>
      </c>
      <c r="AS30" s="9">
        <f t="shared" si="13"/>
        <v>7.5</v>
      </c>
      <c r="AT30" s="9">
        <f t="shared" si="14"/>
        <v>90</v>
      </c>
      <c r="AU30" s="76">
        <f t="shared" si="17"/>
        <v>0</v>
      </c>
    </row>
    <row r="31" spans="1:48" ht="60.75" customHeight="1">
      <c r="A31" s="16">
        <v>31</v>
      </c>
      <c r="B31" s="16" t="s">
        <v>118</v>
      </c>
      <c r="C31" s="16" t="s">
        <v>119</v>
      </c>
      <c r="D31" s="20" t="s">
        <v>120</v>
      </c>
      <c r="E31" s="78">
        <f t="shared" si="18"/>
        <v>952.6</v>
      </c>
      <c r="F31" s="78">
        <f t="shared" si="19"/>
        <v>1313.125</v>
      </c>
      <c r="G31" s="78">
        <f t="shared" si="4"/>
        <v>1168.5</v>
      </c>
      <c r="H31" s="78">
        <f t="shared" si="5"/>
        <v>1485.5</v>
      </c>
      <c r="I31" s="6">
        <v>2050</v>
      </c>
      <c r="J31" s="6">
        <f>40+3+752</f>
        <v>795</v>
      </c>
      <c r="K31" s="6">
        <v>579</v>
      </c>
      <c r="L31" s="6">
        <f>52+45+1091+191</f>
        <v>1379</v>
      </c>
      <c r="M31" s="6">
        <v>1075</v>
      </c>
      <c r="N31" s="6">
        <f>12+393+530</f>
        <v>935</v>
      </c>
      <c r="O31" s="6">
        <v>1306</v>
      </c>
      <c r="P31" s="6">
        <v>1200</v>
      </c>
      <c r="Q31" s="6">
        <v>1273</v>
      </c>
      <c r="R31" s="6">
        <v>684</v>
      </c>
      <c r="S31" s="6">
        <v>1911</v>
      </c>
      <c r="T31" s="6">
        <v>1457</v>
      </c>
      <c r="U31" s="6">
        <v>1090</v>
      </c>
      <c r="V31" s="6">
        <v>1584</v>
      </c>
      <c r="W31" s="6">
        <v>2118</v>
      </c>
      <c r="X31" s="6">
        <v>1484</v>
      </c>
      <c r="Y31" s="6">
        <v>916</v>
      </c>
      <c r="Z31" s="6">
        <v>156</v>
      </c>
      <c r="AA31" s="6">
        <v>2685</v>
      </c>
      <c r="AB31" s="27">
        <v>854</v>
      </c>
      <c r="AC31" s="27">
        <v>1062</v>
      </c>
      <c r="AD31" s="27">
        <v>1341</v>
      </c>
      <c r="AE31" s="33">
        <f t="shared" si="6"/>
        <v>27934</v>
      </c>
      <c r="AF31" s="33"/>
      <c r="AG31" s="52">
        <v>30.998999999999999</v>
      </c>
      <c r="AH31" s="33">
        <f t="shared" si="7"/>
        <v>865926.06599999999</v>
      </c>
      <c r="AI31" s="46">
        <f t="shared" si="8"/>
        <v>20.848333966628878</v>
      </c>
      <c r="AJ31" s="46">
        <f t="shared" si="9"/>
        <v>4169666.7933257758</v>
      </c>
      <c r="AK31" s="46">
        <f t="shared" si="10"/>
        <v>134509.71945307191</v>
      </c>
      <c r="AL31" s="46">
        <f t="shared" si="16"/>
        <v>291234.75565687951</v>
      </c>
      <c r="AM31" s="46">
        <f t="shared" si="11"/>
        <v>24269.562971406627</v>
      </c>
      <c r="AN31" s="48">
        <v>5045</v>
      </c>
      <c r="AP31" s="74">
        <f>საპენსიო!D22</f>
        <v>1.9014925373134328</v>
      </c>
      <c r="AQ31" s="74">
        <f>შშმპ!D22</f>
        <v>1.7933884297520661</v>
      </c>
      <c r="AR31" s="9">
        <f t="shared" si="12"/>
        <v>1.8474404835327496</v>
      </c>
      <c r="AS31" s="9">
        <f t="shared" si="13"/>
        <v>0.4618601208831874</v>
      </c>
      <c r="AT31" s="9">
        <f t="shared" si="14"/>
        <v>5.5423214505982488</v>
      </c>
      <c r="AU31" s="76">
        <f t="shared" si="17"/>
        <v>2730.8051571722349</v>
      </c>
    </row>
    <row r="32" spans="1:48" ht="60.75" customHeight="1">
      <c r="A32" s="16">
        <v>32</v>
      </c>
      <c r="B32" s="16" t="s">
        <v>121</v>
      </c>
      <c r="C32" s="16" t="s">
        <v>122</v>
      </c>
      <c r="D32" s="20" t="s">
        <v>68</v>
      </c>
      <c r="E32" s="78"/>
      <c r="F32" s="78"/>
      <c r="G32" s="78" t="e">
        <f t="shared" si="4"/>
        <v>#DIV/0!</v>
      </c>
      <c r="H32" s="78">
        <f t="shared" si="5"/>
        <v>642.5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>
        <v>168</v>
      </c>
      <c r="AB32" s="27">
        <v>1752</v>
      </c>
      <c r="AC32" s="27">
        <v>472</v>
      </c>
      <c r="AD32" s="27">
        <v>178</v>
      </c>
      <c r="AE32" s="33">
        <f t="shared" si="6"/>
        <v>2570</v>
      </c>
      <c r="AF32" s="33"/>
      <c r="AG32" s="40">
        <v>25.76</v>
      </c>
      <c r="AH32" s="33">
        <f t="shared" si="7"/>
        <v>66203.199999999997</v>
      </c>
      <c r="AI32" s="46">
        <f t="shared" si="8"/>
        <v>1.5939310265081279</v>
      </c>
      <c r="AJ32" s="46">
        <f t="shared" si="9"/>
        <v>318786.2053016256</v>
      </c>
      <c r="AK32" s="46">
        <f t="shared" si="10"/>
        <v>12375.240889038259</v>
      </c>
      <c r="AN32" s="53">
        <v>4750</v>
      </c>
      <c r="AP32" s="74"/>
      <c r="AQ32" s="74"/>
      <c r="AR32" s="9"/>
      <c r="AS32" s="9">
        <f t="shared" si="13"/>
        <v>0</v>
      </c>
      <c r="AT32" s="9">
        <f t="shared" si="14"/>
        <v>0</v>
      </c>
      <c r="AU32" s="76"/>
    </row>
    <row r="33" spans="1:47" ht="48.75" customHeight="1">
      <c r="A33" s="16">
        <v>33</v>
      </c>
      <c r="B33" s="14" t="s">
        <v>123</v>
      </c>
      <c r="C33" s="14" t="s">
        <v>124</v>
      </c>
      <c r="D33" s="20" t="s">
        <v>47</v>
      </c>
      <c r="E33" s="78">
        <f>AVERAGE(J33:N33)</f>
        <v>401.4</v>
      </c>
      <c r="F33" s="78">
        <f>AVERAGE(O33:V33)</f>
        <v>514.5</v>
      </c>
      <c r="G33" s="78">
        <f t="shared" si="4"/>
        <v>882.75</v>
      </c>
      <c r="H33" s="78">
        <f t="shared" si="5"/>
        <v>838.25</v>
      </c>
      <c r="I33" s="6">
        <v>647</v>
      </c>
      <c r="J33" s="6">
        <f>118+269</f>
        <v>387</v>
      </c>
      <c r="K33" s="6">
        <f>20+54+196</f>
        <v>270</v>
      </c>
      <c r="L33" s="6">
        <f>254+23+229</f>
        <v>506</v>
      </c>
      <c r="M33" s="6">
        <f>90+362</f>
        <v>452</v>
      </c>
      <c r="N33" s="6">
        <f>215+143+8+26</f>
        <v>392</v>
      </c>
      <c r="O33" s="6">
        <v>422</v>
      </c>
      <c r="P33" s="6">
        <v>557</v>
      </c>
      <c r="Q33" s="6">
        <v>504</v>
      </c>
      <c r="R33" s="6">
        <v>431</v>
      </c>
      <c r="S33" s="6">
        <v>653</v>
      </c>
      <c r="T33" s="6">
        <v>459</v>
      </c>
      <c r="U33" s="6">
        <v>534</v>
      </c>
      <c r="V33" s="6">
        <v>556</v>
      </c>
      <c r="W33" s="6">
        <v>849</v>
      </c>
      <c r="X33" s="6">
        <v>896</v>
      </c>
      <c r="Y33" s="6">
        <v>844</v>
      </c>
      <c r="Z33" s="6">
        <v>942</v>
      </c>
      <c r="AA33" s="6">
        <v>956</v>
      </c>
      <c r="AB33" s="27">
        <v>888</v>
      </c>
      <c r="AC33" s="27">
        <v>844</v>
      </c>
      <c r="AD33" s="27">
        <v>665</v>
      </c>
      <c r="AE33" s="33">
        <f t="shared" si="6"/>
        <v>13654</v>
      </c>
      <c r="AF33" s="33"/>
      <c r="AG33" s="43">
        <v>4.8</v>
      </c>
      <c r="AH33" s="33">
        <f t="shared" si="7"/>
        <v>65539.199999999997</v>
      </c>
      <c r="AI33" s="46">
        <f t="shared" si="8"/>
        <v>1.5779443339977752</v>
      </c>
      <c r="AJ33" s="46">
        <f t="shared" si="9"/>
        <v>315588.86679955502</v>
      </c>
      <c r="AK33" s="46">
        <f>AJ33/AG33</f>
        <v>65747.680583240639</v>
      </c>
      <c r="AL33" s="46">
        <f t="shared" ref="AL33:AL41" si="20">AK33/AS33</f>
        <v>131494.49337641359</v>
      </c>
      <c r="AM33" s="46">
        <f t="shared" si="11"/>
        <v>10957.874448034465</v>
      </c>
      <c r="AN33" s="48">
        <v>2015</v>
      </c>
      <c r="AP33" s="74">
        <f>საპენსიო!D23</f>
        <v>1.9255583126550868</v>
      </c>
      <c r="AQ33" s="74">
        <f>შშმპ!D23</f>
        <v>2.0744680851063828</v>
      </c>
      <c r="AR33" s="9">
        <f t="shared" si="12"/>
        <v>2.000013198880735</v>
      </c>
      <c r="AS33" s="9">
        <f t="shared" si="13"/>
        <v>0.50000329972018376</v>
      </c>
      <c r="AT33" s="9">
        <f t="shared" si="14"/>
        <v>6.0000395966422051</v>
      </c>
      <c r="AU33" s="76">
        <f t="shared" ref="AU33:AU41" si="21">AN33/AR33</f>
        <v>1007.4933511077087</v>
      </c>
    </row>
    <row r="34" spans="1:47" ht="85.5" customHeight="1">
      <c r="A34" s="16">
        <v>34</v>
      </c>
      <c r="B34" s="16" t="s">
        <v>125</v>
      </c>
      <c r="C34" s="16" t="s">
        <v>126</v>
      </c>
      <c r="D34" s="20" t="s">
        <v>106</v>
      </c>
      <c r="E34" s="78">
        <f>AVERAGE(J34:N34)</f>
        <v>53.2</v>
      </c>
      <c r="F34" s="78">
        <f>AVERAGE(O34:V34)</f>
        <v>113.75</v>
      </c>
      <c r="G34" s="78">
        <f t="shared" si="4"/>
        <v>252.5</v>
      </c>
      <c r="H34" s="78">
        <f t="shared" si="5"/>
        <v>310.5</v>
      </c>
      <c r="I34" s="6">
        <v>0</v>
      </c>
      <c r="J34" s="6">
        <v>10</v>
      </c>
      <c r="K34" s="6">
        <v>41</v>
      </c>
      <c r="L34" s="6">
        <v>62</v>
      </c>
      <c r="M34" s="6">
        <v>65</v>
      </c>
      <c r="N34" s="6">
        <v>88</v>
      </c>
      <c r="O34" s="6">
        <v>84</v>
      </c>
      <c r="P34" s="6">
        <v>83</v>
      </c>
      <c r="Q34" s="6">
        <v>104</v>
      </c>
      <c r="R34" s="6">
        <v>114</v>
      </c>
      <c r="S34" s="6">
        <v>141</v>
      </c>
      <c r="T34" s="6">
        <v>142</v>
      </c>
      <c r="U34" s="6">
        <v>104</v>
      </c>
      <c r="V34" s="6">
        <v>138</v>
      </c>
      <c r="W34" s="6">
        <v>190</v>
      </c>
      <c r="X34" s="6">
        <v>242</v>
      </c>
      <c r="Y34" s="6">
        <v>258</v>
      </c>
      <c r="Z34" s="6">
        <v>320</v>
      </c>
      <c r="AA34" s="6">
        <v>340</v>
      </c>
      <c r="AB34" s="27">
        <v>282</v>
      </c>
      <c r="AC34" s="27">
        <v>338</v>
      </c>
      <c r="AD34" s="27">
        <v>282</v>
      </c>
      <c r="AE34" s="33">
        <f t="shared" si="6"/>
        <v>3428</v>
      </c>
      <c r="AF34" s="33"/>
      <c r="AG34" s="40">
        <v>79.558000000000007</v>
      </c>
      <c r="AH34" s="33">
        <f t="shared" si="7"/>
        <v>272724.82400000002</v>
      </c>
      <c r="AI34" s="46">
        <f t="shared" si="8"/>
        <v>6.5662167187170493</v>
      </c>
      <c r="AJ34" s="46">
        <f t="shared" si="9"/>
        <v>1313243.3437434097</v>
      </c>
      <c r="AK34" s="46">
        <f t="shared" si="10"/>
        <v>16506.741543822238</v>
      </c>
      <c r="AL34" s="46">
        <f t="shared" si="20"/>
        <v>31818.9425198024</v>
      </c>
      <c r="AM34" s="46">
        <f t="shared" si="11"/>
        <v>2651.5785433168667</v>
      </c>
      <c r="AN34" s="48">
        <v>2530</v>
      </c>
      <c r="AP34" s="74">
        <f>საპენსიო!D26</f>
        <v>2.034782608695652</v>
      </c>
      <c r="AQ34" s="74">
        <f>შშმპ!D24</f>
        <v>2.1153846153846154</v>
      </c>
      <c r="AR34" s="9">
        <f t="shared" si="12"/>
        <v>2.0750836120401335</v>
      </c>
      <c r="AS34" s="9">
        <f t="shared" si="13"/>
        <v>0.51877090301003337</v>
      </c>
      <c r="AT34" s="9">
        <f t="shared" si="14"/>
        <v>6.2252508361204004</v>
      </c>
      <c r="AU34" s="76">
        <f t="shared" si="21"/>
        <v>1219.2279796921591</v>
      </c>
    </row>
    <row r="35" spans="1:47" ht="45" customHeight="1">
      <c r="A35" s="16">
        <v>35</v>
      </c>
      <c r="B35" s="16" t="s">
        <v>127</v>
      </c>
      <c r="C35" s="16" t="s">
        <v>128</v>
      </c>
      <c r="D35" s="20" t="s">
        <v>129</v>
      </c>
      <c r="E35" s="78">
        <f>AVERAGE(J35:N35)</f>
        <v>458.2</v>
      </c>
      <c r="F35" s="78">
        <f>AVERAGE(O35:V35)</f>
        <v>496.5</v>
      </c>
      <c r="G35" s="78">
        <f t="shared" si="4"/>
        <v>733</v>
      </c>
      <c r="H35" s="78">
        <f t="shared" si="5"/>
        <v>713</v>
      </c>
      <c r="I35" s="6">
        <v>401</v>
      </c>
      <c r="J35" s="6">
        <f>101+62</f>
        <v>163</v>
      </c>
      <c r="K35" s="6">
        <f>18+30+176</f>
        <v>224</v>
      </c>
      <c r="L35" s="6">
        <f>25+8+1017</f>
        <v>1050</v>
      </c>
      <c r="M35" s="6">
        <v>539</v>
      </c>
      <c r="N35" s="6">
        <v>315</v>
      </c>
      <c r="O35" s="6">
        <v>419</v>
      </c>
      <c r="P35" s="6">
        <v>564</v>
      </c>
      <c r="Q35" s="6">
        <v>377</v>
      </c>
      <c r="R35" s="6">
        <v>511</v>
      </c>
      <c r="S35" s="6">
        <v>477</v>
      </c>
      <c r="T35" s="6">
        <v>435</v>
      </c>
      <c r="U35" s="6">
        <v>530</v>
      </c>
      <c r="V35" s="6">
        <v>659</v>
      </c>
      <c r="W35" s="6">
        <v>515</v>
      </c>
      <c r="X35" s="6">
        <v>837</v>
      </c>
      <c r="Y35" s="6">
        <v>827</v>
      </c>
      <c r="Z35" s="6">
        <v>753</v>
      </c>
      <c r="AA35" s="6">
        <v>1084</v>
      </c>
      <c r="AB35" s="27">
        <v>482</v>
      </c>
      <c r="AC35" s="27">
        <v>611</v>
      </c>
      <c r="AD35" s="27">
        <v>675</v>
      </c>
      <c r="AE35" s="33">
        <f t="shared" si="6"/>
        <v>12448</v>
      </c>
      <c r="AF35" s="33"/>
      <c r="AG35" s="41">
        <v>0.36980000000000002</v>
      </c>
      <c r="AH35" s="33">
        <f t="shared" si="7"/>
        <v>4603.2704000000003</v>
      </c>
      <c r="AI35" s="46">
        <f t="shared" si="8"/>
        <v>0.11082992232953214</v>
      </c>
      <c r="AJ35" s="46">
        <f t="shared" si="9"/>
        <v>22165.984465906429</v>
      </c>
      <c r="AK35" s="46">
        <f t="shared" si="10"/>
        <v>59940.466376166652</v>
      </c>
      <c r="AL35" s="46">
        <f t="shared" si="20"/>
        <v>16836.977818572112</v>
      </c>
      <c r="AM35" s="46">
        <f t="shared" si="11"/>
        <v>1403.0814848810094</v>
      </c>
      <c r="AN35" s="48">
        <v>8533</v>
      </c>
      <c r="AP35" s="74">
        <f>საპენსიო!D24</f>
        <v>14.980392156862745</v>
      </c>
      <c r="AQ35" s="74">
        <f>შშმპ!D21</f>
        <v>13.5</v>
      </c>
      <c r="AR35" s="9">
        <f t="shared" si="12"/>
        <v>14.240196078431373</v>
      </c>
      <c r="AS35" s="9">
        <f t="shared" si="13"/>
        <v>3.5600490196078431</v>
      </c>
      <c r="AT35" s="9">
        <f t="shared" si="14"/>
        <v>42.720588235294116</v>
      </c>
      <c r="AU35" s="76">
        <f t="shared" si="21"/>
        <v>599.21927710843374</v>
      </c>
    </row>
    <row r="36" spans="1:47" ht="24.75">
      <c r="A36" s="16">
        <v>36</v>
      </c>
      <c r="B36" s="24" t="s">
        <v>130</v>
      </c>
      <c r="C36" s="7" t="s">
        <v>131</v>
      </c>
      <c r="D36" s="8" t="s">
        <v>89</v>
      </c>
      <c r="E36" s="78"/>
      <c r="F36" s="78"/>
      <c r="G36" s="78">
        <f t="shared" si="4"/>
        <v>12111</v>
      </c>
      <c r="H36" s="78">
        <f t="shared" si="5"/>
        <v>40549.5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6">
        <v>12111</v>
      </c>
      <c r="AA36" s="6">
        <v>37545</v>
      </c>
      <c r="AB36" s="27">
        <v>37213</v>
      </c>
      <c r="AC36" s="27">
        <v>44342</v>
      </c>
      <c r="AD36" s="27">
        <v>43098</v>
      </c>
      <c r="AE36" s="33">
        <f t="shared" si="6"/>
        <v>174309</v>
      </c>
      <c r="AF36" s="33"/>
      <c r="AG36" s="43">
        <v>0.57999999999999996</v>
      </c>
      <c r="AH36" s="33">
        <f t="shared" si="7"/>
        <v>101099.21999999999</v>
      </c>
      <c r="AI36" s="46">
        <f t="shared" si="8"/>
        <v>2.4340996132176547</v>
      </c>
      <c r="AJ36" s="46">
        <f t="shared" si="9"/>
        <v>486819.92264353094</v>
      </c>
      <c r="AK36" s="46">
        <f t="shared" si="10"/>
        <v>839344.69421298441</v>
      </c>
      <c r="AL36" s="46">
        <f t="shared" si="20"/>
        <v>28187.520302096942</v>
      </c>
      <c r="AM36" s="46">
        <f t="shared" si="11"/>
        <v>2348.9600251747447</v>
      </c>
      <c r="AN36" s="48">
        <v>310319</v>
      </c>
      <c r="AP36" s="74">
        <f>საპენსიო!D34</f>
        <v>128.21739130434781</v>
      </c>
      <c r="AQ36" s="74">
        <f>შშმპ!D35</f>
        <v>110</v>
      </c>
      <c r="AR36" s="9">
        <f t="shared" si="12"/>
        <v>119.10869565217391</v>
      </c>
      <c r="AS36" s="9">
        <f t="shared" si="13"/>
        <v>29.777173913043477</v>
      </c>
      <c r="AT36" s="9">
        <f t="shared" si="14"/>
        <v>357.32608695652175</v>
      </c>
      <c r="AU36" s="76">
        <f t="shared" si="21"/>
        <v>2605.3429457930279</v>
      </c>
    </row>
    <row r="37" spans="1:47" ht="36.75">
      <c r="A37" s="16">
        <v>37</v>
      </c>
      <c r="B37" s="24" t="s">
        <v>132</v>
      </c>
      <c r="C37" s="7" t="s">
        <v>133</v>
      </c>
      <c r="D37" s="8" t="s">
        <v>106</v>
      </c>
      <c r="E37" s="78"/>
      <c r="F37" s="78"/>
      <c r="G37" s="78">
        <f t="shared" si="4"/>
        <v>2522</v>
      </c>
      <c r="H37" s="78">
        <f t="shared" si="5"/>
        <v>13491.75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6">
        <v>2522</v>
      </c>
      <c r="AA37" s="6">
        <v>11386</v>
      </c>
      <c r="AB37" s="27">
        <v>12128</v>
      </c>
      <c r="AC37" s="27">
        <v>16396</v>
      </c>
      <c r="AD37" s="27">
        <v>14057</v>
      </c>
      <c r="AE37" s="33">
        <f t="shared" si="6"/>
        <v>56489</v>
      </c>
      <c r="AF37" s="33"/>
      <c r="AG37" s="43">
        <v>0.39</v>
      </c>
      <c r="AH37" s="33">
        <f t="shared" si="7"/>
        <v>22030.71</v>
      </c>
      <c r="AI37" s="46">
        <f t="shared" si="8"/>
        <v>0.53041895565475505</v>
      </c>
      <c r="AJ37" s="46">
        <f t="shared" si="9"/>
        <v>106083.79113095101</v>
      </c>
      <c r="AK37" s="46">
        <f t="shared" si="10"/>
        <v>272009.72084859235</v>
      </c>
      <c r="AL37" s="46">
        <f t="shared" si="20"/>
        <v>8053.5816683521052</v>
      </c>
      <c r="AM37" s="46">
        <f t="shared" si="11"/>
        <v>671.13180569600888</v>
      </c>
      <c r="AN37" s="48">
        <v>194503</v>
      </c>
      <c r="AP37" s="74">
        <f>საპენსიო!D33</f>
        <v>170.2</v>
      </c>
      <c r="AQ37" s="74">
        <f>შშმპ!D34</f>
        <v>100</v>
      </c>
      <c r="AR37" s="9">
        <f t="shared" si="12"/>
        <v>135.1</v>
      </c>
      <c r="AS37" s="9">
        <f t="shared" si="13"/>
        <v>33.774999999999999</v>
      </c>
      <c r="AT37" s="9">
        <f t="shared" si="14"/>
        <v>405.29999999999995</v>
      </c>
      <c r="AU37" s="76">
        <f t="shared" si="21"/>
        <v>1439.696521095485</v>
      </c>
    </row>
    <row r="38" spans="1:47" ht="24.75">
      <c r="A38" s="16">
        <v>38</v>
      </c>
      <c r="B38" s="25" t="s">
        <v>134</v>
      </c>
      <c r="C38" s="7" t="s">
        <v>135</v>
      </c>
      <c r="D38" s="8" t="s">
        <v>136</v>
      </c>
      <c r="E38" s="78"/>
      <c r="F38" s="78"/>
      <c r="G38" s="78">
        <f t="shared" si="4"/>
        <v>2254</v>
      </c>
      <c r="H38" s="78">
        <f t="shared" si="5"/>
        <v>13798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6">
        <v>2254</v>
      </c>
      <c r="AA38" s="6">
        <v>9669</v>
      </c>
      <c r="AB38" s="27">
        <v>16679</v>
      </c>
      <c r="AC38" s="27">
        <v>15229</v>
      </c>
      <c r="AD38" s="27">
        <v>13615</v>
      </c>
      <c r="AE38" s="33">
        <f t="shared" si="6"/>
        <v>57446</v>
      </c>
      <c r="AF38" s="33"/>
      <c r="AG38" s="44">
        <v>0.70299999999999996</v>
      </c>
      <c r="AH38" s="33">
        <f t="shared" si="7"/>
        <v>40384.538</v>
      </c>
      <c r="AI38" s="46">
        <f t="shared" si="8"/>
        <v>0.97231203490762541</v>
      </c>
      <c r="AJ38" s="46">
        <f t="shared" si="9"/>
        <v>194462.4069815251</v>
      </c>
      <c r="AK38" s="46">
        <f t="shared" si="10"/>
        <v>276617.93311738991</v>
      </c>
      <c r="AL38" s="46">
        <f t="shared" si="20"/>
        <v>9069.4404300783572</v>
      </c>
      <c r="AM38" s="46">
        <f t="shared" si="11"/>
        <v>755.78670250652976</v>
      </c>
      <c r="AN38" s="48">
        <v>1841431</v>
      </c>
      <c r="AP38" s="74">
        <f>საპენსიო!D32</f>
        <v>30</v>
      </c>
      <c r="AQ38" s="74">
        <f>შშმპ!D33</f>
        <v>214</v>
      </c>
      <c r="AR38" s="9">
        <f t="shared" si="12"/>
        <v>122</v>
      </c>
      <c r="AS38" s="9">
        <f t="shared" si="13"/>
        <v>30.5</v>
      </c>
      <c r="AT38" s="9">
        <f t="shared" si="14"/>
        <v>366</v>
      </c>
      <c r="AU38" s="76">
        <f t="shared" si="21"/>
        <v>15093.696721311475</v>
      </c>
    </row>
    <row r="39" spans="1:47">
      <c r="A39" s="16">
        <v>39</v>
      </c>
      <c r="B39" s="25" t="s">
        <v>137</v>
      </c>
      <c r="C39" s="7" t="s">
        <v>138</v>
      </c>
      <c r="D39" s="8" t="s">
        <v>139</v>
      </c>
      <c r="E39" s="78"/>
      <c r="F39" s="78"/>
      <c r="G39" s="78">
        <f t="shared" si="4"/>
        <v>3581</v>
      </c>
      <c r="H39" s="78">
        <f t="shared" si="5"/>
        <v>34071.75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6">
        <v>3581</v>
      </c>
      <c r="AA39" s="6">
        <v>29394</v>
      </c>
      <c r="AB39" s="27">
        <v>42380</v>
      </c>
      <c r="AC39" s="27">
        <v>29080</v>
      </c>
      <c r="AD39" s="27">
        <v>35433</v>
      </c>
      <c r="AE39" s="33">
        <f t="shared" si="6"/>
        <v>139868</v>
      </c>
      <c r="AF39" s="33"/>
      <c r="AG39" s="41">
        <v>6.9599999999999995E-2</v>
      </c>
      <c r="AH39" s="33">
        <f t="shared" si="7"/>
        <v>9734.8127999999997</v>
      </c>
      <c r="AI39" s="46">
        <f t="shared" si="8"/>
        <v>0.23437870313169851</v>
      </c>
      <c r="AJ39" s="46">
        <f t="shared" si="9"/>
        <v>46875.740626339699</v>
      </c>
      <c r="AK39" s="46">
        <f t="shared" si="10"/>
        <v>673502.02049338655</v>
      </c>
      <c r="AL39" s="46">
        <f t="shared" si="20"/>
        <v>8379.4963669472672</v>
      </c>
      <c r="AM39" s="46">
        <f t="shared" si="11"/>
        <v>698.29136391227223</v>
      </c>
      <c r="AN39" s="48">
        <v>948766</v>
      </c>
      <c r="AP39" s="74">
        <f>საპენსიო!D36</f>
        <v>275</v>
      </c>
      <c r="AQ39" s="74">
        <f>შშმპ!D37</f>
        <v>368</v>
      </c>
      <c r="AR39" s="9">
        <f t="shared" si="12"/>
        <v>321.5</v>
      </c>
      <c r="AS39" s="9">
        <f t="shared" si="13"/>
        <v>80.375</v>
      </c>
      <c r="AT39" s="9">
        <f t="shared" si="14"/>
        <v>964.5</v>
      </c>
      <c r="AU39" s="76">
        <f t="shared" si="21"/>
        <v>2951.0606531881804</v>
      </c>
    </row>
    <row r="40" spans="1:47" ht="24.75">
      <c r="A40" s="16">
        <v>40</v>
      </c>
      <c r="B40" s="24" t="s">
        <v>140</v>
      </c>
      <c r="C40" s="7" t="s">
        <v>141</v>
      </c>
      <c r="D40" s="8" t="s">
        <v>142</v>
      </c>
      <c r="E40" s="78"/>
      <c r="F40" s="78"/>
      <c r="G40" s="78">
        <f t="shared" si="4"/>
        <v>92</v>
      </c>
      <c r="H40" s="78">
        <f t="shared" si="5"/>
        <v>5311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6">
        <v>92</v>
      </c>
      <c r="AA40" s="6">
        <v>5662</v>
      </c>
      <c r="AB40" s="27">
        <v>3330</v>
      </c>
      <c r="AC40" s="27">
        <v>4580</v>
      </c>
      <c r="AD40" s="27">
        <v>7672</v>
      </c>
      <c r="AE40" s="33">
        <f t="shared" si="6"/>
        <v>21336</v>
      </c>
      <c r="AF40" s="33"/>
      <c r="AG40" s="41">
        <f>0.0653*3.0274</f>
        <v>0.19768922</v>
      </c>
      <c r="AH40" s="33">
        <f t="shared" si="7"/>
        <v>4217.8971979199996</v>
      </c>
      <c r="AI40" s="46">
        <f t="shared" si="8"/>
        <v>0.10155154449311185</v>
      </c>
      <c r="AJ40" s="46">
        <f t="shared" si="9"/>
        <v>20310.30889862237</v>
      </c>
      <c r="AK40" s="46">
        <f t="shared" si="10"/>
        <v>102738.57572315967</v>
      </c>
      <c r="AL40" s="46">
        <f t="shared" si="20"/>
        <v>4466.8945966591155</v>
      </c>
      <c r="AM40" s="46">
        <f t="shared" si="11"/>
        <v>372.24121638825966</v>
      </c>
      <c r="AN40" s="48">
        <v>235752</v>
      </c>
      <c r="AP40" s="74"/>
      <c r="AQ40" s="74">
        <f>შშმპ!D29</f>
        <v>92</v>
      </c>
      <c r="AR40" s="9">
        <f t="shared" si="12"/>
        <v>92</v>
      </c>
      <c r="AS40" s="9">
        <f t="shared" si="13"/>
        <v>23</v>
      </c>
      <c r="AT40" s="9">
        <f t="shared" si="14"/>
        <v>276</v>
      </c>
      <c r="AU40" s="76">
        <f t="shared" si="21"/>
        <v>2562.521739130435</v>
      </c>
    </row>
    <row r="41" spans="1:47" ht="24.75">
      <c r="A41" s="16">
        <v>41</v>
      </c>
      <c r="B41" s="24" t="s">
        <v>143</v>
      </c>
      <c r="C41" s="7" t="s">
        <v>144</v>
      </c>
      <c r="D41" s="8" t="s">
        <v>106</v>
      </c>
      <c r="E41" s="78"/>
      <c r="F41" s="78"/>
      <c r="G41" s="78">
        <f t="shared" si="4"/>
        <v>276</v>
      </c>
      <c r="H41" s="78">
        <f t="shared" si="5"/>
        <v>13475.5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6">
        <v>276</v>
      </c>
      <c r="AA41" s="6">
        <v>11673</v>
      </c>
      <c r="AB41" s="27">
        <v>12009</v>
      </c>
      <c r="AC41" s="27">
        <v>11266</v>
      </c>
      <c r="AD41" s="27">
        <v>18954</v>
      </c>
      <c r="AE41" s="33">
        <f t="shared" si="6"/>
        <v>54178</v>
      </c>
      <c r="AF41" s="33"/>
      <c r="AG41" s="41">
        <f>0.0911*3.0274</f>
        <v>0.27579614000000002</v>
      </c>
      <c r="AH41" s="33">
        <f t="shared" si="7"/>
        <v>14942.083272920001</v>
      </c>
      <c r="AI41" s="46">
        <f t="shared" si="8"/>
        <v>0.35975073907870475</v>
      </c>
      <c r="AJ41" s="46">
        <f t="shared" si="9"/>
        <v>71950.147815740944</v>
      </c>
      <c r="AK41" s="46">
        <f t="shared" si="10"/>
        <v>260881.63458611473</v>
      </c>
      <c r="AL41" s="46">
        <f t="shared" si="20"/>
        <v>11594.739314938432</v>
      </c>
      <c r="AM41" s="46">
        <f t="shared" si="11"/>
        <v>966.22827624486933</v>
      </c>
      <c r="AN41" s="48">
        <v>1175322</v>
      </c>
      <c r="AP41" s="74"/>
      <c r="AQ41" s="74">
        <f>შშმპ!D30</f>
        <v>90</v>
      </c>
      <c r="AR41" s="9">
        <f t="shared" si="12"/>
        <v>90</v>
      </c>
      <c r="AS41" s="9">
        <f t="shared" si="13"/>
        <v>22.5</v>
      </c>
      <c r="AT41" s="9">
        <f t="shared" si="14"/>
        <v>270</v>
      </c>
      <c r="AU41" s="76">
        <f t="shared" si="21"/>
        <v>13059.133333333333</v>
      </c>
    </row>
    <row r="42" spans="1:47">
      <c r="A42" s="16">
        <v>42</v>
      </c>
      <c r="B42" s="25" t="s">
        <v>145</v>
      </c>
      <c r="C42" s="7" t="s">
        <v>146</v>
      </c>
      <c r="D42" s="8" t="s">
        <v>147</v>
      </c>
      <c r="E42" s="78"/>
      <c r="F42" s="78"/>
      <c r="G42" s="78"/>
      <c r="H42" s="78">
        <f t="shared" si="5"/>
        <v>2032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6"/>
      <c r="AA42" s="6">
        <v>1803</v>
      </c>
      <c r="AB42" s="27">
        <v>1784</v>
      </c>
      <c r="AC42" s="27">
        <v>1724</v>
      </c>
      <c r="AD42" s="27">
        <v>2817</v>
      </c>
      <c r="AE42" s="33">
        <f t="shared" si="6"/>
        <v>8128</v>
      </c>
      <c r="AF42" s="33"/>
      <c r="AG42" s="41">
        <v>1.0943000000000001</v>
      </c>
      <c r="AH42" s="33">
        <f t="shared" si="7"/>
        <v>8894.4704000000002</v>
      </c>
      <c r="AI42" s="46">
        <f t="shared" si="8"/>
        <v>0.21414633031210215</v>
      </c>
      <c r="AJ42" s="46">
        <f t="shared" si="9"/>
        <v>42829.266062420429</v>
      </c>
      <c r="AK42" s="46">
        <f t="shared" si="10"/>
        <v>39138.505037394156</v>
      </c>
      <c r="AN42" s="48">
        <v>449555</v>
      </c>
      <c r="AP42" s="74"/>
      <c r="AQ42" s="74"/>
      <c r="AR42" s="9"/>
      <c r="AS42" s="9">
        <f t="shared" si="13"/>
        <v>0</v>
      </c>
      <c r="AT42" s="9">
        <f t="shared" si="14"/>
        <v>0</v>
      </c>
      <c r="AU42" s="76"/>
    </row>
    <row r="43" spans="1:47">
      <c r="A43" s="16">
        <v>43</v>
      </c>
      <c r="B43" s="25" t="s">
        <v>148</v>
      </c>
      <c r="C43" s="7" t="s">
        <v>149</v>
      </c>
      <c r="D43" s="8" t="s">
        <v>150</v>
      </c>
      <c r="E43" s="78"/>
      <c r="F43" s="78"/>
      <c r="G43" s="78">
        <f t="shared" si="4"/>
        <v>990</v>
      </c>
      <c r="H43" s="78">
        <f t="shared" si="5"/>
        <v>6296.5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6">
        <v>990</v>
      </c>
      <c r="AA43" s="6">
        <v>2878</v>
      </c>
      <c r="AB43" s="27">
        <v>5373</v>
      </c>
      <c r="AC43" s="27">
        <v>6512</v>
      </c>
      <c r="AD43" s="27">
        <v>10423</v>
      </c>
      <c r="AE43" s="33">
        <f t="shared" si="6"/>
        <v>26176</v>
      </c>
      <c r="AF43" s="33"/>
      <c r="AG43" s="43">
        <v>0.37</v>
      </c>
      <c r="AH43" s="33">
        <f t="shared" si="7"/>
        <v>9685.119999999999</v>
      </c>
      <c r="AI43" s="46">
        <f t="shared" si="8"/>
        <v>0.23318228217751405</v>
      </c>
      <c r="AJ43" s="46">
        <f t="shared" si="9"/>
        <v>46636.456435502812</v>
      </c>
      <c r="AK43" s="46">
        <f>AJ43/AG43</f>
        <v>126044.4768527103</v>
      </c>
      <c r="AL43" s="46">
        <f>AK43/AS43</f>
        <v>3734.6511660062311</v>
      </c>
      <c r="AM43" s="46">
        <f t="shared" si="11"/>
        <v>311.22093050051927</v>
      </c>
      <c r="AN43" s="48">
        <v>165836</v>
      </c>
      <c r="AP43" s="74"/>
      <c r="AQ43" s="74">
        <f>შშმპ!D32</f>
        <v>135</v>
      </c>
      <c r="AR43" s="9">
        <f t="shared" si="12"/>
        <v>135</v>
      </c>
      <c r="AS43" s="9">
        <f t="shared" si="13"/>
        <v>33.75</v>
      </c>
      <c r="AT43" s="9">
        <f t="shared" si="14"/>
        <v>405</v>
      </c>
      <c r="AU43" s="76">
        <f>AN43/AR43</f>
        <v>1228.4148148148149</v>
      </c>
    </row>
    <row r="44" spans="1:47">
      <c r="E44" s="78"/>
      <c r="F44" s="80"/>
      <c r="G44" s="80"/>
      <c r="H44" s="80"/>
      <c r="AB44" s="30"/>
      <c r="AC44" s="30"/>
      <c r="AD44" s="30"/>
      <c r="AE44" s="76">
        <f>SUM(AE2:AE43)</f>
        <v>28656834</v>
      </c>
      <c r="AH44" s="33">
        <f>SUM(AH2:AH43)</f>
        <v>4153454.5033001406</v>
      </c>
      <c r="AJ44" s="46">
        <v>20000000</v>
      </c>
      <c r="AM44" s="46">
        <f>SUM(AM2:AM43)</f>
        <v>529846.14803571731</v>
      </c>
    </row>
  </sheetData>
  <mergeCells count="1">
    <mergeCell ref="A2:A3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B4" workbookViewId="0">
      <selection activeCell="F32" sqref="F32"/>
    </sheetView>
  </sheetViews>
  <sheetFormatPr defaultRowHeight="15"/>
  <cols>
    <col min="1" max="1" width="9.140625" style="83"/>
    <col min="2" max="2" width="54.7109375" style="83" customWidth="1"/>
    <col min="3" max="3" width="9.140625" style="83"/>
    <col min="4" max="4" width="13.28515625" style="83" customWidth="1"/>
    <col min="5" max="5" width="16.28515625" style="83" customWidth="1"/>
    <col min="6" max="6" width="15.42578125" style="83" customWidth="1"/>
    <col min="7" max="7" width="10.5703125" style="83" bestFit="1" customWidth="1"/>
    <col min="8" max="16384" width="9.140625" style="83"/>
  </cols>
  <sheetData>
    <row r="1" spans="1:7">
      <c r="A1" s="82" t="s">
        <v>17</v>
      </c>
      <c r="B1" s="82" t="s">
        <v>198</v>
      </c>
      <c r="C1" s="82" t="s">
        <v>199</v>
      </c>
      <c r="D1" s="82" t="s">
        <v>200</v>
      </c>
      <c r="E1" s="82" t="s">
        <v>201</v>
      </c>
      <c r="F1" s="82" t="s">
        <v>202</v>
      </c>
      <c r="G1" s="82" t="s">
        <v>203</v>
      </c>
    </row>
    <row r="2" spans="1:7">
      <c r="A2" s="84">
        <v>1</v>
      </c>
      <c r="B2" s="85" t="s">
        <v>204</v>
      </c>
      <c r="C2" s="86" t="s">
        <v>205</v>
      </c>
      <c r="D2" s="87">
        <v>43465</v>
      </c>
      <c r="E2" s="86">
        <v>3.27</v>
      </c>
      <c r="F2" s="86">
        <v>108</v>
      </c>
      <c r="G2" s="86">
        <v>353.15999999999997</v>
      </c>
    </row>
    <row r="3" spans="1:7">
      <c r="A3" s="84">
        <v>2</v>
      </c>
      <c r="B3" s="85" t="s">
        <v>204</v>
      </c>
      <c r="C3" s="86" t="s">
        <v>206</v>
      </c>
      <c r="D3" s="87">
        <v>43465</v>
      </c>
      <c r="E3" s="86">
        <v>3.27</v>
      </c>
      <c r="F3" s="86">
        <v>1139</v>
      </c>
      <c r="G3" s="86">
        <v>3724.5299999999997</v>
      </c>
    </row>
    <row r="4" spans="1:7">
      <c r="A4" s="84">
        <v>3</v>
      </c>
      <c r="B4" s="85" t="s">
        <v>207</v>
      </c>
      <c r="C4" s="86" t="s">
        <v>208</v>
      </c>
      <c r="D4" s="87">
        <v>43616</v>
      </c>
      <c r="E4" s="86">
        <v>0.10829794199999999</v>
      </c>
      <c r="F4" s="86">
        <v>8</v>
      </c>
      <c r="G4" s="86">
        <v>0.86638353599999995</v>
      </c>
    </row>
    <row r="5" spans="1:7">
      <c r="A5" s="84">
        <v>4</v>
      </c>
      <c r="B5" s="85" t="s">
        <v>209</v>
      </c>
      <c r="C5" s="86" t="s">
        <v>210</v>
      </c>
      <c r="D5" s="87">
        <v>43524</v>
      </c>
      <c r="E5" s="86">
        <v>4.6399999999999997E-2</v>
      </c>
      <c r="F5" s="86">
        <v>839</v>
      </c>
      <c r="G5" s="86">
        <v>38.929600000000001</v>
      </c>
    </row>
    <row r="6" spans="1:7">
      <c r="A6" s="84">
        <v>5</v>
      </c>
      <c r="B6" s="85" t="s">
        <v>209</v>
      </c>
      <c r="C6" s="86" t="s">
        <v>211</v>
      </c>
      <c r="D6" s="87">
        <v>43524</v>
      </c>
      <c r="E6" s="86">
        <v>4.6399999999999997E-2</v>
      </c>
      <c r="F6" s="86">
        <v>729</v>
      </c>
      <c r="G6" s="86">
        <v>33.825600000000001</v>
      </c>
    </row>
    <row r="7" spans="1:7">
      <c r="A7" s="84">
        <v>6</v>
      </c>
      <c r="B7" s="85" t="s">
        <v>212</v>
      </c>
      <c r="C7" s="86" t="s">
        <v>213</v>
      </c>
      <c r="D7" s="87">
        <v>43496</v>
      </c>
      <c r="E7" s="86">
        <v>2.21</v>
      </c>
      <c r="F7" s="86">
        <v>18274</v>
      </c>
      <c r="G7" s="86">
        <v>40385.54</v>
      </c>
    </row>
    <row r="8" spans="1:7">
      <c r="A8" s="84">
        <v>7</v>
      </c>
      <c r="B8" s="85" t="s">
        <v>204</v>
      </c>
      <c r="C8" s="86" t="s">
        <v>214</v>
      </c>
      <c r="D8" s="87">
        <v>43496</v>
      </c>
      <c r="E8" s="86">
        <v>3.27</v>
      </c>
      <c r="F8" s="86">
        <v>854</v>
      </c>
      <c r="G8" s="86">
        <v>2792.58</v>
      </c>
    </row>
    <row r="9" spans="1:7" ht="30">
      <c r="A9" s="84">
        <v>8</v>
      </c>
      <c r="B9" s="85" t="s">
        <v>215</v>
      </c>
      <c r="C9" s="86" t="s">
        <v>216</v>
      </c>
      <c r="D9" s="87">
        <v>43616</v>
      </c>
      <c r="E9" s="86">
        <v>4.8600000000000003</v>
      </c>
      <c r="F9" s="86">
        <v>1</v>
      </c>
      <c r="G9" s="86">
        <v>4.8600000000000003</v>
      </c>
    </row>
    <row r="10" spans="1:7" ht="30">
      <c r="A10" s="84">
        <v>9</v>
      </c>
      <c r="B10" s="85" t="s">
        <v>215</v>
      </c>
      <c r="C10" s="86" t="s">
        <v>217</v>
      </c>
      <c r="D10" s="87">
        <v>43616</v>
      </c>
      <c r="E10" s="86">
        <v>4.8600000000000003</v>
      </c>
      <c r="F10" s="86">
        <v>4</v>
      </c>
      <c r="G10" s="86">
        <v>19.440000000000001</v>
      </c>
    </row>
    <row r="11" spans="1:7" ht="30">
      <c r="A11" s="84">
        <v>10</v>
      </c>
      <c r="B11" s="85" t="s">
        <v>218</v>
      </c>
      <c r="C11" s="86" t="s">
        <v>219</v>
      </c>
      <c r="D11" s="87">
        <v>43585</v>
      </c>
      <c r="E11" s="86">
        <v>4.8</v>
      </c>
      <c r="F11" s="86">
        <v>42</v>
      </c>
      <c r="G11" s="86">
        <v>201.6</v>
      </c>
    </row>
    <row r="12" spans="1:7" ht="30">
      <c r="A12" s="84">
        <v>11</v>
      </c>
      <c r="B12" s="85" t="s">
        <v>218</v>
      </c>
      <c r="C12" s="86" t="s">
        <v>220</v>
      </c>
      <c r="D12" s="87">
        <v>43585</v>
      </c>
      <c r="E12" s="86">
        <v>4.8</v>
      </c>
      <c r="F12" s="86">
        <v>56</v>
      </c>
      <c r="G12" s="86">
        <v>268.8</v>
      </c>
    </row>
    <row r="13" spans="1:7" ht="30">
      <c r="A13" s="84">
        <v>12</v>
      </c>
      <c r="B13" s="85" t="s">
        <v>218</v>
      </c>
      <c r="C13" s="86" t="s">
        <v>221</v>
      </c>
      <c r="D13" s="87">
        <v>43616</v>
      </c>
      <c r="E13" s="86">
        <v>4.8</v>
      </c>
      <c r="F13" s="86">
        <v>1766</v>
      </c>
      <c r="G13" s="86">
        <v>8476.8000000000011</v>
      </c>
    </row>
    <row r="14" spans="1:7" ht="24.75" customHeight="1">
      <c r="G14" s="88">
        <f>SUM(G2:G13)</f>
        <v>56300.93158353601</v>
      </c>
    </row>
    <row r="19" spans="2:4">
      <c r="C19" s="83" t="s">
        <v>226</v>
      </c>
      <c r="D19" s="83" t="s">
        <v>227</v>
      </c>
    </row>
    <row r="20" spans="2:4">
      <c r="B20" s="83" t="s">
        <v>222</v>
      </c>
      <c r="C20" s="83">
        <f>F2+F3+F8</f>
        <v>2101</v>
      </c>
      <c r="D20" s="83">
        <f>G2+G3+G8</f>
        <v>6870.2699999999995</v>
      </c>
    </row>
    <row r="21" spans="2:4">
      <c r="B21" s="83" t="s">
        <v>223</v>
      </c>
      <c r="C21" s="83">
        <f>F5+F6</f>
        <v>1568</v>
      </c>
      <c r="D21" s="83">
        <f>G5+G6</f>
        <v>72.755200000000002</v>
      </c>
    </row>
    <row r="22" spans="2:4">
      <c r="B22" s="83" t="s">
        <v>224</v>
      </c>
      <c r="C22" s="83">
        <f>F7</f>
        <v>18274</v>
      </c>
      <c r="D22" s="83">
        <f>G7</f>
        <v>40385.54</v>
      </c>
    </row>
    <row r="23" spans="2:4">
      <c r="B23" s="83" t="s">
        <v>225</v>
      </c>
      <c r="C23" s="83">
        <f>F9+F10+F11+F12+F13</f>
        <v>1869</v>
      </c>
      <c r="D23" s="83">
        <f>G9+G10+G11+G12+G13</f>
        <v>8971.5000000000018</v>
      </c>
    </row>
    <row r="24" spans="2:4">
      <c r="D24" s="83">
        <f>SUM(D20:D23)</f>
        <v>56300.065199999997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44"/>
  <sheetViews>
    <sheetView topLeftCell="B1" workbookViewId="0">
      <selection activeCell="B1" sqref="A1:XFD1048576"/>
    </sheetView>
  </sheetViews>
  <sheetFormatPr defaultRowHeight="15"/>
  <cols>
    <col min="1" max="1" width="4" style="2" customWidth="1"/>
    <col min="2" max="2" width="24.42578125" style="2" customWidth="1"/>
    <col min="3" max="3" width="19.85546875" style="2" customWidth="1"/>
    <col min="4" max="4" width="9.28515625" style="2" customWidth="1"/>
    <col min="5" max="8" width="11.85546875" style="79" customWidth="1"/>
    <col min="9" max="9" width="8.28515625" style="2" customWidth="1"/>
    <col min="10" max="10" width="9.140625" style="2"/>
    <col min="11" max="13" width="7.5703125" style="2" customWidth="1"/>
    <col min="14" max="14" width="10.28515625" style="2" customWidth="1"/>
    <col min="15" max="15" width="10.5703125" style="2" customWidth="1"/>
    <col min="16" max="16" width="11.140625" style="2" customWidth="1"/>
    <col min="17" max="17" width="10.42578125" style="2" customWidth="1"/>
    <col min="18" max="25" width="11" style="2" customWidth="1"/>
    <col min="26" max="27" width="11" style="3" customWidth="1"/>
    <col min="28" max="28" width="8.28515625" style="31" customWidth="1"/>
    <col min="29" max="29" width="9.85546875" style="31" customWidth="1"/>
    <col min="30" max="30" width="9.28515625" style="31" customWidth="1"/>
    <col min="31" max="32" width="15.28515625" style="2" customWidth="1"/>
    <col min="33" max="33" width="12.5703125" style="45" customWidth="1"/>
    <col min="34" max="34" width="20.7109375" style="33" customWidth="1"/>
    <col min="35" max="39" width="20.7109375" style="46" customWidth="1"/>
    <col min="40" max="40" width="12.42578125" style="49" customWidth="1"/>
    <col min="41" max="41" width="38.5703125" style="2" customWidth="1"/>
    <col min="42" max="42" width="9.140625" style="73"/>
    <col min="43" max="46" width="9.140625" style="2"/>
    <col min="47" max="47" width="13.140625" style="2" customWidth="1"/>
    <col min="48" max="48" width="16.7109375" style="2" customWidth="1"/>
    <col min="49" max="260" width="9.140625" style="2"/>
    <col min="261" max="261" width="4" style="2" customWidth="1"/>
    <col min="262" max="262" width="24.42578125" style="2" customWidth="1"/>
    <col min="263" max="263" width="19.85546875" style="2" customWidth="1"/>
    <col min="264" max="264" width="9.28515625" style="2" customWidth="1"/>
    <col min="265" max="265" width="10" style="2" customWidth="1"/>
    <col min="266" max="266" width="8.42578125" style="2" customWidth="1"/>
    <col min="267" max="267" width="12.28515625" style="2" customWidth="1"/>
    <col min="268" max="268" width="7.5703125" style="2" customWidth="1"/>
    <col min="269" max="269" width="7.85546875" style="2" customWidth="1"/>
    <col min="270" max="270" width="8.28515625" style="2" customWidth="1"/>
    <col min="271" max="271" width="9.140625" style="2"/>
    <col min="272" max="274" width="7.5703125" style="2" customWidth="1"/>
    <col min="275" max="275" width="10.28515625" style="2" customWidth="1"/>
    <col min="276" max="276" width="10.5703125" style="2" customWidth="1"/>
    <col min="277" max="277" width="11.140625" style="2" customWidth="1"/>
    <col min="278" max="278" width="10.42578125" style="2" customWidth="1"/>
    <col min="279" max="288" width="11" style="2" customWidth="1"/>
    <col min="289" max="289" width="9.140625" style="2" customWidth="1"/>
    <col min="290" max="290" width="6.85546875" style="2" customWidth="1"/>
    <col min="291" max="291" width="15" style="2" bestFit="1" customWidth="1"/>
    <col min="292" max="516" width="9.140625" style="2"/>
    <col min="517" max="517" width="4" style="2" customWidth="1"/>
    <col min="518" max="518" width="24.42578125" style="2" customWidth="1"/>
    <col min="519" max="519" width="19.85546875" style="2" customWidth="1"/>
    <col min="520" max="520" width="9.28515625" style="2" customWidth="1"/>
    <col min="521" max="521" width="10" style="2" customWidth="1"/>
    <col min="522" max="522" width="8.42578125" style="2" customWidth="1"/>
    <col min="523" max="523" width="12.28515625" style="2" customWidth="1"/>
    <col min="524" max="524" width="7.5703125" style="2" customWidth="1"/>
    <col min="525" max="525" width="7.85546875" style="2" customWidth="1"/>
    <col min="526" max="526" width="8.28515625" style="2" customWidth="1"/>
    <col min="527" max="527" width="9.140625" style="2"/>
    <col min="528" max="530" width="7.5703125" style="2" customWidth="1"/>
    <col min="531" max="531" width="10.28515625" style="2" customWidth="1"/>
    <col min="532" max="532" width="10.5703125" style="2" customWidth="1"/>
    <col min="533" max="533" width="11.140625" style="2" customWidth="1"/>
    <col min="534" max="534" width="10.42578125" style="2" customWidth="1"/>
    <col min="535" max="544" width="11" style="2" customWidth="1"/>
    <col min="545" max="545" width="9.140625" style="2" customWidth="1"/>
    <col min="546" max="546" width="6.85546875" style="2" customWidth="1"/>
    <col min="547" max="547" width="15" style="2" bestFit="1" customWidth="1"/>
    <col min="548" max="772" width="9.140625" style="2"/>
    <col min="773" max="773" width="4" style="2" customWidth="1"/>
    <col min="774" max="774" width="24.42578125" style="2" customWidth="1"/>
    <col min="775" max="775" width="19.85546875" style="2" customWidth="1"/>
    <col min="776" max="776" width="9.28515625" style="2" customWidth="1"/>
    <col min="777" max="777" width="10" style="2" customWidth="1"/>
    <col min="778" max="778" width="8.42578125" style="2" customWidth="1"/>
    <col min="779" max="779" width="12.28515625" style="2" customWidth="1"/>
    <col min="780" max="780" width="7.5703125" style="2" customWidth="1"/>
    <col min="781" max="781" width="7.85546875" style="2" customWidth="1"/>
    <col min="782" max="782" width="8.28515625" style="2" customWidth="1"/>
    <col min="783" max="783" width="9.140625" style="2"/>
    <col min="784" max="786" width="7.5703125" style="2" customWidth="1"/>
    <col min="787" max="787" width="10.28515625" style="2" customWidth="1"/>
    <col min="788" max="788" width="10.5703125" style="2" customWidth="1"/>
    <col min="789" max="789" width="11.140625" style="2" customWidth="1"/>
    <col min="790" max="790" width="10.42578125" style="2" customWidth="1"/>
    <col min="791" max="800" width="11" style="2" customWidth="1"/>
    <col min="801" max="801" width="9.140625" style="2" customWidth="1"/>
    <col min="802" max="802" width="6.85546875" style="2" customWidth="1"/>
    <col min="803" max="803" width="15" style="2" bestFit="1" customWidth="1"/>
    <col min="804" max="1028" width="9.140625" style="2"/>
    <col min="1029" max="1029" width="4" style="2" customWidth="1"/>
    <col min="1030" max="1030" width="24.42578125" style="2" customWidth="1"/>
    <col min="1031" max="1031" width="19.85546875" style="2" customWidth="1"/>
    <col min="1032" max="1032" width="9.28515625" style="2" customWidth="1"/>
    <col min="1033" max="1033" width="10" style="2" customWidth="1"/>
    <col min="1034" max="1034" width="8.42578125" style="2" customWidth="1"/>
    <col min="1035" max="1035" width="12.28515625" style="2" customWidth="1"/>
    <col min="1036" max="1036" width="7.5703125" style="2" customWidth="1"/>
    <col min="1037" max="1037" width="7.85546875" style="2" customWidth="1"/>
    <col min="1038" max="1038" width="8.28515625" style="2" customWidth="1"/>
    <col min="1039" max="1039" width="9.140625" style="2"/>
    <col min="1040" max="1042" width="7.5703125" style="2" customWidth="1"/>
    <col min="1043" max="1043" width="10.28515625" style="2" customWidth="1"/>
    <col min="1044" max="1044" width="10.5703125" style="2" customWidth="1"/>
    <col min="1045" max="1045" width="11.140625" style="2" customWidth="1"/>
    <col min="1046" max="1046" width="10.42578125" style="2" customWidth="1"/>
    <col min="1047" max="1056" width="11" style="2" customWidth="1"/>
    <col min="1057" max="1057" width="9.140625" style="2" customWidth="1"/>
    <col min="1058" max="1058" width="6.85546875" style="2" customWidth="1"/>
    <col min="1059" max="1059" width="15" style="2" bestFit="1" customWidth="1"/>
    <col min="1060" max="1284" width="9.140625" style="2"/>
    <col min="1285" max="1285" width="4" style="2" customWidth="1"/>
    <col min="1286" max="1286" width="24.42578125" style="2" customWidth="1"/>
    <col min="1287" max="1287" width="19.85546875" style="2" customWidth="1"/>
    <col min="1288" max="1288" width="9.28515625" style="2" customWidth="1"/>
    <col min="1289" max="1289" width="10" style="2" customWidth="1"/>
    <col min="1290" max="1290" width="8.42578125" style="2" customWidth="1"/>
    <col min="1291" max="1291" width="12.28515625" style="2" customWidth="1"/>
    <col min="1292" max="1292" width="7.5703125" style="2" customWidth="1"/>
    <col min="1293" max="1293" width="7.85546875" style="2" customWidth="1"/>
    <col min="1294" max="1294" width="8.28515625" style="2" customWidth="1"/>
    <col min="1295" max="1295" width="9.140625" style="2"/>
    <col min="1296" max="1298" width="7.5703125" style="2" customWidth="1"/>
    <col min="1299" max="1299" width="10.28515625" style="2" customWidth="1"/>
    <col min="1300" max="1300" width="10.5703125" style="2" customWidth="1"/>
    <col min="1301" max="1301" width="11.140625" style="2" customWidth="1"/>
    <col min="1302" max="1302" width="10.42578125" style="2" customWidth="1"/>
    <col min="1303" max="1312" width="11" style="2" customWidth="1"/>
    <col min="1313" max="1313" width="9.140625" style="2" customWidth="1"/>
    <col min="1314" max="1314" width="6.85546875" style="2" customWidth="1"/>
    <col min="1315" max="1315" width="15" style="2" bestFit="1" customWidth="1"/>
    <col min="1316" max="1540" width="9.140625" style="2"/>
    <col min="1541" max="1541" width="4" style="2" customWidth="1"/>
    <col min="1542" max="1542" width="24.42578125" style="2" customWidth="1"/>
    <col min="1543" max="1543" width="19.85546875" style="2" customWidth="1"/>
    <col min="1544" max="1544" width="9.28515625" style="2" customWidth="1"/>
    <col min="1545" max="1545" width="10" style="2" customWidth="1"/>
    <col min="1546" max="1546" width="8.42578125" style="2" customWidth="1"/>
    <col min="1547" max="1547" width="12.28515625" style="2" customWidth="1"/>
    <col min="1548" max="1548" width="7.5703125" style="2" customWidth="1"/>
    <col min="1549" max="1549" width="7.85546875" style="2" customWidth="1"/>
    <col min="1550" max="1550" width="8.28515625" style="2" customWidth="1"/>
    <col min="1551" max="1551" width="9.140625" style="2"/>
    <col min="1552" max="1554" width="7.5703125" style="2" customWidth="1"/>
    <col min="1555" max="1555" width="10.28515625" style="2" customWidth="1"/>
    <col min="1556" max="1556" width="10.5703125" style="2" customWidth="1"/>
    <col min="1557" max="1557" width="11.140625" style="2" customWidth="1"/>
    <col min="1558" max="1558" width="10.42578125" style="2" customWidth="1"/>
    <col min="1559" max="1568" width="11" style="2" customWidth="1"/>
    <col min="1569" max="1569" width="9.140625" style="2" customWidth="1"/>
    <col min="1570" max="1570" width="6.85546875" style="2" customWidth="1"/>
    <col min="1571" max="1571" width="15" style="2" bestFit="1" customWidth="1"/>
    <col min="1572" max="1796" width="9.140625" style="2"/>
    <col min="1797" max="1797" width="4" style="2" customWidth="1"/>
    <col min="1798" max="1798" width="24.42578125" style="2" customWidth="1"/>
    <col min="1799" max="1799" width="19.85546875" style="2" customWidth="1"/>
    <col min="1800" max="1800" width="9.28515625" style="2" customWidth="1"/>
    <col min="1801" max="1801" width="10" style="2" customWidth="1"/>
    <col min="1802" max="1802" width="8.42578125" style="2" customWidth="1"/>
    <col min="1803" max="1803" width="12.28515625" style="2" customWidth="1"/>
    <col min="1804" max="1804" width="7.5703125" style="2" customWidth="1"/>
    <col min="1805" max="1805" width="7.85546875" style="2" customWidth="1"/>
    <col min="1806" max="1806" width="8.28515625" style="2" customWidth="1"/>
    <col min="1807" max="1807" width="9.140625" style="2"/>
    <col min="1808" max="1810" width="7.5703125" style="2" customWidth="1"/>
    <col min="1811" max="1811" width="10.28515625" style="2" customWidth="1"/>
    <col min="1812" max="1812" width="10.5703125" style="2" customWidth="1"/>
    <col min="1813" max="1813" width="11.140625" style="2" customWidth="1"/>
    <col min="1814" max="1814" width="10.42578125" style="2" customWidth="1"/>
    <col min="1815" max="1824" width="11" style="2" customWidth="1"/>
    <col min="1825" max="1825" width="9.140625" style="2" customWidth="1"/>
    <col min="1826" max="1826" width="6.85546875" style="2" customWidth="1"/>
    <col min="1827" max="1827" width="15" style="2" bestFit="1" customWidth="1"/>
    <col min="1828" max="2052" width="9.140625" style="2"/>
    <col min="2053" max="2053" width="4" style="2" customWidth="1"/>
    <col min="2054" max="2054" width="24.42578125" style="2" customWidth="1"/>
    <col min="2055" max="2055" width="19.85546875" style="2" customWidth="1"/>
    <col min="2056" max="2056" width="9.28515625" style="2" customWidth="1"/>
    <col min="2057" max="2057" width="10" style="2" customWidth="1"/>
    <col min="2058" max="2058" width="8.42578125" style="2" customWidth="1"/>
    <col min="2059" max="2059" width="12.28515625" style="2" customWidth="1"/>
    <col min="2060" max="2060" width="7.5703125" style="2" customWidth="1"/>
    <col min="2061" max="2061" width="7.85546875" style="2" customWidth="1"/>
    <col min="2062" max="2062" width="8.28515625" style="2" customWidth="1"/>
    <col min="2063" max="2063" width="9.140625" style="2"/>
    <col min="2064" max="2066" width="7.5703125" style="2" customWidth="1"/>
    <col min="2067" max="2067" width="10.28515625" style="2" customWidth="1"/>
    <col min="2068" max="2068" width="10.5703125" style="2" customWidth="1"/>
    <col min="2069" max="2069" width="11.140625" style="2" customWidth="1"/>
    <col min="2070" max="2070" width="10.42578125" style="2" customWidth="1"/>
    <col min="2071" max="2080" width="11" style="2" customWidth="1"/>
    <col min="2081" max="2081" width="9.140625" style="2" customWidth="1"/>
    <col min="2082" max="2082" width="6.85546875" style="2" customWidth="1"/>
    <col min="2083" max="2083" width="15" style="2" bestFit="1" customWidth="1"/>
    <col min="2084" max="2308" width="9.140625" style="2"/>
    <col min="2309" max="2309" width="4" style="2" customWidth="1"/>
    <col min="2310" max="2310" width="24.42578125" style="2" customWidth="1"/>
    <col min="2311" max="2311" width="19.85546875" style="2" customWidth="1"/>
    <col min="2312" max="2312" width="9.28515625" style="2" customWidth="1"/>
    <col min="2313" max="2313" width="10" style="2" customWidth="1"/>
    <col min="2314" max="2314" width="8.42578125" style="2" customWidth="1"/>
    <col min="2315" max="2315" width="12.28515625" style="2" customWidth="1"/>
    <col min="2316" max="2316" width="7.5703125" style="2" customWidth="1"/>
    <col min="2317" max="2317" width="7.85546875" style="2" customWidth="1"/>
    <col min="2318" max="2318" width="8.28515625" style="2" customWidth="1"/>
    <col min="2319" max="2319" width="9.140625" style="2"/>
    <col min="2320" max="2322" width="7.5703125" style="2" customWidth="1"/>
    <col min="2323" max="2323" width="10.28515625" style="2" customWidth="1"/>
    <col min="2324" max="2324" width="10.5703125" style="2" customWidth="1"/>
    <col min="2325" max="2325" width="11.140625" style="2" customWidth="1"/>
    <col min="2326" max="2326" width="10.42578125" style="2" customWidth="1"/>
    <col min="2327" max="2336" width="11" style="2" customWidth="1"/>
    <col min="2337" max="2337" width="9.140625" style="2" customWidth="1"/>
    <col min="2338" max="2338" width="6.85546875" style="2" customWidth="1"/>
    <col min="2339" max="2339" width="15" style="2" bestFit="1" customWidth="1"/>
    <col min="2340" max="2564" width="9.140625" style="2"/>
    <col min="2565" max="2565" width="4" style="2" customWidth="1"/>
    <col min="2566" max="2566" width="24.42578125" style="2" customWidth="1"/>
    <col min="2567" max="2567" width="19.85546875" style="2" customWidth="1"/>
    <col min="2568" max="2568" width="9.28515625" style="2" customWidth="1"/>
    <col min="2569" max="2569" width="10" style="2" customWidth="1"/>
    <col min="2570" max="2570" width="8.42578125" style="2" customWidth="1"/>
    <col min="2571" max="2571" width="12.28515625" style="2" customWidth="1"/>
    <col min="2572" max="2572" width="7.5703125" style="2" customWidth="1"/>
    <col min="2573" max="2573" width="7.85546875" style="2" customWidth="1"/>
    <col min="2574" max="2574" width="8.28515625" style="2" customWidth="1"/>
    <col min="2575" max="2575" width="9.140625" style="2"/>
    <col min="2576" max="2578" width="7.5703125" style="2" customWidth="1"/>
    <col min="2579" max="2579" width="10.28515625" style="2" customWidth="1"/>
    <col min="2580" max="2580" width="10.5703125" style="2" customWidth="1"/>
    <col min="2581" max="2581" width="11.140625" style="2" customWidth="1"/>
    <col min="2582" max="2582" width="10.42578125" style="2" customWidth="1"/>
    <col min="2583" max="2592" width="11" style="2" customWidth="1"/>
    <col min="2593" max="2593" width="9.140625" style="2" customWidth="1"/>
    <col min="2594" max="2594" width="6.85546875" style="2" customWidth="1"/>
    <col min="2595" max="2595" width="15" style="2" bestFit="1" customWidth="1"/>
    <col min="2596" max="2820" width="9.140625" style="2"/>
    <col min="2821" max="2821" width="4" style="2" customWidth="1"/>
    <col min="2822" max="2822" width="24.42578125" style="2" customWidth="1"/>
    <col min="2823" max="2823" width="19.85546875" style="2" customWidth="1"/>
    <col min="2824" max="2824" width="9.28515625" style="2" customWidth="1"/>
    <col min="2825" max="2825" width="10" style="2" customWidth="1"/>
    <col min="2826" max="2826" width="8.42578125" style="2" customWidth="1"/>
    <col min="2827" max="2827" width="12.28515625" style="2" customWidth="1"/>
    <col min="2828" max="2828" width="7.5703125" style="2" customWidth="1"/>
    <col min="2829" max="2829" width="7.85546875" style="2" customWidth="1"/>
    <col min="2830" max="2830" width="8.28515625" style="2" customWidth="1"/>
    <col min="2831" max="2831" width="9.140625" style="2"/>
    <col min="2832" max="2834" width="7.5703125" style="2" customWidth="1"/>
    <col min="2835" max="2835" width="10.28515625" style="2" customWidth="1"/>
    <col min="2836" max="2836" width="10.5703125" style="2" customWidth="1"/>
    <col min="2837" max="2837" width="11.140625" style="2" customWidth="1"/>
    <col min="2838" max="2838" width="10.42578125" style="2" customWidth="1"/>
    <col min="2839" max="2848" width="11" style="2" customWidth="1"/>
    <col min="2849" max="2849" width="9.140625" style="2" customWidth="1"/>
    <col min="2850" max="2850" width="6.85546875" style="2" customWidth="1"/>
    <col min="2851" max="2851" width="15" style="2" bestFit="1" customWidth="1"/>
    <col min="2852" max="3076" width="9.140625" style="2"/>
    <col min="3077" max="3077" width="4" style="2" customWidth="1"/>
    <col min="3078" max="3078" width="24.42578125" style="2" customWidth="1"/>
    <col min="3079" max="3079" width="19.85546875" style="2" customWidth="1"/>
    <col min="3080" max="3080" width="9.28515625" style="2" customWidth="1"/>
    <col min="3081" max="3081" width="10" style="2" customWidth="1"/>
    <col min="3082" max="3082" width="8.42578125" style="2" customWidth="1"/>
    <col min="3083" max="3083" width="12.28515625" style="2" customWidth="1"/>
    <col min="3084" max="3084" width="7.5703125" style="2" customWidth="1"/>
    <col min="3085" max="3085" width="7.85546875" style="2" customWidth="1"/>
    <col min="3086" max="3086" width="8.28515625" style="2" customWidth="1"/>
    <col min="3087" max="3087" width="9.140625" style="2"/>
    <col min="3088" max="3090" width="7.5703125" style="2" customWidth="1"/>
    <col min="3091" max="3091" width="10.28515625" style="2" customWidth="1"/>
    <col min="3092" max="3092" width="10.5703125" style="2" customWidth="1"/>
    <col min="3093" max="3093" width="11.140625" style="2" customWidth="1"/>
    <col min="3094" max="3094" width="10.42578125" style="2" customWidth="1"/>
    <col min="3095" max="3104" width="11" style="2" customWidth="1"/>
    <col min="3105" max="3105" width="9.140625" style="2" customWidth="1"/>
    <col min="3106" max="3106" width="6.85546875" style="2" customWidth="1"/>
    <col min="3107" max="3107" width="15" style="2" bestFit="1" customWidth="1"/>
    <col min="3108" max="3332" width="9.140625" style="2"/>
    <col min="3333" max="3333" width="4" style="2" customWidth="1"/>
    <col min="3334" max="3334" width="24.42578125" style="2" customWidth="1"/>
    <col min="3335" max="3335" width="19.85546875" style="2" customWidth="1"/>
    <col min="3336" max="3336" width="9.28515625" style="2" customWidth="1"/>
    <col min="3337" max="3337" width="10" style="2" customWidth="1"/>
    <col min="3338" max="3338" width="8.42578125" style="2" customWidth="1"/>
    <col min="3339" max="3339" width="12.28515625" style="2" customWidth="1"/>
    <col min="3340" max="3340" width="7.5703125" style="2" customWidth="1"/>
    <col min="3341" max="3341" width="7.85546875" style="2" customWidth="1"/>
    <col min="3342" max="3342" width="8.28515625" style="2" customWidth="1"/>
    <col min="3343" max="3343" width="9.140625" style="2"/>
    <col min="3344" max="3346" width="7.5703125" style="2" customWidth="1"/>
    <col min="3347" max="3347" width="10.28515625" style="2" customWidth="1"/>
    <col min="3348" max="3348" width="10.5703125" style="2" customWidth="1"/>
    <col min="3349" max="3349" width="11.140625" style="2" customWidth="1"/>
    <col min="3350" max="3350" width="10.42578125" style="2" customWidth="1"/>
    <col min="3351" max="3360" width="11" style="2" customWidth="1"/>
    <col min="3361" max="3361" width="9.140625" style="2" customWidth="1"/>
    <col min="3362" max="3362" width="6.85546875" style="2" customWidth="1"/>
    <col min="3363" max="3363" width="15" style="2" bestFit="1" customWidth="1"/>
    <col min="3364" max="3588" width="9.140625" style="2"/>
    <col min="3589" max="3589" width="4" style="2" customWidth="1"/>
    <col min="3590" max="3590" width="24.42578125" style="2" customWidth="1"/>
    <col min="3591" max="3591" width="19.85546875" style="2" customWidth="1"/>
    <col min="3592" max="3592" width="9.28515625" style="2" customWidth="1"/>
    <col min="3593" max="3593" width="10" style="2" customWidth="1"/>
    <col min="3594" max="3594" width="8.42578125" style="2" customWidth="1"/>
    <col min="3595" max="3595" width="12.28515625" style="2" customWidth="1"/>
    <col min="3596" max="3596" width="7.5703125" style="2" customWidth="1"/>
    <col min="3597" max="3597" width="7.85546875" style="2" customWidth="1"/>
    <col min="3598" max="3598" width="8.28515625" style="2" customWidth="1"/>
    <col min="3599" max="3599" width="9.140625" style="2"/>
    <col min="3600" max="3602" width="7.5703125" style="2" customWidth="1"/>
    <col min="3603" max="3603" width="10.28515625" style="2" customWidth="1"/>
    <col min="3604" max="3604" width="10.5703125" style="2" customWidth="1"/>
    <col min="3605" max="3605" width="11.140625" style="2" customWidth="1"/>
    <col min="3606" max="3606" width="10.42578125" style="2" customWidth="1"/>
    <col min="3607" max="3616" width="11" style="2" customWidth="1"/>
    <col min="3617" max="3617" width="9.140625" style="2" customWidth="1"/>
    <col min="3618" max="3618" width="6.85546875" style="2" customWidth="1"/>
    <col min="3619" max="3619" width="15" style="2" bestFit="1" customWidth="1"/>
    <col min="3620" max="3844" width="9.140625" style="2"/>
    <col min="3845" max="3845" width="4" style="2" customWidth="1"/>
    <col min="3846" max="3846" width="24.42578125" style="2" customWidth="1"/>
    <col min="3847" max="3847" width="19.85546875" style="2" customWidth="1"/>
    <col min="3848" max="3848" width="9.28515625" style="2" customWidth="1"/>
    <col min="3849" max="3849" width="10" style="2" customWidth="1"/>
    <col min="3850" max="3850" width="8.42578125" style="2" customWidth="1"/>
    <col min="3851" max="3851" width="12.28515625" style="2" customWidth="1"/>
    <col min="3852" max="3852" width="7.5703125" style="2" customWidth="1"/>
    <col min="3853" max="3853" width="7.85546875" style="2" customWidth="1"/>
    <col min="3854" max="3854" width="8.28515625" style="2" customWidth="1"/>
    <col min="3855" max="3855" width="9.140625" style="2"/>
    <col min="3856" max="3858" width="7.5703125" style="2" customWidth="1"/>
    <col min="3859" max="3859" width="10.28515625" style="2" customWidth="1"/>
    <col min="3860" max="3860" width="10.5703125" style="2" customWidth="1"/>
    <col min="3861" max="3861" width="11.140625" style="2" customWidth="1"/>
    <col min="3862" max="3862" width="10.42578125" style="2" customWidth="1"/>
    <col min="3863" max="3872" width="11" style="2" customWidth="1"/>
    <col min="3873" max="3873" width="9.140625" style="2" customWidth="1"/>
    <col min="3874" max="3874" width="6.85546875" style="2" customWidth="1"/>
    <col min="3875" max="3875" width="15" style="2" bestFit="1" customWidth="1"/>
    <col min="3876" max="4100" width="9.140625" style="2"/>
    <col min="4101" max="4101" width="4" style="2" customWidth="1"/>
    <col min="4102" max="4102" width="24.42578125" style="2" customWidth="1"/>
    <col min="4103" max="4103" width="19.85546875" style="2" customWidth="1"/>
    <col min="4104" max="4104" width="9.28515625" style="2" customWidth="1"/>
    <col min="4105" max="4105" width="10" style="2" customWidth="1"/>
    <col min="4106" max="4106" width="8.42578125" style="2" customWidth="1"/>
    <col min="4107" max="4107" width="12.28515625" style="2" customWidth="1"/>
    <col min="4108" max="4108" width="7.5703125" style="2" customWidth="1"/>
    <col min="4109" max="4109" width="7.85546875" style="2" customWidth="1"/>
    <col min="4110" max="4110" width="8.28515625" style="2" customWidth="1"/>
    <col min="4111" max="4111" width="9.140625" style="2"/>
    <col min="4112" max="4114" width="7.5703125" style="2" customWidth="1"/>
    <col min="4115" max="4115" width="10.28515625" style="2" customWidth="1"/>
    <col min="4116" max="4116" width="10.5703125" style="2" customWidth="1"/>
    <col min="4117" max="4117" width="11.140625" style="2" customWidth="1"/>
    <col min="4118" max="4118" width="10.42578125" style="2" customWidth="1"/>
    <col min="4119" max="4128" width="11" style="2" customWidth="1"/>
    <col min="4129" max="4129" width="9.140625" style="2" customWidth="1"/>
    <col min="4130" max="4130" width="6.85546875" style="2" customWidth="1"/>
    <col min="4131" max="4131" width="15" style="2" bestFit="1" customWidth="1"/>
    <col min="4132" max="4356" width="9.140625" style="2"/>
    <col min="4357" max="4357" width="4" style="2" customWidth="1"/>
    <col min="4358" max="4358" width="24.42578125" style="2" customWidth="1"/>
    <col min="4359" max="4359" width="19.85546875" style="2" customWidth="1"/>
    <col min="4360" max="4360" width="9.28515625" style="2" customWidth="1"/>
    <col min="4361" max="4361" width="10" style="2" customWidth="1"/>
    <col min="4362" max="4362" width="8.42578125" style="2" customWidth="1"/>
    <col min="4363" max="4363" width="12.28515625" style="2" customWidth="1"/>
    <col min="4364" max="4364" width="7.5703125" style="2" customWidth="1"/>
    <col min="4365" max="4365" width="7.85546875" style="2" customWidth="1"/>
    <col min="4366" max="4366" width="8.28515625" style="2" customWidth="1"/>
    <col min="4367" max="4367" width="9.140625" style="2"/>
    <col min="4368" max="4370" width="7.5703125" style="2" customWidth="1"/>
    <col min="4371" max="4371" width="10.28515625" style="2" customWidth="1"/>
    <col min="4372" max="4372" width="10.5703125" style="2" customWidth="1"/>
    <col min="4373" max="4373" width="11.140625" style="2" customWidth="1"/>
    <col min="4374" max="4374" width="10.42578125" style="2" customWidth="1"/>
    <col min="4375" max="4384" width="11" style="2" customWidth="1"/>
    <col min="4385" max="4385" width="9.140625" style="2" customWidth="1"/>
    <col min="4386" max="4386" width="6.85546875" style="2" customWidth="1"/>
    <col min="4387" max="4387" width="15" style="2" bestFit="1" customWidth="1"/>
    <col min="4388" max="4612" width="9.140625" style="2"/>
    <col min="4613" max="4613" width="4" style="2" customWidth="1"/>
    <col min="4614" max="4614" width="24.42578125" style="2" customWidth="1"/>
    <col min="4615" max="4615" width="19.85546875" style="2" customWidth="1"/>
    <col min="4616" max="4616" width="9.28515625" style="2" customWidth="1"/>
    <col min="4617" max="4617" width="10" style="2" customWidth="1"/>
    <col min="4618" max="4618" width="8.42578125" style="2" customWidth="1"/>
    <col min="4619" max="4619" width="12.28515625" style="2" customWidth="1"/>
    <col min="4620" max="4620" width="7.5703125" style="2" customWidth="1"/>
    <col min="4621" max="4621" width="7.85546875" style="2" customWidth="1"/>
    <col min="4622" max="4622" width="8.28515625" style="2" customWidth="1"/>
    <col min="4623" max="4623" width="9.140625" style="2"/>
    <col min="4624" max="4626" width="7.5703125" style="2" customWidth="1"/>
    <col min="4627" max="4627" width="10.28515625" style="2" customWidth="1"/>
    <col min="4628" max="4628" width="10.5703125" style="2" customWidth="1"/>
    <col min="4629" max="4629" width="11.140625" style="2" customWidth="1"/>
    <col min="4630" max="4630" width="10.42578125" style="2" customWidth="1"/>
    <col min="4631" max="4640" width="11" style="2" customWidth="1"/>
    <col min="4641" max="4641" width="9.140625" style="2" customWidth="1"/>
    <col min="4642" max="4642" width="6.85546875" style="2" customWidth="1"/>
    <col min="4643" max="4643" width="15" style="2" bestFit="1" customWidth="1"/>
    <col min="4644" max="4868" width="9.140625" style="2"/>
    <col min="4869" max="4869" width="4" style="2" customWidth="1"/>
    <col min="4870" max="4870" width="24.42578125" style="2" customWidth="1"/>
    <col min="4871" max="4871" width="19.85546875" style="2" customWidth="1"/>
    <col min="4872" max="4872" width="9.28515625" style="2" customWidth="1"/>
    <col min="4873" max="4873" width="10" style="2" customWidth="1"/>
    <col min="4874" max="4874" width="8.42578125" style="2" customWidth="1"/>
    <col min="4875" max="4875" width="12.28515625" style="2" customWidth="1"/>
    <col min="4876" max="4876" width="7.5703125" style="2" customWidth="1"/>
    <col min="4877" max="4877" width="7.85546875" style="2" customWidth="1"/>
    <col min="4878" max="4878" width="8.28515625" style="2" customWidth="1"/>
    <col min="4879" max="4879" width="9.140625" style="2"/>
    <col min="4880" max="4882" width="7.5703125" style="2" customWidth="1"/>
    <col min="4883" max="4883" width="10.28515625" style="2" customWidth="1"/>
    <col min="4884" max="4884" width="10.5703125" style="2" customWidth="1"/>
    <col min="4885" max="4885" width="11.140625" style="2" customWidth="1"/>
    <col min="4886" max="4886" width="10.42578125" style="2" customWidth="1"/>
    <col min="4887" max="4896" width="11" style="2" customWidth="1"/>
    <col min="4897" max="4897" width="9.140625" style="2" customWidth="1"/>
    <col min="4898" max="4898" width="6.85546875" style="2" customWidth="1"/>
    <col min="4899" max="4899" width="15" style="2" bestFit="1" customWidth="1"/>
    <col min="4900" max="5124" width="9.140625" style="2"/>
    <col min="5125" max="5125" width="4" style="2" customWidth="1"/>
    <col min="5126" max="5126" width="24.42578125" style="2" customWidth="1"/>
    <col min="5127" max="5127" width="19.85546875" style="2" customWidth="1"/>
    <col min="5128" max="5128" width="9.28515625" style="2" customWidth="1"/>
    <col min="5129" max="5129" width="10" style="2" customWidth="1"/>
    <col min="5130" max="5130" width="8.42578125" style="2" customWidth="1"/>
    <col min="5131" max="5131" width="12.28515625" style="2" customWidth="1"/>
    <col min="5132" max="5132" width="7.5703125" style="2" customWidth="1"/>
    <col min="5133" max="5133" width="7.85546875" style="2" customWidth="1"/>
    <col min="5134" max="5134" width="8.28515625" style="2" customWidth="1"/>
    <col min="5135" max="5135" width="9.140625" style="2"/>
    <col min="5136" max="5138" width="7.5703125" style="2" customWidth="1"/>
    <col min="5139" max="5139" width="10.28515625" style="2" customWidth="1"/>
    <col min="5140" max="5140" width="10.5703125" style="2" customWidth="1"/>
    <col min="5141" max="5141" width="11.140625" style="2" customWidth="1"/>
    <col min="5142" max="5142" width="10.42578125" style="2" customWidth="1"/>
    <col min="5143" max="5152" width="11" style="2" customWidth="1"/>
    <col min="5153" max="5153" width="9.140625" style="2" customWidth="1"/>
    <col min="5154" max="5154" width="6.85546875" style="2" customWidth="1"/>
    <col min="5155" max="5155" width="15" style="2" bestFit="1" customWidth="1"/>
    <col min="5156" max="5380" width="9.140625" style="2"/>
    <col min="5381" max="5381" width="4" style="2" customWidth="1"/>
    <col min="5382" max="5382" width="24.42578125" style="2" customWidth="1"/>
    <col min="5383" max="5383" width="19.85546875" style="2" customWidth="1"/>
    <col min="5384" max="5384" width="9.28515625" style="2" customWidth="1"/>
    <col min="5385" max="5385" width="10" style="2" customWidth="1"/>
    <col min="5386" max="5386" width="8.42578125" style="2" customWidth="1"/>
    <col min="5387" max="5387" width="12.28515625" style="2" customWidth="1"/>
    <col min="5388" max="5388" width="7.5703125" style="2" customWidth="1"/>
    <col min="5389" max="5389" width="7.85546875" style="2" customWidth="1"/>
    <col min="5390" max="5390" width="8.28515625" style="2" customWidth="1"/>
    <col min="5391" max="5391" width="9.140625" style="2"/>
    <col min="5392" max="5394" width="7.5703125" style="2" customWidth="1"/>
    <col min="5395" max="5395" width="10.28515625" style="2" customWidth="1"/>
    <col min="5396" max="5396" width="10.5703125" style="2" customWidth="1"/>
    <col min="5397" max="5397" width="11.140625" style="2" customWidth="1"/>
    <col min="5398" max="5398" width="10.42578125" style="2" customWidth="1"/>
    <col min="5399" max="5408" width="11" style="2" customWidth="1"/>
    <col min="5409" max="5409" width="9.140625" style="2" customWidth="1"/>
    <col min="5410" max="5410" width="6.85546875" style="2" customWidth="1"/>
    <col min="5411" max="5411" width="15" style="2" bestFit="1" customWidth="1"/>
    <col min="5412" max="5636" width="9.140625" style="2"/>
    <col min="5637" max="5637" width="4" style="2" customWidth="1"/>
    <col min="5638" max="5638" width="24.42578125" style="2" customWidth="1"/>
    <col min="5639" max="5639" width="19.85546875" style="2" customWidth="1"/>
    <col min="5640" max="5640" width="9.28515625" style="2" customWidth="1"/>
    <col min="5641" max="5641" width="10" style="2" customWidth="1"/>
    <col min="5642" max="5642" width="8.42578125" style="2" customWidth="1"/>
    <col min="5643" max="5643" width="12.28515625" style="2" customWidth="1"/>
    <col min="5644" max="5644" width="7.5703125" style="2" customWidth="1"/>
    <col min="5645" max="5645" width="7.85546875" style="2" customWidth="1"/>
    <col min="5646" max="5646" width="8.28515625" style="2" customWidth="1"/>
    <col min="5647" max="5647" width="9.140625" style="2"/>
    <col min="5648" max="5650" width="7.5703125" style="2" customWidth="1"/>
    <col min="5651" max="5651" width="10.28515625" style="2" customWidth="1"/>
    <col min="5652" max="5652" width="10.5703125" style="2" customWidth="1"/>
    <col min="5653" max="5653" width="11.140625" style="2" customWidth="1"/>
    <col min="5654" max="5654" width="10.42578125" style="2" customWidth="1"/>
    <col min="5655" max="5664" width="11" style="2" customWidth="1"/>
    <col min="5665" max="5665" width="9.140625" style="2" customWidth="1"/>
    <col min="5666" max="5666" width="6.85546875" style="2" customWidth="1"/>
    <col min="5667" max="5667" width="15" style="2" bestFit="1" customWidth="1"/>
    <col min="5668" max="5892" width="9.140625" style="2"/>
    <col min="5893" max="5893" width="4" style="2" customWidth="1"/>
    <col min="5894" max="5894" width="24.42578125" style="2" customWidth="1"/>
    <col min="5895" max="5895" width="19.85546875" style="2" customWidth="1"/>
    <col min="5896" max="5896" width="9.28515625" style="2" customWidth="1"/>
    <col min="5897" max="5897" width="10" style="2" customWidth="1"/>
    <col min="5898" max="5898" width="8.42578125" style="2" customWidth="1"/>
    <col min="5899" max="5899" width="12.28515625" style="2" customWidth="1"/>
    <col min="5900" max="5900" width="7.5703125" style="2" customWidth="1"/>
    <col min="5901" max="5901" width="7.85546875" style="2" customWidth="1"/>
    <col min="5902" max="5902" width="8.28515625" style="2" customWidth="1"/>
    <col min="5903" max="5903" width="9.140625" style="2"/>
    <col min="5904" max="5906" width="7.5703125" style="2" customWidth="1"/>
    <col min="5907" max="5907" width="10.28515625" style="2" customWidth="1"/>
    <col min="5908" max="5908" width="10.5703125" style="2" customWidth="1"/>
    <col min="5909" max="5909" width="11.140625" style="2" customWidth="1"/>
    <col min="5910" max="5910" width="10.42578125" style="2" customWidth="1"/>
    <col min="5911" max="5920" width="11" style="2" customWidth="1"/>
    <col min="5921" max="5921" width="9.140625" style="2" customWidth="1"/>
    <col min="5922" max="5922" width="6.85546875" style="2" customWidth="1"/>
    <col min="5923" max="5923" width="15" style="2" bestFit="1" customWidth="1"/>
    <col min="5924" max="6148" width="9.140625" style="2"/>
    <col min="6149" max="6149" width="4" style="2" customWidth="1"/>
    <col min="6150" max="6150" width="24.42578125" style="2" customWidth="1"/>
    <col min="6151" max="6151" width="19.85546875" style="2" customWidth="1"/>
    <col min="6152" max="6152" width="9.28515625" style="2" customWidth="1"/>
    <col min="6153" max="6153" width="10" style="2" customWidth="1"/>
    <col min="6154" max="6154" width="8.42578125" style="2" customWidth="1"/>
    <col min="6155" max="6155" width="12.28515625" style="2" customWidth="1"/>
    <col min="6156" max="6156" width="7.5703125" style="2" customWidth="1"/>
    <col min="6157" max="6157" width="7.85546875" style="2" customWidth="1"/>
    <col min="6158" max="6158" width="8.28515625" style="2" customWidth="1"/>
    <col min="6159" max="6159" width="9.140625" style="2"/>
    <col min="6160" max="6162" width="7.5703125" style="2" customWidth="1"/>
    <col min="6163" max="6163" width="10.28515625" style="2" customWidth="1"/>
    <col min="6164" max="6164" width="10.5703125" style="2" customWidth="1"/>
    <col min="6165" max="6165" width="11.140625" style="2" customWidth="1"/>
    <col min="6166" max="6166" width="10.42578125" style="2" customWidth="1"/>
    <col min="6167" max="6176" width="11" style="2" customWidth="1"/>
    <col min="6177" max="6177" width="9.140625" style="2" customWidth="1"/>
    <col min="6178" max="6178" width="6.85546875" style="2" customWidth="1"/>
    <col min="6179" max="6179" width="15" style="2" bestFit="1" customWidth="1"/>
    <col min="6180" max="6404" width="9.140625" style="2"/>
    <col min="6405" max="6405" width="4" style="2" customWidth="1"/>
    <col min="6406" max="6406" width="24.42578125" style="2" customWidth="1"/>
    <col min="6407" max="6407" width="19.85546875" style="2" customWidth="1"/>
    <col min="6408" max="6408" width="9.28515625" style="2" customWidth="1"/>
    <col min="6409" max="6409" width="10" style="2" customWidth="1"/>
    <col min="6410" max="6410" width="8.42578125" style="2" customWidth="1"/>
    <col min="6411" max="6411" width="12.28515625" style="2" customWidth="1"/>
    <col min="6412" max="6412" width="7.5703125" style="2" customWidth="1"/>
    <col min="6413" max="6413" width="7.85546875" style="2" customWidth="1"/>
    <col min="6414" max="6414" width="8.28515625" style="2" customWidth="1"/>
    <col min="6415" max="6415" width="9.140625" style="2"/>
    <col min="6416" max="6418" width="7.5703125" style="2" customWidth="1"/>
    <col min="6419" max="6419" width="10.28515625" style="2" customWidth="1"/>
    <col min="6420" max="6420" width="10.5703125" style="2" customWidth="1"/>
    <col min="6421" max="6421" width="11.140625" style="2" customWidth="1"/>
    <col min="6422" max="6422" width="10.42578125" style="2" customWidth="1"/>
    <col min="6423" max="6432" width="11" style="2" customWidth="1"/>
    <col min="6433" max="6433" width="9.140625" style="2" customWidth="1"/>
    <col min="6434" max="6434" width="6.85546875" style="2" customWidth="1"/>
    <col min="6435" max="6435" width="15" style="2" bestFit="1" customWidth="1"/>
    <col min="6436" max="6660" width="9.140625" style="2"/>
    <col min="6661" max="6661" width="4" style="2" customWidth="1"/>
    <col min="6662" max="6662" width="24.42578125" style="2" customWidth="1"/>
    <col min="6663" max="6663" width="19.85546875" style="2" customWidth="1"/>
    <col min="6664" max="6664" width="9.28515625" style="2" customWidth="1"/>
    <col min="6665" max="6665" width="10" style="2" customWidth="1"/>
    <col min="6666" max="6666" width="8.42578125" style="2" customWidth="1"/>
    <col min="6667" max="6667" width="12.28515625" style="2" customWidth="1"/>
    <col min="6668" max="6668" width="7.5703125" style="2" customWidth="1"/>
    <col min="6669" max="6669" width="7.85546875" style="2" customWidth="1"/>
    <col min="6670" max="6670" width="8.28515625" style="2" customWidth="1"/>
    <col min="6671" max="6671" width="9.140625" style="2"/>
    <col min="6672" max="6674" width="7.5703125" style="2" customWidth="1"/>
    <col min="6675" max="6675" width="10.28515625" style="2" customWidth="1"/>
    <col min="6676" max="6676" width="10.5703125" style="2" customWidth="1"/>
    <col min="6677" max="6677" width="11.140625" style="2" customWidth="1"/>
    <col min="6678" max="6678" width="10.42578125" style="2" customWidth="1"/>
    <col min="6679" max="6688" width="11" style="2" customWidth="1"/>
    <col min="6689" max="6689" width="9.140625" style="2" customWidth="1"/>
    <col min="6690" max="6690" width="6.85546875" style="2" customWidth="1"/>
    <col min="6691" max="6691" width="15" style="2" bestFit="1" customWidth="1"/>
    <col min="6692" max="6916" width="9.140625" style="2"/>
    <col min="6917" max="6917" width="4" style="2" customWidth="1"/>
    <col min="6918" max="6918" width="24.42578125" style="2" customWidth="1"/>
    <col min="6919" max="6919" width="19.85546875" style="2" customWidth="1"/>
    <col min="6920" max="6920" width="9.28515625" style="2" customWidth="1"/>
    <col min="6921" max="6921" width="10" style="2" customWidth="1"/>
    <col min="6922" max="6922" width="8.42578125" style="2" customWidth="1"/>
    <col min="6923" max="6923" width="12.28515625" style="2" customWidth="1"/>
    <col min="6924" max="6924" width="7.5703125" style="2" customWidth="1"/>
    <col min="6925" max="6925" width="7.85546875" style="2" customWidth="1"/>
    <col min="6926" max="6926" width="8.28515625" style="2" customWidth="1"/>
    <col min="6927" max="6927" width="9.140625" style="2"/>
    <col min="6928" max="6930" width="7.5703125" style="2" customWidth="1"/>
    <col min="6931" max="6931" width="10.28515625" style="2" customWidth="1"/>
    <col min="6932" max="6932" width="10.5703125" style="2" customWidth="1"/>
    <col min="6933" max="6933" width="11.140625" style="2" customWidth="1"/>
    <col min="6934" max="6934" width="10.42578125" style="2" customWidth="1"/>
    <col min="6935" max="6944" width="11" style="2" customWidth="1"/>
    <col min="6945" max="6945" width="9.140625" style="2" customWidth="1"/>
    <col min="6946" max="6946" width="6.85546875" style="2" customWidth="1"/>
    <col min="6947" max="6947" width="15" style="2" bestFit="1" customWidth="1"/>
    <col min="6948" max="7172" width="9.140625" style="2"/>
    <col min="7173" max="7173" width="4" style="2" customWidth="1"/>
    <col min="7174" max="7174" width="24.42578125" style="2" customWidth="1"/>
    <col min="7175" max="7175" width="19.85546875" style="2" customWidth="1"/>
    <col min="7176" max="7176" width="9.28515625" style="2" customWidth="1"/>
    <col min="7177" max="7177" width="10" style="2" customWidth="1"/>
    <col min="7178" max="7178" width="8.42578125" style="2" customWidth="1"/>
    <col min="7179" max="7179" width="12.28515625" style="2" customWidth="1"/>
    <col min="7180" max="7180" width="7.5703125" style="2" customWidth="1"/>
    <col min="7181" max="7181" width="7.85546875" style="2" customWidth="1"/>
    <col min="7182" max="7182" width="8.28515625" style="2" customWidth="1"/>
    <col min="7183" max="7183" width="9.140625" style="2"/>
    <col min="7184" max="7186" width="7.5703125" style="2" customWidth="1"/>
    <col min="7187" max="7187" width="10.28515625" style="2" customWidth="1"/>
    <col min="7188" max="7188" width="10.5703125" style="2" customWidth="1"/>
    <col min="7189" max="7189" width="11.140625" style="2" customWidth="1"/>
    <col min="7190" max="7190" width="10.42578125" style="2" customWidth="1"/>
    <col min="7191" max="7200" width="11" style="2" customWidth="1"/>
    <col min="7201" max="7201" width="9.140625" style="2" customWidth="1"/>
    <col min="7202" max="7202" width="6.85546875" style="2" customWidth="1"/>
    <col min="7203" max="7203" width="15" style="2" bestFit="1" customWidth="1"/>
    <col min="7204" max="7428" width="9.140625" style="2"/>
    <col min="7429" max="7429" width="4" style="2" customWidth="1"/>
    <col min="7430" max="7430" width="24.42578125" style="2" customWidth="1"/>
    <col min="7431" max="7431" width="19.85546875" style="2" customWidth="1"/>
    <col min="7432" max="7432" width="9.28515625" style="2" customWidth="1"/>
    <col min="7433" max="7433" width="10" style="2" customWidth="1"/>
    <col min="7434" max="7434" width="8.42578125" style="2" customWidth="1"/>
    <col min="7435" max="7435" width="12.28515625" style="2" customWidth="1"/>
    <col min="7436" max="7436" width="7.5703125" style="2" customWidth="1"/>
    <col min="7437" max="7437" width="7.85546875" style="2" customWidth="1"/>
    <col min="7438" max="7438" width="8.28515625" style="2" customWidth="1"/>
    <col min="7439" max="7439" width="9.140625" style="2"/>
    <col min="7440" max="7442" width="7.5703125" style="2" customWidth="1"/>
    <col min="7443" max="7443" width="10.28515625" style="2" customWidth="1"/>
    <col min="7444" max="7444" width="10.5703125" style="2" customWidth="1"/>
    <col min="7445" max="7445" width="11.140625" style="2" customWidth="1"/>
    <col min="7446" max="7446" width="10.42578125" style="2" customWidth="1"/>
    <col min="7447" max="7456" width="11" style="2" customWidth="1"/>
    <col min="7457" max="7457" width="9.140625" style="2" customWidth="1"/>
    <col min="7458" max="7458" width="6.85546875" style="2" customWidth="1"/>
    <col min="7459" max="7459" width="15" style="2" bestFit="1" customWidth="1"/>
    <col min="7460" max="7684" width="9.140625" style="2"/>
    <col min="7685" max="7685" width="4" style="2" customWidth="1"/>
    <col min="7686" max="7686" width="24.42578125" style="2" customWidth="1"/>
    <col min="7687" max="7687" width="19.85546875" style="2" customWidth="1"/>
    <col min="7688" max="7688" width="9.28515625" style="2" customWidth="1"/>
    <col min="7689" max="7689" width="10" style="2" customWidth="1"/>
    <col min="7690" max="7690" width="8.42578125" style="2" customWidth="1"/>
    <col min="7691" max="7691" width="12.28515625" style="2" customWidth="1"/>
    <col min="7692" max="7692" width="7.5703125" style="2" customWidth="1"/>
    <col min="7693" max="7693" width="7.85546875" style="2" customWidth="1"/>
    <col min="7694" max="7694" width="8.28515625" style="2" customWidth="1"/>
    <col min="7695" max="7695" width="9.140625" style="2"/>
    <col min="7696" max="7698" width="7.5703125" style="2" customWidth="1"/>
    <col min="7699" max="7699" width="10.28515625" style="2" customWidth="1"/>
    <col min="7700" max="7700" width="10.5703125" style="2" customWidth="1"/>
    <col min="7701" max="7701" width="11.140625" style="2" customWidth="1"/>
    <col min="7702" max="7702" width="10.42578125" style="2" customWidth="1"/>
    <col min="7703" max="7712" width="11" style="2" customWidth="1"/>
    <col min="7713" max="7713" width="9.140625" style="2" customWidth="1"/>
    <col min="7714" max="7714" width="6.85546875" style="2" customWidth="1"/>
    <col min="7715" max="7715" width="15" style="2" bestFit="1" customWidth="1"/>
    <col min="7716" max="7940" width="9.140625" style="2"/>
    <col min="7941" max="7941" width="4" style="2" customWidth="1"/>
    <col min="7942" max="7942" width="24.42578125" style="2" customWidth="1"/>
    <col min="7943" max="7943" width="19.85546875" style="2" customWidth="1"/>
    <col min="7944" max="7944" width="9.28515625" style="2" customWidth="1"/>
    <col min="7945" max="7945" width="10" style="2" customWidth="1"/>
    <col min="7946" max="7946" width="8.42578125" style="2" customWidth="1"/>
    <col min="7947" max="7947" width="12.28515625" style="2" customWidth="1"/>
    <col min="7948" max="7948" width="7.5703125" style="2" customWidth="1"/>
    <col min="7949" max="7949" width="7.85546875" style="2" customWidth="1"/>
    <col min="7950" max="7950" width="8.28515625" style="2" customWidth="1"/>
    <col min="7951" max="7951" width="9.140625" style="2"/>
    <col min="7952" max="7954" width="7.5703125" style="2" customWidth="1"/>
    <col min="7955" max="7955" width="10.28515625" style="2" customWidth="1"/>
    <col min="7956" max="7956" width="10.5703125" style="2" customWidth="1"/>
    <col min="7957" max="7957" width="11.140625" style="2" customWidth="1"/>
    <col min="7958" max="7958" width="10.42578125" style="2" customWidth="1"/>
    <col min="7959" max="7968" width="11" style="2" customWidth="1"/>
    <col min="7969" max="7969" width="9.140625" style="2" customWidth="1"/>
    <col min="7970" max="7970" width="6.85546875" style="2" customWidth="1"/>
    <col min="7971" max="7971" width="15" style="2" bestFit="1" customWidth="1"/>
    <col min="7972" max="8196" width="9.140625" style="2"/>
    <col min="8197" max="8197" width="4" style="2" customWidth="1"/>
    <col min="8198" max="8198" width="24.42578125" style="2" customWidth="1"/>
    <col min="8199" max="8199" width="19.85546875" style="2" customWidth="1"/>
    <col min="8200" max="8200" width="9.28515625" style="2" customWidth="1"/>
    <col min="8201" max="8201" width="10" style="2" customWidth="1"/>
    <col min="8202" max="8202" width="8.42578125" style="2" customWidth="1"/>
    <col min="8203" max="8203" width="12.28515625" style="2" customWidth="1"/>
    <col min="8204" max="8204" width="7.5703125" style="2" customWidth="1"/>
    <col min="8205" max="8205" width="7.85546875" style="2" customWidth="1"/>
    <col min="8206" max="8206" width="8.28515625" style="2" customWidth="1"/>
    <col min="8207" max="8207" width="9.140625" style="2"/>
    <col min="8208" max="8210" width="7.5703125" style="2" customWidth="1"/>
    <col min="8211" max="8211" width="10.28515625" style="2" customWidth="1"/>
    <col min="8212" max="8212" width="10.5703125" style="2" customWidth="1"/>
    <col min="8213" max="8213" width="11.140625" style="2" customWidth="1"/>
    <col min="8214" max="8214" width="10.42578125" style="2" customWidth="1"/>
    <col min="8215" max="8224" width="11" style="2" customWidth="1"/>
    <col min="8225" max="8225" width="9.140625" style="2" customWidth="1"/>
    <col min="8226" max="8226" width="6.85546875" style="2" customWidth="1"/>
    <col min="8227" max="8227" width="15" style="2" bestFit="1" customWidth="1"/>
    <col min="8228" max="8452" width="9.140625" style="2"/>
    <col min="8453" max="8453" width="4" style="2" customWidth="1"/>
    <col min="8454" max="8454" width="24.42578125" style="2" customWidth="1"/>
    <col min="8455" max="8455" width="19.85546875" style="2" customWidth="1"/>
    <col min="8456" max="8456" width="9.28515625" style="2" customWidth="1"/>
    <col min="8457" max="8457" width="10" style="2" customWidth="1"/>
    <col min="8458" max="8458" width="8.42578125" style="2" customWidth="1"/>
    <col min="8459" max="8459" width="12.28515625" style="2" customWidth="1"/>
    <col min="8460" max="8460" width="7.5703125" style="2" customWidth="1"/>
    <col min="8461" max="8461" width="7.85546875" style="2" customWidth="1"/>
    <col min="8462" max="8462" width="8.28515625" style="2" customWidth="1"/>
    <col min="8463" max="8463" width="9.140625" style="2"/>
    <col min="8464" max="8466" width="7.5703125" style="2" customWidth="1"/>
    <col min="8467" max="8467" width="10.28515625" style="2" customWidth="1"/>
    <col min="8468" max="8468" width="10.5703125" style="2" customWidth="1"/>
    <col min="8469" max="8469" width="11.140625" style="2" customWidth="1"/>
    <col min="8470" max="8470" width="10.42578125" style="2" customWidth="1"/>
    <col min="8471" max="8480" width="11" style="2" customWidth="1"/>
    <col min="8481" max="8481" width="9.140625" style="2" customWidth="1"/>
    <col min="8482" max="8482" width="6.85546875" style="2" customWidth="1"/>
    <col min="8483" max="8483" width="15" style="2" bestFit="1" customWidth="1"/>
    <col min="8484" max="8708" width="9.140625" style="2"/>
    <col min="8709" max="8709" width="4" style="2" customWidth="1"/>
    <col min="8710" max="8710" width="24.42578125" style="2" customWidth="1"/>
    <col min="8711" max="8711" width="19.85546875" style="2" customWidth="1"/>
    <col min="8712" max="8712" width="9.28515625" style="2" customWidth="1"/>
    <col min="8713" max="8713" width="10" style="2" customWidth="1"/>
    <col min="8714" max="8714" width="8.42578125" style="2" customWidth="1"/>
    <col min="8715" max="8715" width="12.28515625" style="2" customWidth="1"/>
    <col min="8716" max="8716" width="7.5703125" style="2" customWidth="1"/>
    <col min="8717" max="8717" width="7.85546875" style="2" customWidth="1"/>
    <col min="8718" max="8718" width="8.28515625" style="2" customWidth="1"/>
    <col min="8719" max="8719" width="9.140625" style="2"/>
    <col min="8720" max="8722" width="7.5703125" style="2" customWidth="1"/>
    <col min="8723" max="8723" width="10.28515625" style="2" customWidth="1"/>
    <col min="8724" max="8724" width="10.5703125" style="2" customWidth="1"/>
    <col min="8725" max="8725" width="11.140625" style="2" customWidth="1"/>
    <col min="8726" max="8726" width="10.42578125" style="2" customWidth="1"/>
    <col min="8727" max="8736" width="11" style="2" customWidth="1"/>
    <col min="8737" max="8737" width="9.140625" style="2" customWidth="1"/>
    <col min="8738" max="8738" width="6.85546875" style="2" customWidth="1"/>
    <col min="8739" max="8739" width="15" style="2" bestFit="1" customWidth="1"/>
    <col min="8740" max="8964" width="9.140625" style="2"/>
    <col min="8965" max="8965" width="4" style="2" customWidth="1"/>
    <col min="8966" max="8966" width="24.42578125" style="2" customWidth="1"/>
    <col min="8967" max="8967" width="19.85546875" style="2" customWidth="1"/>
    <col min="8968" max="8968" width="9.28515625" style="2" customWidth="1"/>
    <col min="8969" max="8969" width="10" style="2" customWidth="1"/>
    <col min="8970" max="8970" width="8.42578125" style="2" customWidth="1"/>
    <col min="8971" max="8971" width="12.28515625" style="2" customWidth="1"/>
    <col min="8972" max="8972" width="7.5703125" style="2" customWidth="1"/>
    <col min="8973" max="8973" width="7.85546875" style="2" customWidth="1"/>
    <col min="8974" max="8974" width="8.28515625" style="2" customWidth="1"/>
    <col min="8975" max="8975" width="9.140625" style="2"/>
    <col min="8976" max="8978" width="7.5703125" style="2" customWidth="1"/>
    <col min="8979" max="8979" width="10.28515625" style="2" customWidth="1"/>
    <col min="8980" max="8980" width="10.5703125" style="2" customWidth="1"/>
    <col min="8981" max="8981" width="11.140625" style="2" customWidth="1"/>
    <col min="8982" max="8982" width="10.42578125" style="2" customWidth="1"/>
    <col min="8983" max="8992" width="11" style="2" customWidth="1"/>
    <col min="8993" max="8993" width="9.140625" style="2" customWidth="1"/>
    <col min="8994" max="8994" width="6.85546875" style="2" customWidth="1"/>
    <col min="8995" max="8995" width="15" style="2" bestFit="1" customWidth="1"/>
    <col min="8996" max="9220" width="9.140625" style="2"/>
    <col min="9221" max="9221" width="4" style="2" customWidth="1"/>
    <col min="9222" max="9222" width="24.42578125" style="2" customWidth="1"/>
    <col min="9223" max="9223" width="19.85546875" style="2" customWidth="1"/>
    <col min="9224" max="9224" width="9.28515625" style="2" customWidth="1"/>
    <col min="9225" max="9225" width="10" style="2" customWidth="1"/>
    <col min="9226" max="9226" width="8.42578125" style="2" customWidth="1"/>
    <col min="9227" max="9227" width="12.28515625" style="2" customWidth="1"/>
    <col min="9228" max="9228" width="7.5703125" style="2" customWidth="1"/>
    <col min="9229" max="9229" width="7.85546875" style="2" customWidth="1"/>
    <col min="9230" max="9230" width="8.28515625" style="2" customWidth="1"/>
    <col min="9231" max="9231" width="9.140625" style="2"/>
    <col min="9232" max="9234" width="7.5703125" style="2" customWidth="1"/>
    <col min="9235" max="9235" width="10.28515625" style="2" customWidth="1"/>
    <col min="9236" max="9236" width="10.5703125" style="2" customWidth="1"/>
    <col min="9237" max="9237" width="11.140625" style="2" customWidth="1"/>
    <col min="9238" max="9238" width="10.42578125" style="2" customWidth="1"/>
    <col min="9239" max="9248" width="11" style="2" customWidth="1"/>
    <col min="9249" max="9249" width="9.140625" style="2" customWidth="1"/>
    <col min="9250" max="9250" width="6.85546875" style="2" customWidth="1"/>
    <col min="9251" max="9251" width="15" style="2" bestFit="1" customWidth="1"/>
    <col min="9252" max="9476" width="9.140625" style="2"/>
    <col min="9477" max="9477" width="4" style="2" customWidth="1"/>
    <col min="9478" max="9478" width="24.42578125" style="2" customWidth="1"/>
    <col min="9479" max="9479" width="19.85546875" style="2" customWidth="1"/>
    <col min="9480" max="9480" width="9.28515625" style="2" customWidth="1"/>
    <col min="9481" max="9481" width="10" style="2" customWidth="1"/>
    <col min="9482" max="9482" width="8.42578125" style="2" customWidth="1"/>
    <col min="9483" max="9483" width="12.28515625" style="2" customWidth="1"/>
    <col min="9484" max="9484" width="7.5703125" style="2" customWidth="1"/>
    <col min="9485" max="9485" width="7.85546875" style="2" customWidth="1"/>
    <col min="9486" max="9486" width="8.28515625" style="2" customWidth="1"/>
    <col min="9487" max="9487" width="9.140625" style="2"/>
    <col min="9488" max="9490" width="7.5703125" style="2" customWidth="1"/>
    <col min="9491" max="9491" width="10.28515625" style="2" customWidth="1"/>
    <col min="9492" max="9492" width="10.5703125" style="2" customWidth="1"/>
    <col min="9493" max="9493" width="11.140625" style="2" customWidth="1"/>
    <col min="9494" max="9494" width="10.42578125" style="2" customWidth="1"/>
    <col min="9495" max="9504" width="11" style="2" customWidth="1"/>
    <col min="9505" max="9505" width="9.140625" style="2" customWidth="1"/>
    <col min="9506" max="9506" width="6.85546875" style="2" customWidth="1"/>
    <col min="9507" max="9507" width="15" style="2" bestFit="1" customWidth="1"/>
    <col min="9508" max="9732" width="9.140625" style="2"/>
    <col min="9733" max="9733" width="4" style="2" customWidth="1"/>
    <col min="9734" max="9734" width="24.42578125" style="2" customWidth="1"/>
    <col min="9735" max="9735" width="19.85546875" style="2" customWidth="1"/>
    <col min="9736" max="9736" width="9.28515625" style="2" customWidth="1"/>
    <col min="9737" max="9737" width="10" style="2" customWidth="1"/>
    <col min="9738" max="9738" width="8.42578125" style="2" customWidth="1"/>
    <col min="9739" max="9739" width="12.28515625" style="2" customWidth="1"/>
    <col min="9740" max="9740" width="7.5703125" style="2" customWidth="1"/>
    <col min="9741" max="9741" width="7.85546875" style="2" customWidth="1"/>
    <col min="9742" max="9742" width="8.28515625" style="2" customWidth="1"/>
    <col min="9743" max="9743" width="9.140625" style="2"/>
    <col min="9744" max="9746" width="7.5703125" style="2" customWidth="1"/>
    <col min="9747" max="9747" width="10.28515625" style="2" customWidth="1"/>
    <col min="9748" max="9748" width="10.5703125" style="2" customWidth="1"/>
    <col min="9749" max="9749" width="11.140625" style="2" customWidth="1"/>
    <col min="9750" max="9750" width="10.42578125" style="2" customWidth="1"/>
    <col min="9751" max="9760" width="11" style="2" customWidth="1"/>
    <col min="9761" max="9761" width="9.140625" style="2" customWidth="1"/>
    <col min="9762" max="9762" width="6.85546875" style="2" customWidth="1"/>
    <col min="9763" max="9763" width="15" style="2" bestFit="1" customWidth="1"/>
    <col min="9764" max="9988" width="9.140625" style="2"/>
    <col min="9989" max="9989" width="4" style="2" customWidth="1"/>
    <col min="9990" max="9990" width="24.42578125" style="2" customWidth="1"/>
    <col min="9991" max="9991" width="19.85546875" style="2" customWidth="1"/>
    <col min="9992" max="9992" width="9.28515625" style="2" customWidth="1"/>
    <col min="9993" max="9993" width="10" style="2" customWidth="1"/>
    <col min="9994" max="9994" width="8.42578125" style="2" customWidth="1"/>
    <col min="9995" max="9995" width="12.28515625" style="2" customWidth="1"/>
    <col min="9996" max="9996" width="7.5703125" style="2" customWidth="1"/>
    <col min="9997" max="9997" width="7.85546875" style="2" customWidth="1"/>
    <col min="9998" max="9998" width="8.28515625" style="2" customWidth="1"/>
    <col min="9999" max="9999" width="9.140625" style="2"/>
    <col min="10000" max="10002" width="7.5703125" style="2" customWidth="1"/>
    <col min="10003" max="10003" width="10.28515625" style="2" customWidth="1"/>
    <col min="10004" max="10004" width="10.5703125" style="2" customWidth="1"/>
    <col min="10005" max="10005" width="11.140625" style="2" customWidth="1"/>
    <col min="10006" max="10006" width="10.42578125" style="2" customWidth="1"/>
    <col min="10007" max="10016" width="11" style="2" customWidth="1"/>
    <col min="10017" max="10017" width="9.140625" style="2" customWidth="1"/>
    <col min="10018" max="10018" width="6.85546875" style="2" customWidth="1"/>
    <col min="10019" max="10019" width="15" style="2" bestFit="1" customWidth="1"/>
    <col min="10020" max="10244" width="9.140625" style="2"/>
    <col min="10245" max="10245" width="4" style="2" customWidth="1"/>
    <col min="10246" max="10246" width="24.42578125" style="2" customWidth="1"/>
    <col min="10247" max="10247" width="19.85546875" style="2" customWidth="1"/>
    <col min="10248" max="10248" width="9.28515625" style="2" customWidth="1"/>
    <col min="10249" max="10249" width="10" style="2" customWidth="1"/>
    <col min="10250" max="10250" width="8.42578125" style="2" customWidth="1"/>
    <col min="10251" max="10251" width="12.28515625" style="2" customWidth="1"/>
    <col min="10252" max="10252" width="7.5703125" style="2" customWidth="1"/>
    <col min="10253" max="10253" width="7.85546875" style="2" customWidth="1"/>
    <col min="10254" max="10254" width="8.28515625" style="2" customWidth="1"/>
    <col min="10255" max="10255" width="9.140625" style="2"/>
    <col min="10256" max="10258" width="7.5703125" style="2" customWidth="1"/>
    <col min="10259" max="10259" width="10.28515625" style="2" customWidth="1"/>
    <col min="10260" max="10260" width="10.5703125" style="2" customWidth="1"/>
    <col min="10261" max="10261" width="11.140625" style="2" customWidth="1"/>
    <col min="10262" max="10262" width="10.42578125" style="2" customWidth="1"/>
    <col min="10263" max="10272" width="11" style="2" customWidth="1"/>
    <col min="10273" max="10273" width="9.140625" style="2" customWidth="1"/>
    <col min="10274" max="10274" width="6.85546875" style="2" customWidth="1"/>
    <col min="10275" max="10275" width="15" style="2" bestFit="1" customWidth="1"/>
    <col min="10276" max="10500" width="9.140625" style="2"/>
    <col min="10501" max="10501" width="4" style="2" customWidth="1"/>
    <col min="10502" max="10502" width="24.42578125" style="2" customWidth="1"/>
    <col min="10503" max="10503" width="19.85546875" style="2" customWidth="1"/>
    <col min="10504" max="10504" width="9.28515625" style="2" customWidth="1"/>
    <col min="10505" max="10505" width="10" style="2" customWidth="1"/>
    <col min="10506" max="10506" width="8.42578125" style="2" customWidth="1"/>
    <col min="10507" max="10507" width="12.28515625" style="2" customWidth="1"/>
    <col min="10508" max="10508" width="7.5703125" style="2" customWidth="1"/>
    <col min="10509" max="10509" width="7.85546875" style="2" customWidth="1"/>
    <col min="10510" max="10510" width="8.28515625" style="2" customWidth="1"/>
    <col min="10511" max="10511" width="9.140625" style="2"/>
    <col min="10512" max="10514" width="7.5703125" style="2" customWidth="1"/>
    <col min="10515" max="10515" width="10.28515625" style="2" customWidth="1"/>
    <col min="10516" max="10516" width="10.5703125" style="2" customWidth="1"/>
    <col min="10517" max="10517" width="11.140625" style="2" customWidth="1"/>
    <col min="10518" max="10518" width="10.42578125" style="2" customWidth="1"/>
    <col min="10519" max="10528" width="11" style="2" customWidth="1"/>
    <col min="10529" max="10529" width="9.140625" style="2" customWidth="1"/>
    <col min="10530" max="10530" width="6.85546875" style="2" customWidth="1"/>
    <col min="10531" max="10531" width="15" style="2" bestFit="1" customWidth="1"/>
    <col min="10532" max="10756" width="9.140625" style="2"/>
    <col min="10757" max="10757" width="4" style="2" customWidth="1"/>
    <col min="10758" max="10758" width="24.42578125" style="2" customWidth="1"/>
    <col min="10759" max="10759" width="19.85546875" style="2" customWidth="1"/>
    <col min="10760" max="10760" width="9.28515625" style="2" customWidth="1"/>
    <col min="10761" max="10761" width="10" style="2" customWidth="1"/>
    <col min="10762" max="10762" width="8.42578125" style="2" customWidth="1"/>
    <col min="10763" max="10763" width="12.28515625" style="2" customWidth="1"/>
    <col min="10764" max="10764" width="7.5703125" style="2" customWidth="1"/>
    <col min="10765" max="10765" width="7.85546875" style="2" customWidth="1"/>
    <col min="10766" max="10766" width="8.28515625" style="2" customWidth="1"/>
    <col min="10767" max="10767" width="9.140625" style="2"/>
    <col min="10768" max="10770" width="7.5703125" style="2" customWidth="1"/>
    <col min="10771" max="10771" width="10.28515625" style="2" customWidth="1"/>
    <col min="10772" max="10772" width="10.5703125" style="2" customWidth="1"/>
    <col min="10773" max="10773" width="11.140625" style="2" customWidth="1"/>
    <col min="10774" max="10774" width="10.42578125" style="2" customWidth="1"/>
    <col min="10775" max="10784" width="11" style="2" customWidth="1"/>
    <col min="10785" max="10785" width="9.140625" style="2" customWidth="1"/>
    <col min="10786" max="10786" width="6.85546875" style="2" customWidth="1"/>
    <col min="10787" max="10787" width="15" style="2" bestFit="1" customWidth="1"/>
    <col min="10788" max="11012" width="9.140625" style="2"/>
    <col min="11013" max="11013" width="4" style="2" customWidth="1"/>
    <col min="11014" max="11014" width="24.42578125" style="2" customWidth="1"/>
    <col min="11015" max="11015" width="19.85546875" style="2" customWidth="1"/>
    <col min="11016" max="11016" width="9.28515625" style="2" customWidth="1"/>
    <col min="11017" max="11017" width="10" style="2" customWidth="1"/>
    <col min="11018" max="11018" width="8.42578125" style="2" customWidth="1"/>
    <col min="11019" max="11019" width="12.28515625" style="2" customWidth="1"/>
    <col min="11020" max="11020" width="7.5703125" style="2" customWidth="1"/>
    <col min="11021" max="11021" width="7.85546875" style="2" customWidth="1"/>
    <col min="11022" max="11022" width="8.28515625" style="2" customWidth="1"/>
    <col min="11023" max="11023" width="9.140625" style="2"/>
    <col min="11024" max="11026" width="7.5703125" style="2" customWidth="1"/>
    <col min="11027" max="11027" width="10.28515625" style="2" customWidth="1"/>
    <col min="11028" max="11028" width="10.5703125" style="2" customWidth="1"/>
    <col min="11029" max="11029" width="11.140625" style="2" customWidth="1"/>
    <col min="11030" max="11030" width="10.42578125" style="2" customWidth="1"/>
    <col min="11031" max="11040" width="11" style="2" customWidth="1"/>
    <col min="11041" max="11041" width="9.140625" style="2" customWidth="1"/>
    <col min="11042" max="11042" width="6.85546875" style="2" customWidth="1"/>
    <col min="11043" max="11043" width="15" style="2" bestFit="1" customWidth="1"/>
    <col min="11044" max="11268" width="9.140625" style="2"/>
    <col min="11269" max="11269" width="4" style="2" customWidth="1"/>
    <col min="11270" max="11270" width="24.42578125" style="2" customWidth="1"/>
    <col min="11271" max="11271" width="19.85546875" style="2" customWidth="1"/>
    <col min="11272" max="11272" width="9.28515625" style="2" customWidth="1"/>
    <col min="11273" max="11273" width="10" style="2" customWidth="1"/>
    <col min="11274" max="11274" width="8.42578125" style="2" customWidth="1"/>
    <col min="11275" max="11275" width="12.28515625" style="2" customWidth="1"/>
    <col min="11276" max="11276" width="7.5703125" style="2" customWidth="1"/>
    <col min="11277" max="11277" width="7.85546875" style="2" customWidth="1"/>
    <col min="11278" max="11278" width="8.28515625" style="2" customWidth="1"/>
    <col min="11279" max="11279" width="9.140625" style="2"/>
    <col min="11280" max="11282" width="7.5703125" style="2" customWidth="1"/>
    <col min="11283" max="11283" width="10.28515625" style="2" customWidth="1"/>
    <col min="11284" max="11284" width="10.5703125" style="2" customWidth="1"/>
    <col min="11285" max="11285" width="11.140625" style="2" customWidth="1"/>
    <col min="11286" max="11286" width="10.42578125" style="2" customWidth="1"/>
    <col min="11287" max="11296" width="11" style="2" customWidth="1"/>
    <col min="11297" max="11297" width="9.140625" style="2" customWidth="1"/>
    <col min="11298" max="11298" width="6.85546875" style="2" customWidth="1"/>
    <col min="11299" max="11299" width="15" style="2" bestFit="1" customWidth="1"/>
    <col min="11300" max="11524" width="9.140625" style="2"/>
    <col min="11525" max="11525" width="4" style="2" customWidth="1"/>
    <col min="11526" max="11526" width="24.42578125" style="2" customWidth="1"/>
    <col min="11527" max="11527" width="19.85546875" style="2" customWidth="1"/>
    <col min="11528" max="11528" width="9.28515625" style="2" customWidth="1"/>
    <col min="11529" max="11529" width="10" style="2" customWidth="1"/>
    <col min="11530" max="11530" width="8.42578125" style="2" customWidth="1"/>
    <col min="11531" max="11531" width="12.28515625" style="2" customWidth="1"/>
    <col min="11532" max="11532" width="7.5703125" style="2" customWidth="1"/>
    <col min="11533" max="11533" width="7.85546875" style="2" customWidth="1"/>
    <col min="11534" max="11534" width="8.28515625" style="2" customWidth="1"/>
    <col min="11535" max="11535" width="9.140625" style="2"/>
    <col min="11536" max="11538" width="7.5703125" style="2" customWidth="1"/>
    <col min="11539" max="11539" width="10.28515625" style="2" customWidth="1"/>
    <col min="11540" max="11540" width="10.5703125" style="2" customWidth="1"/>
    <col min="11541" max="11541" width="11.140625" style="2" customWidth="1"/>
    <col min="11542" max="11542" width="10.42578125" style="2" customWidth="1"/>
    <col min="11543" max="11552" width="11" style="2" customWidth="1"/>
    <col min="11553" max="11553" width="9.140625" style="2" customWidth="1"/>
    <col min="11554" max="11554" width="6.85546875" style="2" customWidth="1"/>
    <col min="11555" max="11555" width="15" style="2" bestFit="1" customWidth="1"/>
    <col min="11556" max="11780" width="9.140625" style="2"/>
    <col min="11781" max="11781" width="4" style="2" customWidth="1"/>
    <col min="11782" max="11782" width="24.42578125" style="2" customWidth="1"/>
    <col min="11783" max="11783" width="19.85546875" style="2" customWidth="1"/>
    <col min="11784" max="11784" width="9.28515625" style="2" customWidth="1"/>
    <col min="11785" max="11785" width="10" style="2" customWidth="1"/>
    <col min="11786" max="11786" width="8.42578125" style="2" customWidth="1"/>
    <col min="11787" max="11787" width="12.28515625" style="2" customWidth="1"/>
    <col min="11788" max="11788" width="7.5703125" style="2" customWidth="1"/>
    <col min="11789" max="11789" width="7.85546875" style="2" customWidth="1"/>
    <col min="11790" max="11790" width="8.28515625" style="2" customWidth="1"/>
    <col min="11791" max="11791" width="9.140625" style="2"/>
    <col min="11792" max="11794" width="7.5703125" style="2" customWidth="1"/>
    <col min="11795" max="11795" width="10.28515625" style="2" customWidth="1"/>
    <col min="11796" max="11796" width="10.5703125" style="2" customWidth="1"/>
    <col min="11797" max="11797" width="11.140625" style="2" customWidth="1"/>
    <col min="11798" max="11798" width="10.42578125" style="2" customWidth="1"/>
    <col min="11799" max="11808" width="11" style="2" customWidth="1"/>
    <col min="11809" max="11809" width="9.140625" style="2" customWidth="1"/>
    <col min="11810" max="11810" width="6.85546875" style="2" customWidth="1"/>
    <col min="11811" max="11811" width="15" style="2" bestFit="1" customWidth="1"/>
    <col min="11812" max="12036" width="9.140625" style="2"/>
    <col min="12037" max="12037" width="4" style="2" customWidth="1"/>
    <col min="12038" max="12038" width="24.42578125" style="2" customWidth="1"/>
    <col min="12039" max="12039" width="19.85546875" style="2" customWidth="1"/>
    <col min="12040" max="12040" width="9.28515625" style="2" customWidth="1"/>
    <col min="12041" max="12041" width="10" style="2" customWidth="1"/>
    <col min="12042" max="12042" width="8.42578125" style="2" customWidth="1"/>
    <col min="12043" max="12043" width="12.28515625" style="2" customWidth="1"/>
    <col min="12044" max="12044" width="7.5703125" style="2" customWidth="1"/>
    <col min="12045" max="12045" width="7.85546875" style="2" customWidth="1"/>
    <col min="12046" max="12046" width="8.28515625" style="2" customWidth="1"/>
    <col min="12047" max="12047" width="9.140625" style="2"/>
    <col min="12048" max="12050" width="7.5703125" style="2" customWidth="1"/>
    <col min="12051" max="12051" width="10.28515625" style="2" customWidth="1"/>
    <col min="12052" max="12052" width="10.5703125" style="2" customWidth="1"/>
    <col min="12053" max="12053" width="11.140625" style="2" customWidth="1"/>
    <col min="12054" max="12054" width="10.42578125" style="2" customWidth="1"/>
    <col min="12055" max="12064" width="11" style="2" customWidth="1"/>
    <col min="12065" max="12065" width="9.140625" style="2" customWidth="1"/>
    <col min="12066" max="12066" width="6.85546875" style="2" customWidth="1"/>
    <col min="12067" max="12067" width="15" style="2" bestFit="1" customWidth="1"/>
    <col min="12068" max="12292" width="9.140625" style="2"/>
    <col min="12293" max="12293" width="4" style="2" customWidth="1"/>
    <col min="12294" max="12294" width="24.42578125" style="2" customWidth="1"/>
    <col min="12295" max="12295" width="19.85546875" style="2" customWidth="1"/>
    <col min="12296" max="12296" width="9.28515625" style="2" customWidth="1"/>
    <col min="12297" max="12297" width="10" style="2" customWidth="1"/>
    <col min="12298" max="12298" width="8.42578125" style="2" customWidth="1"/>
    <col min="12299" max="12299" width="12.28515625" style="2" customWidth="1"/>
    <col min="12300" max="12300" width="7.5703125" style="2" customWidth="1"/>
    <col min="12301" max="12301" width="7.85546875" style="2" customWidth="1"/>
    <col min="12302" max="12302" width="8.28515625" style="2" customWidth="1"/>
    <col min="12303" max="12303" width="9.140625" style="2"/>
    <col min="12304" max="12306" width="7.5703125" style="2" customWidth="1"/>
    <col min="12307" max="12307" width="10.28515625" style="2" customWidth="1"/>
    <col min="12308" max="12308" width="10.5703125" style="2" customWidth="1"/>
    <col min="12309" max="12309" width="11.140625" style="2" customWidth="1"/>
    <col min="12310" max="12310" width="10.42578125" style="2" customWidth="1"/>
    <col min="12311" max="12320" width="11" style="2" customWidth="1"/>
    <col min="12321" max="12321" width="9.140625" style="2" customWidth="1"/>
    <col min="12322" max="12322" width="6.85546875" style="2" customWidth="1"/>
    <col min="12323" max="12323" width="15" style="2" bestFit="1" customWidth="1"/>
    <col min="12324" max="12548" width="9.140625" style="2"/>
    <col min="12549" max="12549" width="4" style="2" customWidth="1"/>
    <col min="12550" max="12550" width="24.42578125" style="2" customWidth="1"/>
    <col min="12551" max="12551" width="19.85546875" style="2" customWidth="1"/>
    <col min="12552" max="12552" width="9.28515625" style="2" customWidth="1"/>
    <col min="12553" max="12553" width="10" style="2" customWidth="1"/>
    <col min="12554" max="12554" width="8.42578125" style="2" customWidth="1"/>
    <col min="12555" max="12555" width="12.28515625" style="2" customWidth="1"/>
    <col min="12556" max="12556" width="7.5703125" style="2" customWidth="1"/>
    <col min="12557" max="12557" width="7.85546875" style="2" customWidth="1"/>
    <col min="12558" max="12558" width="8.28515625" style="2" customWidth="1"/>
    <col min="12559" max="12559" width="9.140625" style="2"/>
    <col min="12560" max="12562" width="7.5703125" style="2" customWidth="1"/>
    <col min="12563" max="12563" width="10.28515625" style="2" customWidth="1"/>
    <col min="12564" max="12564" width="10.5703125" style="2" customWidth="1"/>
    <col min="12565" max="12565" width="11.140625" style="2" customWidth="1"/>
    <col min="12566" max="12566" width="10.42578125" style="2" customWidth="1"/>
    <col min="12567" max="12576" width="11" style="2" customWidth="1"/>
    <col min="12577" max="12577" width="9.140625" style="2" customWidth="1"/>
    <col min="12578" max="12578" width="6.85546875" style="2" customWidth="1"/>
    <col min="12579" max="12579" width="15" style="2" bestFit="1" customWidth="1"/>
    <col min="12580" max="12804" width="9.140625" style="2"/>
    <col min="12805" max="12805" width="4" style="2" customWidth="1"/>
    <col min="12806" max="12806" width="24.42578125" style="2" customWidth="1"/>
    <col min="12807" max="12807" width="19.85546875" style="2" customWidth="1"/>
    <col min="12808" max="12808" width="9.28515625" style="2" customWidth="1"/>
    <col min="12809" max="12809" width="10" style="2" customWidth="1"/>
    <col min="12810" max="12810" width="8.42578125" style="2" customWidth="1"/>
    <col min="12811" max="12811" width="12.28515625" style="2" customWidth="1"/>
    <col min="12812" max="12812" width="7.5703125" style="2" customWidth="1"/>
    <col min="12813" max="12813" width="7.85546875" style="2" customWidth="1"/>
    <col min="12814" max="12814" width="8.28515625" style="2" customWidth="1"/>
    <col min="12815" max="12815" width="9.140625" style="2"/>
    <col min="12816" max="12818" width="7.5703125" style="2" customWidth="1"/>
    <col min="12819" max="12819" width="10.28515625" style="2" customWidth="1"/>
    <col min="12820" max="12820" width="10.5703125" style="2" customWidth="1"/>
    <col min="12821" max="12821" width="11.140625" style="2" customWidth="1"/>
    <col min="12822" max="12822" width="10.42578125" style="2" customWidth="1"/>
    <col min="12823" max="12832" width="11" style="2" customWidth="1"/>
    <col min="12833" max="12833" width="9.140625" style="2" customWidth="1"/>
    <col min="12834" max="12834" width="6.85546875" style="2" customWidth="1"/>
    <col min="12835" max="12835" width="15" style="2" bestFit="1" customWidth="1"/>
    <col min="12836" max="13060" width="9.140625" style="2"/>
    <col min="13061" max="13061" width="4" style="2" customWidth="1"/>
    <col min="13062" max="13062" width="24.42578125" style="2" customWidth="1"/>
    <col min="13063" max="13063" width="19.85546875" style="2" customWidth="1"/>
    <col min="13064" max="13064" width="9.28515625" style="2" customWidth="1"/>
    <col min="13065" max="13065" width="10" style="2" customWidth="1"/>
    <col min="13066" max="13066" width="8.42578125" style="2" customWidth="1"/>
    <col min="13067" max="13067" width="12.28515625" style="2" customWidth="1"/>
    <col min="13068" max="13068" width="7.5703125" style="2" customWidth="1"/>
    <col min="13069" max="13069" width="7.85546875" style="2" customWidth="1"/>
    <col min="13070" max="13070" width="8.28515625" style="2" customWidth="1"/>
    <col min="13071" max="13071" width="9.140625" style="2"/>
    <col min="13072" max="13074" width="7.5703125" style="2" customWidth="1"/>
    <col min="13075" max="13075" width="10.28515625" style="2" customWidth="1"/>
    <col min="13076" max="13076" width="10.5703125" style="2" customWidth="1"/>
    <col min="13077" max="13077" width="11.140625" style="2" customWidth="1"/>
    <col min="13078" max="13078" width="10.42578125" style="2" customWidth="1"/>
    <col min="13079" max="13088" width="11" style="2" customWidth="1"/>
    <col min="13089" max="13089" width="9.140625" style="2" customWidth="1"/>
    <col min="13090" max="13090" width="6.85546875" style="2" customWidth="1"/>
    <col min="13091" max="13091" width="15" style="2" bestFit="1" customWidth="1"/>
    <col min="13092" max="13316" width="9.140625" style="2"/>
    <col min="13317" max="13317" width="4" style="2" customWidth="1"/>
    <col min="13318" max="13318" width="24.42578125" style="2" customWidth="1"/>
    <col min="13319" max="13319" width="19.85546875" style="2" customWidth="1"/>
    <col min="13320" max="13320" width="9.28515625" style="2" customWidth="1"/>
    <col min="13321" max="13321" width="10" style="2" customWidth="1"/>
    <col min="13322" max="13322" width="8.42578125" style="2" customWidth="1"/>
    <col min="13323" max="13323" width="12.28515625" style="2" customWidth="1"/>
    <col min="13324" max="13324" width="7.5703125" style="2" customWidth="1"/>
    <col min="13325" max="13325" width="7.85546875" style="2" customWidth="1"/>
    <col min="13326" max="13326" width="8.28515625" style="2" customWidth="1"/>
    <col min="13327" max="13327" width="9.140625" style="2"/>
    <col min="13328" max="13330" width="7.5703125" style="2" customWidth="1"/>
    <col min="13331" max="13331" width="10.28515625" style="2" customWidth="1"/>
    <col min="13332" max="13332" width="10.5703125" style="2" customWidth="1"/>
    <col min="13333" max="13333" width="11.140625" style="2" customWidth="1"/>
    <col min="13334" max="13334" width="10.42578125" style="2" customWidth="1"/>
    <col min="13335" max="13344" width="11" style="2" customWidth="1"/>
    <col min="13345" max="13345" width="9.140625" style="2" customWidth="1"/>
    <col min="13346" max="13346" width="6.85546875" style="2" customWidth="1"/>
    <col min="13347" max="13347" width="15" style="2" bestFit="1" customWidth="1"/>
    <col min="13348" max="13572" width="9.140625" style="2"/>
    <col min="13573" max="13573" width="4" style="2" customWidth="1"/>
    <col min="13574" max="13574" width="24.42578125" style="2" customWidth="1"/>
    <col min="13575" max="13575" width="19.85546875" style="2" customWidth="1"/>
    <col min="13576" max="13576" width="9.28515625" style="2" customWidth="1"/>
    <col min="13577" max="13577" width="10" style="2" customWidth="1"/>
    <col min="13578" max="13578" width="8.42578125" style="2" customWidth="1"/>
    <col min="13579" max="13579" width="12.28515625" style="2" customWidth="1"/>
    <col min="13580" max="13580" width="7.5703125" style="2" customWidth="1"/>
    <col min="13581" max="13581" width="7.85546875" style="2" customWidth="1"/>
    <col min="13582" max="13582" width="8.28515625" style="2" customWidth="1"/>
    <col min="13583" max="13583" width="9.140625" style="2"/>
    <col min="13584" max="13586" width="7.5703125" style="2" customWidth="1"/>
    <col min="13587" max="13587" width="10.28515625" style="2" customWidth="1"/>
    <col min="13588" max="13588" width="10.5703125" style="2" customWidth="1"/>
    <col min="13589" max="13589" width="11.140625" style="2" customWidth="1"/>
    <col min="13590" max="13590" width="10.42578125" style="2" customWidth="1"/>
    <col min="13591" max="13600" width="11" style="2" customWidth="1"/>
    <col min="13601" max="13601" width="9.140625" style="2" customWidth="1"/>
    <col min="13602" max="13602" width="6.85546875" style="2" customWidth="1"/>
    <col min="13603" max="13603" width="15" style="2" bestFit="1" customWidth="1"/>
    <col min="13604" max="13828" width="9.140625" style="2"/>
    <col min="13829" max="13829" width="4" style="2" customWidth="1"/>
    <col min="13830" max="13830" width="24.42578125" style="2" customWidth="1"/>
    <col min="13831" max="13831" width="19.85546875" style="2" customWidth="1"/>
    <col min="13832" max="13832" width="9.28515625" style="2" customWidth="1"/>
    <col min="13833" max="13833" width="10" style="2" customWidth="1"/>
    <col min="13834" max="13834" width="8.42578125" style="2" customWidth="1"/>
    <col min="13835" max="13835" width="12.28515625" style="2" customWidth="1"/>
    <col min="13836" max="13836" width="7.5703125" style="2" customWidth="1"/>
    <col min="13837" max="13837" width="7.85546875" style="2" customWidth="1"/>
    <col min="13838" max="13838" width="8.28515625" style="2" customWidth="1"/>
    <col min="13839" max="13839" width="9.140625" style="2"/>
    <col min="13840" max="13842" width="7.5703125" style="2" customWidth="1"/>
    <col min="13843" max="13843" width="10.28515625" style="2" customWidth="1"/>
    <col min="13844" max="13844" width="10.5703125" style="2" customWidth="1"/>
    <col min="13845" max="13845" width="11.140625" style="2" customWidth="1"/>
    <col min="13846" max="13846" width="10.42578125" style="2" customWidth="1"/>
    <col min="13847" max="13856" width="11" style="2" customWidth="1"/>
    <col min="13857" max="13857" width="9.140625" style="2" customWidth="1"/>
    <col min="13858" max="13858" width="6.85546875" style="2" customWidth="1"/>
    <col min="13859" max="13859" width="15" style="2" bestFit="1" customWidth="1"/>
    <col min="13860" max="14084" width="9.140625" style="2"/>
    <col min="14085" max="14085" width="4" style="2" customWidth="1"/>
    <col min="14086" max="14086" width="24.42578125" style="2" customWidth="1"/>
    <col min="14087" max="14087" width="19.85546875" style="2" customWidth="1"/>
    <col min="14088" max="14088" width="9.28515625" style="2" customWidth="1"/>
    <col min="14089" max="14089" width="10" style="2" customWidth="1"/>
    <col min="14090" max="14090" width="8.42578125" style="2" customWidth="1"/>
    <col min="14091" max="14091" width="12.28515625" style="2" customWidth="1"/>
    <col min="14092" max="14092" width="7.5703125" style="2" customWidth="1"/>
    <col min="14093" max="14093" width="7.85546875" style="2" customWidth="1"/>
    <col min="14094" max="14094" width="8.28515625" style="2" customWidth="1"/>
    <col min="14095" max="14095" width="9.140625" style="2"/>
    <col min="14096" max="14098" width="7.5703125" style="2" customWidth="1"/>
    <col min="14099" max="14099" width="10.28515625" style="2" customWidth="1"/>
    <col min="14100" max="14100" width="10.5703125" style="2" customWidth="1"/>
    <col min="14101" max="14101" width="11.140625" style="2" customWidth="1"/>
    <col min="14102" max="14102" width="10.42578125" style="2" customWidth="1"/>
    <col min="14103" max="14112" width="11" style="2" customWidth="1"/>
    <col min="14113" max="14113" width="9.140625" style="2" customWidth="1"/>
    <col min="14114" max="14114" width="6.85546875" style="2" customWidth="1"/>
    <col min="14115" max="14115" width="15" style="2" bestFit="1" customWidth="1"/>
    <col min="14116" max="14340" width="9.140625" style="2"/>
    <col min="14341" max="14341" width="4" style="2" customWidth="1"/>
    <col min="14342" max="14342" width="24.42578125" style="2" customWidth="1"/>
    <col min="14343" max="14343" width="19.85546875" style="2" customWidth="1"/>
    <col min="14344" max="14344" width="9.28515625" style="2" customWidth="1"/>
    <col min="14345" max="14345" width="10" style="2" customWidth="1"/>
    <col min="14346" max="14346" width="8.42578125" style="2" customWidth="1"/>
    <col min="14347" max="14347" width="12.28515625" style="2" customWidth="1"/>
    <col min="14348" max="14348" width="7.5703125" style="2" customWidth="1"/>
    <col min="14349" max="14349" width="7.85546875" style="2" customWidth="1"/>
    <col min="14350" max="14350" width="8.28515625" style="2" customWidth="1"/>
    <col min="14351" max="14351" width="9.140625" style="2"/>
    <col min="14352" max="14354" width="7.5703125" style="2" customWidth="1"/>
    <col min="14355" max="14355" width="10.28515625" style="2" customWidth="1"/>
    <col min="14356" max="14356" width="10.5703125" style="2" customWidth="1"/>
    <col min="14357" max="14357" width="11.140625" style="2" customWidth="1"/>
    <col min="14358" max="14358" width="10.42578125" style="2" customWidth="1"/>
    <col min="14359" max="14368" width="11" style="2" customWidth="1"/>
    <col min="14369" max="14369" width="9.140625" style="2" customWidth="1"/>
    <col min="14370" max="14370" width="6.85546875" style="2" customWidth="1"/>
    <col min="14371" max="14371" width="15" style="2" bestFit="1" customWidth="1"/>
    <col min="14372" max="14596" width="9.140625" style="2"/>
    <col min="14597" max="14597" width="4" style="2" customWidth="1"/>
    <col min="14598" max="14598" width="24.42578125" style="2" customWidth="1"/>
    <col min="14599" max="14599" width="19.85546875" style="2" customWidth="1"/>
    <col min="14600" max="14600" width="9.28515625" style="2" customWidth="1"/>
    <col min="14601" max="14601" width="10" style="2" customWidth="1"/>
    <col min="14602" max="14602" width="8.42578125" style="2" customWidth="1"/>
    <col min="14603" max="14603" width="12.28515625" style="2" customWidth="1"/>
    <col min="14604" max="14604" width="7.5703125" style="2" customWidth="1"/>
    <col min="14605" max="14605" width="7.85546875" style="2" customWidth="1"/>
    <col min="14606" max="14606" width="8.28515625" style="2" customWidth="1"/>
    <col min="14607" max="14607" width="9.140625" style="2"/>
    <col min="14608" max="14610" width="7.5703125" style="2" customWidth="1"/>
    <col min="14611" max="14611" width="10.28515625" style="2" customWidth="1"/>
    <col min="14612" max="14612" width="10.5703125" style="2" customWidth="1"/>
    <col min="14613" max="14613" width="11.140625" style="2" customWidth="1"/>
    <col min="14614" max="14614" width="10.42578125" style="2" customWidth="1"/>
    <col min="14615" max="14624" width="11" style="2" customWidth="1"/>
    <col min="14625" max="14625" width="9.140625" style="2" customWidth="1"/>
    <col min="14626" max="14626" width="6.85546875" style="2" customWidth="1"/>
    <col min="14627" max="14627" width="15" style="2" bestFit="1" customWidth="1"/>
    <col min="14628" max="14852" width="9.140625" style="2"/>
    <col min="14853" max="14853" width="4" style="2" customWidth="1"/>
    <col min="14854" max="14854" width="24.42578125" style="2" customWidth="1"/>
    <col min="14855" max="14855" width="19.85546875" style="2" customWidth="1"/>
    <col min="14856" max="14856" width="9.28515625" style="2" customWidth="1"/>
    <col min="14857" max="14857" width="10" style="2" customWidth="1"/>
    <col min="14858" max="14858" width="8.42578125" style="2" customWidth="1"/>
    <col min="14859" max="14859" width="12.28515625" style="2" customWidth="1"/>
    <col min="14860" max="14860" width="7.5703125" style="2" customWidth="1"/>
    <col min="14861" max="14861" width="7.85546875" style="2" customWidth="1"/>
    <col min="14862" max="14862" width="8.28515625" style="2" customWidth="1"/>
    <col min="14863" max="14863" width="9.140625" style="2"/>
    <col min="14864" max="14866" width="7.5703125" style="2" customWidth="1"/>
    <col min="14867" max="14867" width="10.28515625" style="2" customWidth="1"/>
    <col min="14868" max="14868" width="10.5703125" style="2" customWidth="1"/>
    <col min="14869" max="14869" width="11.140625" style="2" customWidth="1"/>
    <col min="14870" max="14870" width="10.42578125" style="2" customWidth="1"/>
    <col min="14871" max="14880" width="11" style="2" customWidth="1"/>
    <col min="14881" max="14881" width="9.140625" style="2" customWidth="1"/>
    <col min="14882" max="14882" width="6.85546875" style="2" customWidth="1"/>
    <col min="14883" max="14883" width="15" style="2" bestFit="1" customWidth="1"/>
    <col min="14884" max="15108" width="9.140625" style="2"/>
    <col min="15109" max="15109" width="4" style="2" customWidth="1"/>
    <col min="15110" max="15110" width="24.42578125" style="2" customWidth="1"/>
    <col min="15111" max="15111" width="19.85546875" style="2" customWidth="1"/>
    <col min="15112" max="15112" width="9.28515625" style="2" customWidth="1"/>
    <col min="15113" max="15113" width="10" style="2" customWidth="1"/>
    <col min="15114" max="15114" width="8.42578125" style="2" customWidth="1"/>
    <col min="15115" max="15115" width="12.28515625" style="2" customWidth="1"/>
    <col min="15116" max="15116" width="7.5703125" style="2" customWidth="1"/>
    <col min="15117" max="15117" width="7.85546875" style="2" customWidth="1"/>
    <col min="15118" max="15118" width="8.28515625" style="2" customWidth="1"/>
    <col min="15119" max="15119" width="9.140625" style="2"/>
    <col min="15120" max="15122" width="7.5703125" style="2" customWidth="1"/>
    <col min="15123" max="15123" width="10.28515625" style="2" customWidth="1"/>
    <col min="15124" max="15124" width="10.5703125" style="2" customWidth="1"/>
    <col min="15125" max="15125" width="11.140625" style="2" customWidth="1"/>
    <col min="15126" max="15126" width="10.42578125" style="2" customWidth="1"/>
    <col min="15127" max="15136" width="11" style="2" customWidth="1"/>
    <col min="15137" max="15137" width="9.140625" style="2" customWidth="1"/>
    <col min="15138" max="15138" width="6.85546875" style="2" customWidth="1"/>
    <col min="15139" max="15139" width="15" style="2" bestFit="1" customWidth="1"/>
    <col min="15140" max="15364" width="9.140625" style="2"/>
    <col min="15365" max="15365" width="4" style="2" customWidth="1"/>
    <col min="15366" max="15366" width="24.42578125" style="2" customWidth="1"/>
    <col min="15367" max="15367" width="19.85546875" style="2" customWidth="1"/>
    <col min="15368" max="15368" width="9.28515625" style="2" customWidth="1"/>
    <col min="15369" max="15369" width="10" style="2" customWidth="1"/>
    <col min="15370" max="15370" width="8.42578125" style="2" customWidth="1"/>
    <col min="15371" max="15371" width="12.28515625" style="2" customWidth="1"/>
    <col min="15372" max="15372" width="7.5703125" style="2" customWidth="1"/>
    <col min="15373" max="15373" width="7.85546875" style="2" customWidth="1"/>
    <col min="15374" max="15374" width="8.28515625" style="2" customWidth="1"/>
    <col min="15375" max="15375" width="9.140625" style="2"/>
    <col min="15376" max="15378" width="7.5703125" style="2" customWidth="1"/>
    <col min="15379" max="15379" width="10.28515625" style="2" customWidth="1"/>
    <col min="15380" max="15380" width="10.5703125" style="2" customWidth="1"/>
    <col min="15381" max="15381" width="11.140625" style="2" customWidth="1"/>
    <col min="15382" max="15382" width="10.42578125" style="2" customWidth="1"/>
    <col min="15383" max="15392" width="11" style="2" customWidth="1"/>
    <col min="15393" max="15393" width="9.140625" style="2" customWidth="1"/>
    <col min="15394" max="15394" width="6.85546875" style="2" customWidth="1"/>
    <col min="15395" max="15395" width="15" style="2" bestFit="1" customWidth="1"/>
    <col min="15396" max="15620" width="9.140625" style="2"/>
    <col min="15621" max="15621" width="4" style="2" customWidth="1"/>
    <col min="15622" max="15622" width="24.42578125" style="2" customWidth="1"/>
    <col min="15623" max="15623" width="19.85546875" style="2" customWidth="1"/>
    <col min="15624" max="15624" width="9.28515625" style="2" customWidth="1"/>
    <col min="15625" max="15625" width="10" style="2" customWidth="1"/>
    <col min="15626" max="15626" width="8.42578125" style="2" customWidth="1"/>
    <col min="15627" max="15627" width="12.28515625" style="2" customWidth="1"/>
    <col min="15628" max="15628" width="7.5703125" style="2" customWidth="1"/>
    <col min="15629" max="15629" width="7.85546875" style="2" customWidth="1"/>
    <col min="15630" max="15630" width="8.28515625" style="2" customWidth="1"/>
    <col min="15631" max="15631" width="9.140625" style="2"/>
    <col min="15632" max="15634" width="7.5703125" style="2" customWidth="1"/>
    <col min="15635" max="15635" width="10.28515625" style="2" customWidth="1"/>
    <col min="15636" max="15636" width="10.5703125" style="2" customWidth="1"/>
    <col min="15637" max="15637" width="11.140625" style="2" customWidth="1"/>
    <col min="15638" max="15638" width="10.42578125" style="2" customWidth="1"/>
    <col min="15639" max="15648" width="11" style="2" customWidth="1"/>
    <col min="15649" max="15649" width="9.140625" style="2" customWidth="1"/>
    <col min="15650" max="15650" width="6.85546875" style="2" customWidth="1"/>
    <col min="15651" max="15651" width="15" style="2" bestFit="1" customWidth="1"/>
    <col min="15652" max="15876" width="9.140625" style="2"/>
    <col min="15877" max="15877" width="4" style="2" customWidth="1"/>
    <col min="15878" max="15878" width="24.42578125" style="2" customWidth="1"/>
    <col min="15879" max="15879" width="19.85546875" style="2" customWidth="1"/>
    <col min="15880" max="15880" width="9.28515625" style="2" customWidth="1"/>
    <col min="15881" max="15881" width="10" style="2" customWidth="1"/>
    <col min="15882" max="15882" width="8.42578125" style="2" customWidth="1"/>
    <col min="15883" max="15883" width="12.28515625" style="2" customWidth="1"/>
    <col min="15884" max="15884" width="7.5703125" style="2" customWidth="1"/>
    <col min="15885" max="15885" width="7.85546875" style="2" customWidth="1"/>
    <col min="15886" max="15886" width="8.28515625" style="2" customWidth="1"/>
    <col min="15887" max="15887" width="9.140625" style="2"/>
    <col min="15888" max="15890" width="7.5703125" style="2" customWidth="1"/>
    <col min="15891" max="15891" width="10.28515625" style="2" customWidth="1"/>
    <col min="15892" max="15892" width="10.5703125" style="2" customWidth="1"/>
    <col min="15893" max="15893" width="11.140625" style="2" customWidth="1"/>
    <col min="15894" max="15894" width="10.42578125" style="2" customWidth="1"/>
    <col min="15895" max="15904" width="11" style="2" customWidth="1"/>
    <col min="15905" max="15905" width="9.140625" style="2" customWidth="1"/>
    <col min="15906" max="15906" width="6.85546875" style="2" customWidth="1"/>
    <col min="15907" max="15907" width="15" style="2" bestFit="1" customWidth="1"/>
    <col min="15908" max="16132" width="9.140625" style="2"/>
    <col min="16133" max="16133" width="4" style="2" customWidth="1"/>
    <col min="16134" max="16134" width="24.42578125" style="2" customWidth="1"/>
    <col min="16135" max="16135" width="19.85546875" style="2" customWidth="1"/>
    <col min="16136" max="16136" width="9.28515625" style="2" customWidth="1"/>
    <col min="16137" max="16137" width="10" style="2" customWidth="1"/>
    <col min="16138" max="16138" width="8.42578125" style="2" customWidth="1"/>
    <col min="16139" max="16139" width="12.28515625" style="2" customWidth="1"/>
    <col min="16140" max="16140" width="7.5703125" style="2" customWidth="1"/>
    <col min="16141" max="16141" width="7.85546875" style="2" customWidth="1"/>
    <col min="16142" max="16142" width="8.28515625" style="2" customWidth="1"/>
    <col min="16143" max="16143" width="9.140625" style="2"/>
    <col min="16144" max="16146" width="7.5703125" style="2" customWidth="1"/>
    <col min="16147" max="16147" width="10.28515625" style="2" customWidth="1"/>
    <col min="16148" max="16148" width="10.5703125" style="2" customWidth="1"/>
    <col min="16149" max="16149" width="11.140625" style="2" customWidth="1"/>
    <col min="16150" max="16150" width="10.42578125" style="2" customWidth="1"/>
    <col min="16151" max="16160" width="11" style="2" customWidth="1"/>
    <col min="16161" max="16161" width="9.140625" style="2" customWidth="1"/>
    <col min="16162" max="16162" width="6.85546875" style="2" customWidth="1"/>
    <col min="16163" max="16163" width="15" style="2" bestFit="1" customWidth="1"/>
    <col min="16164" max="16384" width="9.140625" style="2"/>
  </cols>
  <sheetData>
    <row r="1" spans="1:48" ht="125.25">
      <c r="A1" s="10" t="s">
        <v>17</v>
      </c>
      <c r="B1" s="11" t="s">
        <v>18</v>
      </c>
      <c r="C1" s="11" t="s">
        <v>19</v>
      </c>
      <c r="D1" s="12" t="s">
        <v>20</v>
      </c>
      <c r="E1" s="77" t="s">
        <v>190</v>
      </c>
      <c r="F1" s="77" t="s">
        <v>191</v>
      </c>
      <c r="G1" s="77" t="s">
        <v>192</v>
      </c>
      <c r="H1" s="77" t="s">
        <v>193</v>
      </c>
      <c r="I1" s="13" t="s">
        <v>21</v>
      </c>
      <c r="J1" s="4" t="s">
        <v>22</v>
      </c>
      <c r="K1" s="4" t="s">
        <v>23</v>
      </c>
      <c r="L1" s="4" t="s">
        <v>24</v>
      </c>
      <c r="M1" s="4" t="s">
        <v>25</v>
      </c>
      <c r="N1" s="4" t="s">
        <v>26</v>
      </c>
      <c r="O1" s="4" t="s">
        <v>27</v>
      </c>
      <c r="P1" s="4" t="s">
        <v>28</v>
      </c>
      <c r="Q1" s="4" t="s">
        <v>29</v>
      </c>
      <c r="R1" s="4" t="s">
        <v>30</v>
      </c>
      <c r="S1" s="4" t="s">
        <v>31</v>
      </c>
      <c r="T1" s="4" t="s">
        <v>32</v>
      </c>
      <c r="U1" s="4" t="s">
        <v>33</v>
      </c>
      <c r="V1" s="4" t="s">
        <v>34</v>
      </c>
      <c r="W1" s="4" t="s">
        <v>35</v>
      </c>
      <c r="X1" s="4" t="s">
        <v>36</v>
      </c>
      <c r="Y1" s="4" t="s">
        <v>37</v>
      </c>
      <c r="Z1" s="5" t="s">
        <v>38</v>
      </c>
      <c r="AA1" s="5" t="s">
        <v>39</v>
      </c>
      <c r="AB1" s="26" t="s">
        <v>151</v>
      </c>
      <c r="AC1" s="26" t="s">
        <v>152</v>
      </c>
      <c r="AD1" s="26" t="s">
        <v>153</v>
      </c>
      <c r="AG1" s="34" t="s">
        <v>154</v>
      </c>
      <c r="AH1" s="46" t="s">
        <v>155</v>
      </c>
      <c r="AN1" s="47" t="s">
        <v>156</v>
      </c>
      <c r="AP1" s="73" t="s">
        <v>15</v>
      </c>
      <c r="AS1" s="2">
        <v>4</v>
      </c>
      <c r="AT1" s="2">
        <v>12</v>
      </c>
    </row>
    <row r="2" spans="1:48" ht="23.25" customHeight="1">
      <c r="A2" s="90">
        <v>1</v>
      </c>
      <c r="B2" s="14" t="s">
        <v>40</v>
      </c>
      <c r="C2" s="14" t="s">
        <v>40</v>
      </c>
      <c r="D2" s="15" t="s">
        <v>41</v>
      </c>
      <c r="E2" s="78">
        <f t="shared" ref="E2:E14" si="0">AVERAGE(J2:N2)</f>
        <v>43003</v>
      </c>
      <c r="F2" s="78">
        <f t="shared" ref="F2:F14" si="1">AVERAGE(O2:V2)</f>
        <v>46327.875</v>
      </c>
      <c r="G2" s="78">
        <f>AVERAGE(W2:Z2)</f>
        <v>78850.5</v>
      </c>
      <c r="H2" s="78">
        <f>AVERAGE(AA2:AD2)</f>
        <v>68161.5</v>
      </c>
      <c r="I2" s="6">
        <v>115454</v>
      </c>
      <c r="J2" s="6">
        <f>20953+34257</f>
        <v>55210</v>
      </c>
      <c r="K2" s="6">
        <f>11506+18872</f>
        <v>30378</v>
      </c>
      <c r="L2" s="6">
        <f>15483+33338</f>
        <v>48821</v>
      </c>
      <c r="M2" s="6">
        <v>46267</v>
      </c>
      <c r="N2" s="6">
        <f>11097+23242</f>
        <v>34339</v>
      </c>
      <c r="O2" s="6">
        <v>45068</v>
      </c>
      <c r="P2" s="6">
        <v>48843</v>
      </c>
      <c r="Q2" s="6">
        <v>42904</v>
      </c>
      <c r="R2" s="6">
        <v>47723</v>
      </c>
      <c r="S2" s="6">
        <v>55332</v>
      </c>
      <c r="T2" s="6">
        <v>37415</v>
      </c>
      <c r="U2" s="6">
        <v>47983</v>
      </c>
      <c r="V2" s="6">
        <v>45355</v>
      </c>
      <c r="W2" s="6">
        <v>67196</v>
      </c>
      <c r="X2" s="6">
        <v>82706</v>
      </c>
      <c r="Y2" s="6">
        <v>78158</v>
      </c>
      <c r="Z2" s="6">
        <v>87342</v>
      </c>
      <c r="AA2" s="6">
        <v>85341</v>
      </c>
      <c r="AB2" s="27">
        <v>76252</v>
      </c>
      <c r="AC2" s="27">
        <v>70654</v>
      </c>
      <c r="AD2" s="27">
        <v>40399</v>
      </c>
      <c r="AE2" s="33">
        <f>SUM(I2:AD2)</f>
        <v>1289140</v>
      </c>
      <c r="AF2" s="33"/>
      <c r="AG2" s="35">
        <v>5.8500000000000003E-2</v>
      </c>
      <c r="AH2" s="33">
        <f>AE2*AG2</f>
        <v>75414.69</v>
      </c>
      <c r="AI2" s="46">
        <f>AH2/$AH$44*100</f>
        <v>1.8157100298096203</v>
      </c>
      <c r="AJ2" s="46">
        <f>AI2*$AJ$44/100</f>
        <v>363142.00596192403</v>
      </c>
      <c r="AK2" s="46">
        <f>AJ2/AG2</f>
        <v>6207555.6574687865</v>
      </c>
      <c r="AL2" s="46">
        <f t="shared" ref="AL2:AL17" si="2">AK2/AS2</f>
        <v>290992.39936629747</v>
      </c>
      <c r="AM2" s="46">
        <f>AK2/AT2</f>
        <v>24249.366613858125</v>
      </c>
      <c r="AN2" s="48">
        <v>12852</v>
      </c>
      <c r="AP2" s="74">
        <f>საპენსიო!D2</f>
        <v>92.063670411985015</v>
      </c>
      <c r="AQ2" s="74">
        <f>შშმპ!D2</f>
        <v>78.595238095238102</v>
      </c>
      <c r="AR2" s="9">
        <f>AVERAGE(AP2:AQ2)</f>
        <v>85.329454253611559</v>
      </c>
      <c r="AS2" s="9">
        <f>AR2/$AS$1</f>
        <v>21.33236356340289</v>
      </c>
      <c r="AT2" s="9">
        <f>AS2*$AT$1</f>
        <v>255.98836276083466</v>
      </c>
      <c r="AU2" s="76">
        <f t="shared" ref="AU2:AU17" si="3">AN2/AR2</f>
        <v>150.61622170700852</v>
      </c>
      <c r="AV2" s="76">
        <f>AN2/AS2</f>
        <v>602.46488682803408</v>
      </c>
    </row>
    <row r="3" spans="1:48">
      <c r="A3" s="90"/>
      <c r="B3" s="16" t="s">
        <v>42</v>
      </c>
      <c r="C3" s="16" t="s">
        <v>43</v>
      </c>
      <c r="D3" s="15" t="s">
        <v>44</v>
      </c>
      <c r="E3" s="78">
        <f t="shared" si="0"/>
        <v>62600.6</v>
      </c>
      <c r="F3" s="78">
        <f t="shared" si="1"/>
        <v>82328.125</v>
      </c>
      <c r="G3" s="78">
        <f t="shared" ref="G3:G43" si="4">AVERAGE(W3:Z3)</f>
        <v>138558</v>
      </c>
      <c r="H3" s="78">
        <f t="shared" ref="H3:H43" si="5">AVERAGE(AA3:AD3)</f>
        <v>136314</v>
      </c>
      <c r="I3" s="6">
        <v>128708</v>
      </c>
      <c r="J3" s="6">
        <f>68841</f>
        <v>68841</v>
      </c>
      <c r="K3" s="6">
        <f>41674</f>
        <v>41674</v>
      </c>
      <c r="L3" s="6">
        <f>77476</f>
        <v>77476</v>
      </c>
      <c r="M3" s="6">
        <v>71438</v>
      </c>
      <c r="N3" s="6">
        <f>180+53394</f>
        <v>53574</v>
      </c>
      <c r="O3" s="6">
        <v>68830</v>
      </c>
      <c r="P3" s="6">
        <v>87699</v>
      </c>
      <c r="Q3" s="6">
        <v>79766</v>
      </c>
      <c r="R3" s="6">
        <v>76260</v>
      </c>
      <c r="S3" s="6">
        <v>95079</v>
      </c>
      <c r="T3" s="6">
        <v>75991</v>
      </c>
      <c r="U3" s="6">
        <v>86045</v>
      </c>
      <c r="V3" s="6">
        <v>88955</v>
      </c>
      <c r="W3" s="6">
        <v>117285</v>
      </c>
      <c r="X3" s="6">
        <v>156780</v>
      </c>
      <c r="Y3" s="6">
        <v>143245</v>
      </c>
      <c r="Z3" s="6">
        <v>136922</v>
      </c>
      <c r="AA3" s="6">
        <v>138365</v>
      </c>
      <c r="AB3" s="27">
        <v>134077</v>
      </c>
      <c r="AC3" s="27">
        <v>133218</v>
      </c>
      <c r="AD3" s="27">
        <v>139596</v>
      </c>
      <c r="AE3" s="33">
        <f t="shared" ref="AE3:AE43" si="6">SUM(I3:AD3)</f>
        <v>2199824</v>
      </c>
      <c r="AF3" s="33"/>
      <c r="AG3" s="36">
        <v>6.4500000000000002E-2</v>
      </c>
      <c r="AH3" s="33">
        <f t="shared" ref="AH3:AH43" si="7">AE3*AG3</f>
        <v>141888.64800000002</v>
      </c>
      <c r="AI3" s="46">
        <f t="shared" ref="AI3:AI43" si="8">AH3/$AH$44*100</f>
        <v>3.4161599191049747</v>
      </c>
      <c r="AJ3" s="46">
        <f t="shared" ref="AJ3:AJ43" si="9">AI3*$AJ$44/100</f>
        <v>683231.98382099497</v>
      </c>
      <c r="AK3" s="46">
        <f t="shared" ref="AK3:AK42" si="10">AJ3/AG3</f>
        <v>10592743.935209224</v>
      </c>
      <c r="AL3" s="46">
        <f t="shared" si="2"/>
        <v>461404.90161337459</v>
      </c>
      <c r="AM3" s="46">
        <f t="shared" ref="AM3:AM43" si="11">AK3/AT3</f>
        <v>38450.408467781221</v>
      </c>
      <c r="AN3" s="48">
        <v>970805</v>
      </c>
      <c r="AP3" s="74">
        <f>საპენსიო!D3</f>
        <v>87.473209249858996</v>
      </c>
      <c r="AQ3" s="74">
        <f>შშმპ!D3</f>
        <v>96.1875</v>
      </c>
      <c r="AR3" s="9">
        <f t="shared" ref="AR3:AR43" si="12">AVERAGE(AP3:AQ3)</f>
        <v>91.830354624929498</v>
      </c>
      <c r="AS3" s="9">
        <f t="shared" ref="AS3:AS43" si="13">AR3/$AS$1</f>
        <v>22.957588656232375</v>
      </c>
      <c r="AT3" s="9">
        <f t="shared" ref="AT3:AT43" si="14">AS3*$AT$1</f>
        <v>275.49106387478849</v>
      </c>
      <c r="AU3" s="76">
        <f t="shared" si="3"/>
        <v>10571.722215003319</v>
      </c>
      <c r="AV3" s="76">
        <f t="shared" ref="AV3:AV17" si="15">AN3/AS3</f>
        <v>42286.888860013278</v>
      </c>
    </row>
    <row r="4" spans="1:48">
      <c r="A4" s="16">
        <v>2</v>
      </c>
      <c r="B4" s="16" t="s">
        <v>45</v>
      </c>
      <c r="C4" s="16" t="s">
        <v>46</v>
      </c>
      <c r="D4" s="17" t="s">
        <v>47</v>
      </c>
      <c r="E4" s="78">
        <f t="shared" si="0"/>
        <v>44461.8</v>
      </c>
      <c r="F4" s="78">
        <f t="shared" si="1"/>
        <v>62495.625</v>
      </c>
      <c r="G4" s="78">
        <f t="shared" si="4"/>
        <v>127965.25</v>
      </c>
      <c r="H4" s="78">
        <f t="shared" si="5"/>
        <v>92294.25</v>
      </c>
      <c r="I4" s="6">
        <v>74656</v>
      </c>
      <c r="J4" s="6">
        <f>894+48877</f>
        <v>49771</v>
      </c>
      <c r="K4" s="6">
        <f>304+29577</f>
        <v>29881</v>
      </c>
      <c r="L4" s="6">
        <f>49670</f>
        <v>49670</v>
      </c>
      <c r="M4" s="6">
        <v>52667</v>
      </c>
      <c r="N4" s="6">
        <f>92+40228</f>
        <v>40320</v>
      </c>
      <c r="O4" s="6">
        <v>51024</v>
      </c>
      <c r="P4" s="6">
        <v>63258</v>
      </c>
      <c r="Q4" s="6">
        <v>59752</v>
      </c>
      <c r="R4" s="6">
        <v>57385</v>
      </c>
      <c r="S4" s="6">
        <v>78187</v>
      </c>
      <c r="T4" s="6">
        <v>57063</v>
      </c>
      <c r="U4" s="6">
        <v>65543</v>
      </c>
      <c r="V4" s="6">
        <v>67753</v>
      </c>
      <c r="W4" s="6">
        <v>107766</v>
      </c>
      <c r="X4" s="6">
        <v>143166</v>
      </c>
      <c r="Y4" s="6">
        <v>134239</v>
      </c>
      <c r="Z4" s="6">
        <v>126690</v>
      </c>
      <c r="AA4" s="6">
        <v>118049</v>
      </c>
      <c r="AB4" s="28">
        <f>2143+6105+111108</f>
        <v>119356</v>
      </c>
      <c r="AC4" s="28">
        <v>102458</v>
      </c>
      <c r="AD4" s="28">
        <v>29314</v>
      </c>
      <c r="AE4" s="33">
        <f t="shared" si="6"/>
        <v>1677968</v>
      </c>
      <c r="AF4" s="33"/>
      <c r="AG4" s="36">
        <v>0.21840000000000001</v>
      </c>
      <c r="AH4" s="33">
        <f t="shared" si="7"/>
        <v>366468.21120000002</v>
      </c>
      <c r="AI4" s="46">
        <f t="shared" si="8"/>
        <v>8.8232147699901748</v>
      </c>
      <c r="AJ4" s="46">
        <f t="shared" si="9"/>
        <v>1764642.9539980348</v>
      </c>
      <c r="AK4" s="46">
        <f t="shared" si="10"/>
        <v>8079867.0054855067</v>
      </c>
      <c r="AL4" s="46">
        <f t="shared" si="2"/>
        <v>518126.98224935157</v>
      </c>
      <c r="AM4" s="46">
        <f t="shared" si="11"/>
        <v>43177.2485207793</v>
      </c>
      <c r="AN4" s="48">
        <v>160907</v>
      </c>
      <c r="AP4" s="74">
        <f>საპენსიო!D4</f>
        <v>66.601855287569578</v>
      </c>
      <c r="AQ4" s="74">
        <f>შშმპ!D9</f>
        <v>58.153153153153156</v>
      </c>
      <c r="AR4" s="9">
        <f t="shared" si="12"/>
        <v>62.377504220361367</v>
      </c>
      <c r="AS4" s="9">
        <f t="shared" si="13"/>
        <v>15.594376055090342</v>
      </c>
      <c r="AT4" s="9">
        <f t="shared" si="14"/>
        <v>187.13251266108409</v>
      </c>
      <c r="AU4" s="76">
        <f t="shared" si="3"/>
        <v>2579.5677786588403</v>
      </c>
      <c r="AV4" s="76">
        <f t="shared" si="15"/>
        <v>10318.271114635361</v>
      </c>
    </row>
    <row r="5" spans="1:48">
      <c r="A5" s="16">
        <v>3</v>
      </c>
      <c r="B5" s="16" t="s">
        <v>48</v>
      </c>
      <c r="C5" s="16" t="s">
        <v>48</v>
      </c>
      <c r="D5" s="18" t="s">
        <v>49</v>
      </c>
      <c r="E5" s="78">
        <f t="shared" si="0"/>
        <v>55445</v>
      </c>
      <c r="F5" s="78">
        <f t="shared" si="1"/>
        <v>108836.625</v>
      </c>
      <c r="G5" s="78">
        <f t="shared" si="4"/>
        <v>216440.25</v>
      </c>
      <c r="H5" s="78">
        <f t="shared" si="5"/>
        <v>227824</v>
      </c>
      <c r="I5" s="6">
        <v>0</v>
      </c>
      <c r="J5" s="6">
        <v>0</v>
      </c>
      <c r="K5" s="6">
        <v>11654</v>
      </c>
      <c r="L5" s="6">
        <f>125527</f>
        <v>125527</v>
      </c>
      <c r="M5" s="6">
        <v>76906</v>
      </c>
      <c r="N5" s="6">
        <f>63138</f>
        <v>63138</v>
      </c>
      <c r="O5" s="6">
        <v>94802</v>
      </c>
      <c r="P5" s="6">
        <v>103039</v>
      </c>
      <c r="Q5" s="6">
        <v>106262</v>
      </c>
      <c r="R5" s="6">
        <v>109933</v>
      </c>
      <c r="S5" s="6">
        <v>124788</v>
      </c>
      <c r="T5" s="6">
        <v>101734</v>
      </c>
      <c r="U5" s="6">
        <v>117850</v>
      </c>
      <c r="V5" s="6">
        <v>112285</v>
      </c>
      <c r="W5" s="6">
        <v>174735</v>
      </c>
      <c r="X5" s="6">
        <v>241015</v>
      </c>
      <c r="Y5" s="6">
        <v>224504</v>
      </c>
      <c r="Z5" s="6">
        <v>225507</v>
      </c>
      <c r="AA5" s="6">
        <v>231313</v>
      </c>
      <c r="AB5" s="27">
        <v>231431</v>
      </c>
      <c r="AC5" s="27">
        <v>237975</v>
      </c>
      <c r="AD5" s="27">
        <v>210577</v>
      </c>
      <c r="AE5" s="33">
        <f t="shared" si="6"/>
        <v>2924975</v>
      </c>
      <c r="AF5" s="33"/>
      <c r="AG5" s="37">
        <v>4.1000000000000002E-2</v>
      </c>
      <c r="AH5" s="33">
        <f t="shared" si="7"/>
        <v>119923.97500000001</v>
      </c>
      <c r="AI5" s="46">
        <f t="shared" si="8"/>
        <v>2.8873308929883312</v>
      </c>
      <c r="AJ5" s="46">
        <f t="shared" si="9"/>
        <v>577466.17859766621</v>
      </c>
      <c r="AK5" s="46">
        <f t="shared" si="10"/>
        <v>14084540.941406492</v>
      </c>
      <c r="AL5" s="46">
        <f t="shared" si="2"/>
        <v>493655.95469381614</v>
      </c>
      <c r="AM5" s="46">
        <f t="shared" si="11"/>
        <v>41137.996224484676</v>
      </c>
      <c r="AN5" s="48">
        <v>1304050</v>
      </c>
      <c r="AP5" s="74">
        <f>საპენსიო!D17</f>
        <v>110.81858766233766</v>
      </c>
      <c r="AQ5" s="74">
        <f>შშმპ!D16</f>
        <v>117.43010752688173</v>
      </c>
      <c r="AR5" s="9">
        <f t="shared" si="12"/>
        <v>114.1243475946097</v>
      </c>
      <c r="AS5" s="9">
        <f t="shared" si="13"/>
        <v>28.531086898652426</v>
      </c>
      <c r="AT5" s="9">
        <f t="shared" si="14"/>
        <v>342.37304278382908</v>
      </c>
      <c r="AU5" s="76">
        <f t="shared" si="3"/>
        <v>11426.571345075472</v>
      </c>
      <c r="AV5" s="76">
        <f t="shared" si="15"/>
        <v>45706.285380301888</v>
      </c>
    </row>
    <row r="6" spans="1:48" ht="27" customHeight="1">
      <c r="A6" s="16">
        <v>4</v>
      </c>
      <c r="B6" s="16" t="s">
        <v>50</v>
      </c>
      <c r="C6" s="16" t="s">
        <v>51</v>
      </c>
      <c r="D6" s="19" t="s">
        <v>52</v>
      </c>
      <c r="E6" s="78">
        <f t="shared" si="0"/>
        <v>28665.599999999999</v>
      </c>
      <c r="F6" s="78">
        <f t="shared" si="1"/>
        <v>37865.25</v>
      </c>
      <c r="G6" s="78">
        <f t="shared" si="4"/>
        <v>71543.75</v>
      </c>
      <c r="H6" s="78">
        <f t="shared" si="5"/>
        <v>58414</v>
      </c>
      <c r="I6" s="6">
        <v>71359</v>
      </c>
      <c r="J6" s="6">
        <f>103+23+219+92+90+92+5463+17825+10070</f>
        <v>33977</v>
      </c>
      <c r="K6" s="6">
        <f>71+46+91+92+2667+9088+6961</f>
        <v>19016</v>
      </c>
      <c r="L6" s="6">
        <f>90+230+5697+14666+13155</f>
        <v>33838</v>
      </c>
      <c r="M6" s="6">
        <v>31458</v>
      </c>
      <c r="N6" s="6">
        <f>1+138+115+2448+8277+14060</f>
        <v>25039</v>
      </c>
      <c r="O6" s="6">
        <v>32180</v>
      </c>
      <c r="P6" s="6">
        <v>40242</v>
      </c>
      <c r="Q6" s="6">
        <v>34672</v>
      </c>
      <c r="R6" s="6">
        <v>37150</v>
      </c>
      <c r="S6" s="6">
        <v>44130</v>
      </c>
      <c r="T6" s="6">
        <v>33373</v>
      </c>
      <c r="U6" s="6">
        <v>39863</v>
      </c>
      <c r="V6" s="6">
        <v>41312</v>
      </c>
      <c r="W6" s="6">
        <v>62328</v>
      </c>
      <c r="X6" s="6">
        <v>81237</v>
      </c>
      <c r="Y6" s="6">
        <v>72170</v>
      </c>
      <c r="Z6" s="6">
        <v>70440</v>
      </c>
      <c r="AA6" s="6">
        <v>70692</v>
      </c>
      <c r="AB6" s="27">
        <v>71155</v>
      </c>
      <c r="AC6" s="27">
        <v>64086</v>
      </c>
      <c r="AD6" s="27">
        <v>27723</v>
      </c>
      <c r="AE6" s="33">
        <f t="shared" si="6"/>
        <v>1037440</v>
      </c>
      <c r="AF6" s="33"/>
      <c r="AG6" s="37">
        <v>4.7500000000000001E-2</v>
      </c>
      <c r="AH6" s="33">
        <f t="shared" si="7"/>
        <v>49278.400000000001</v>
      </c>
      <c r="AI6" s="46">
        <f t="shared" si="8"/>
        <v>1.1864437171719513</v>
      </c>
      <c r="AJ6" s="46">
        <f t="shared" si="9"/>
        <v>237288.74343439029</v>
      </c>
      <c r="AK6" s="46">
        <f t="shared" si="10"/>
        <v>4995552.4933555853</v>
      </c>
      <c r="AL6" s="46">
        <f t="shared" si="2"/>
        <v>333075.57899198943</v>
      </c>
      <c r="AM6" s="46">
        <f t="shared" si="11"/>
        <v>27756.298249332449</v>
      </c>
      <c r="AN6" s="48">
        <v>6776</v>
      </c>
      <c r="AP6" s="74">
        <f>საპენსიო!D6</f>
        <v>57.986040609137056</v>
      </c>
      <c r="AQ6" s="74">
        <f>შშმპ!D4</f>
        <v>62</v>
      </c>
      <c r="AR6" s="9">
        <f t="shared" si="12"/>
        <v>59.993020304568532</v>
      </c>
      <c r="AS6" s="9">
        <f t="shared" si="13"/>
        <v>14.998255076142133</v>
      </c>
      <c r="AT6" s="9">
        <f t="shared" si="14"/>
        <v>179.97906091370561</v>
      </c>
      <c r="AU6" s="76">
        <f t="shared" si="3"/>
        <v>112.94647219960019</v>
      </c>
      <c r="AV6" s="76">
        <f t="shared" si="15"/>
        <v>451.78588879840078</v>
      </c>
    </row>
    <row r="7" spans="1:48" ht="30" customHeight="1">
      <c r="A7" s="16">
        <v>5</v>
      </c>
      <c r="B7" s="14" t="s">
        <v>53</v>
      </c>
      <c r="C7" s="16" t="s">
        <v>54</v>
      </c>
      <c r="D7" s="18" t="s">
        <v>55</v>
      </c>
      <c r="E7" s="78">
        <f t="shared" si="0"/>
        <v>12809.8</v>
      </c>
      <c r="F7" s="78">
        <f t="shared" si="1"/>
        <v>16399.375</v>
      </c>
      <c r="G7" s="78">
        <f t="shared" si="4"/>
        <v>36643.75</v>
      </c>
      <c r="H7" s="78">
        <f t="shared" si="5"/>
        <v>40709</v>
      </c>
      <c r="I7" s="6">
        <v>35172</v>
      </c>
      <c r="J7" s="6">
        <f>14677+300</f>
        <v>14977</v>
      </c>
      <c r="K7" s="6">
        <f>7169</f>
        <v>7169</v>
      </c>
      <c r="L7" s="6">
        <f>16509</f>
        <v>16509</v>
      </c>
      <c r="M7" s="6">
        <v>14056</v>
      </c>
      <c r="N7" s="6">
        <f>11338</f>
        <v>11338</v>
      </c>
      <c r="O7" s="6">
        <v>15140</v>
      </c>
      <c r="P7" s="6">
        <v>16835</v>
      </c>
      <c r="Q7" s="6">
        <v>15104</v>
      </c>
      <c r="R7" s="6">
        <v>15293</v>
      </c>
      <c r="S7" s="6">
        <v>18158</v>
      </c>
      <c r="T7" s="6">
        <v>14011</v>
      </c>
      <c r="U7" s="6">
        <v>19170</v>
      </c>
      <c r="V7" s="6">
        <v>17484</v>
      </c>
      <c r="W7" s="6">
        <v>31052</v>
      </c>
      <c r="X7" s="6">
        <v>40073</v>
      </c>
      <c r="Y7" s="6">
        <v>38322</v>
      </c>
      <c r="Z7" s="6">
        <v>37128</v>
      </c>
      <c r="AA7" s="6">
        <v>38507</v>
      </c>
      <c r="AB7" s="27">
        <v>37090</v>
      </c>
      <c r="AC7" s="27">
        <v>43811</v>
      </c>
      <c r="AD7" s="27">
        <v>43428</v>
      </c>
      <c r="AE7" s="33">
        <f t="shared" si="6"/>
        <v>539827</v>
      </c>
      <c r="AF7" s="33"/>
      <c r="AG7" s="38">
        <v>0.1034559</v>
      </c>
      <c r="AH7" s="33">
        <f t="shared" si="7"/>
        <v>55848.288129300003</v>
      </c>
      <c r="AI7" s="46">
        <f t="shared" si="8"/>
        <v>1.3446226047480614</v>
      </c>
      <c r="AJ7" s="46">
        <f t="shared" si="9"/>
        <v>268924.52094961226</v>
      </c>
      <c r="AK7" s="46">
        <f t="shared" si="10"/>
        <v>2599412.1258392441</v>
      </c>
      <c r="AL7" s="46">
        <f t="shared" si="2"/>
        <v>120855.50166763978</v>
      </c>
      <c r="AM7" s="46">
        <f t="shared" si="11"/>
        <v>10071.291805636649</v>
      </c>
      <c r="AN7" s="48">
        <v>516988</v>
      </c>
      <c r="AP7" s="74">
        <f>საპენსიო!D7</f>
        <v>84.567441860465109</v>
      </c>
      <c r="AQ7" s="74">
        <f>შშმპ!D5</f>
        <v>87.5</v>
      </c>
      <c r="AR7" s="9">
        <f t="shared" si="12"/>
        <v>86.033720930232562</v>
      </c>
      <c r="AS7" s="9">
        <f t="shared" si="13"/>
        <v>21.50843023255814</v>
      </c>
      <c r="AT7" s="9">
        <f t="shared" si="14"/>
        <v>258.10116279069769</v>
      </c>
      <c r="AU7" s="76">
        <f t="shared" si="3"/>
        <v>6009.1321682952866</v>
      </c>
      <c r="AV7" s="76">
        <f t="shared" si="15"/>
        <v>24036.528673181147</v>
      </c>
    </row>
    <row r="8" spans="1:48" ht="25.5" customHeight="1">
      <c r="A8" s="16">
        <v>6</v>
      </c>
      <c r="B8" s="16" t="s">
        <v>56</v>
      </c>
      <c r="C8" s="16" t="s">
        <v>57</v>
      </c>
      <c r="D8" s="19" t="s">
        <v>52</v>
      </c>
      <c r="E8" s="78">
        <f t="shared" si="0"/>
        <v>3011.4</v>
      </c>
      <c r="F8" s="78">
        <f t="shared" si="1"/>
        <v>3165.375</v>
      </c>
      <c r="G8" s="78">
        <f t="shared" si="4"/>
        <v>8302.5</v>
      </c>
      <c r="H8" s="78">
        <f t="shared" si="5"/>
        <v>10258.5</v>
      </c>
      <c r="I8" s="6">
        <v>0</v>
      </c>
      <c r="J8" s="6">
        <v>2759</v>
      </c>
      <c r="K8" s="6">
        <v>3999</v>
      </c>
      <c r="L8" s="6">
        <f>2385</f>
        <v>2385</v>
      </c>
      <c r="M8" s="6">
        <v>2844</v>
      </c>
      <c r="N8" s="6">
        <f>3070</f>
        <v>3070</v>
      </c>
      <c r="O8" s="6">
        <v>2441</v>
      </c>
      <c r="P8" s="6">
        <v>2913</v>
      </c>
      <c r="Q8" s="6">
        <v>3614</v>
      </c>
      <c r="R8" s="6">
        <v>3529</v>
      </c>
      <c r="S8" s="6">
        <v>3254</v>
      </c>
      <c r="T8" s="6">
        <v>3147</v>
      </c>
      <c r="U8" s="6">
        <v>3592</v>
      </c>
      <c r="V8" s="6">
        <v>2833</v>
      </c>
      <c r="W8" s="6">
        <v>8669</v>
      </c>
      <c r="X8" s="6">
        <v>7654</v>
      </c>
      <c r="Y8" s="6">
        <v>7780</v>
      </c>
      <c r="Z8" s="6">
        <v>9107</v>
      </c>
      <c r="AA8" s="6">
        <v>9951</v>
      </c>
      <c r="AB8" s="27">
        <v>10209</v>
      </c>
      <c r="AC8" s="27">
        <v>10994</v>
      </c>
      <c r="AD8" s="27">
        <v>9880</v>
      </c>
      <c r="AE8" s="33">
        <f t="shared" si="6"/>
        <v>114624</v>
      </c>
      <c r="AF8" s="33"/>
      <c r="AG8" s="37">
        <v>0.188</v>
      </c>
      <c r="AH8" s="33">
        <f t="shared" si="7"/>
        <v>21549.312000000002</v>
      </c>
      <c r="AI8" s="46">
        <f t="shared" si="8"/>
        <v>0.51882865173743753</v>
      </c>
      <c r="AJ8" s="46">
        <f t="shared" si="9"/>
        <v>103765.73034748749</v>
      </c>
      <c r="AK8" s="46">
        <f t="shared" si="10"/>
        <v>551945.37418876321</v>
      </c>
      <c r="AL8" s="46">
        <f t="shared" si="2"/>
        <v>22825.255630135849</v>
      </c>
      <c r="AM8" s="46">
        <f t="shared" si="11"/>
        <v>1902.104635844654</v>
      </c>
      <c r="AN8" s="48">
        <v>27649</v>
      </c>
      <c r="AP8" s="74">
        <f>საპენსიო!D15</f>
        <v>77.575757575757578</v>
      </c>
      <c r="AQ8" s="74">
        <f>შშმპ!D15</f>
        <v>115.875</v>
      </c>
      <c r="AR8" s="9">
        <f t="shared" si="12"/>
        <v>96.725378787878782</v>
      </c>
      <c r="AS8" s="9">
        <f t="shared" si="13"/>
        <v>24.181344696969695</v>
      </c>
      <c r="AT8" s="9">
        <f t="shared" si="14"/>
        <v>290.17613636363637</v>
      </c>
      <c r="AU8" s="76">
        <f t="shared" si="3"/>
        <v>285.85052182256078</v>
      </c>
      <c r="AV8" s="76">
        <f t="shared" si="15"/>
        <v>1143.4020872902431</v>
      </c>
    </row>
    <row r="9" spans="1:48" ht="24.75" customHeight="1">
      <c r="A9" s="16">
        <v>7</v>
      </c>
      <c r="B9" s="16" t="s">
        <v>58</v>
      </c>
      <c r="C9" s="16" t="s">
        <v>59</v>
      </c>
      <c r="D9" s="19" t="s">
        <v>60</v>
      </c>
      <c r="E9" s="78">
        <f t="shared" si="0"/>
        <v>20840.8</v>
      </c>
      <c r="F9" s="78">
        <f t="shared" si="1"/>
        <v>29990.375</v>
      </c>
      <c r="G9" s="78">
        <f t="shared" si="4"/>
        <v>66727.75</v>
      </c>
      <c r="H9" s="78">
        <f t="shared" si="5"/>
        <v>75478</v>
      </c>
      <c r="I9" s="6">
        <v>56943</v>
      </c>
      <c r="J9" s="6">
        <v>22075</v>
      </c>
      <c r="K9" s="6">
        <v>12111</v>
      </c>
      <c r="L9" s="6">
        <f>26890</f>
        <v>26890</v>
      </c>
      <c r="M9" s="6">
        <v>24446</v>
      </c>
      <c r="N9" s="6">
        <f>18682</f>
        <v>18682</v>
      </c>
      <c r="O9" s="6">
        <v>27577</v>
      </c>
      <c r="P9" s="6">
        <v>31298</v>
      </c>
      <c r="Q9" s="6">
        <v>24233</v>
      </c>
      <c r="R9" s="6">
        <v>30732</v>
      </c>
      <c r="S9" s="6">
        <v>32988</v>
      </c>
      <c r="T9" s="6">
        <v>26408</v>
      </c>
      <c r="U9" s="6">
        <v>34308</v>
      </c>
      <c r="V9" s="6">
        <v>32379</v>
      </c>
      <c r="W9" s="6">
        <v>57431</v>
      </c>
      <c r="X9" s="6">
        <v>72802</v>
      </c>
      <c r="Y9" s="6">
        <v>68970</v>
      </c>
      <c r="Z9" s="6">
        <v>67708</v>
      </c>
      <c r="AA9" s="6">
        <v>74700</v>
      </c>
      <c r="AB9" s="28">
        <v>74139</v>
      </c>
      <c r="AC9" s="28">
        <v>76518</v>
      </c>
      <c r="AD9" s="28">
        <v>76555</v>
      </c>
      <c r="AE9" s="33">
        <f t="shared" si="6"/>
        <v>969893</v>
      </c>
      <c r="AF9" s="33"/>
      <c r="AG9" s="37">
        <v>6.6000000000000003E-2</v>
      </c>
      <c r="AH9" s="33">
        <f t="shared" si="7"/>
        <v>64012.938000000002</v>
      </c>
      <c r="AI9" s="46">
        <f t="shared" si="8"/>
        <v>1.5411975248347687</v>
      </c>
      <c r="AJ9" s="46">
        <f t="shared" si="9"/>
        <v>308239.50496695371</v>
      </c>
      <c r="AK9" s="46">
        <f t="shared" si="10"/>
        <v>4670295.5298023289</v>
      </c>
      <c r="AL9" s="46">
        <f t="shared" si="2"/>
        <v>152330.37571742694</v>
      </c>
      <c r="AM9" s="46">
        <f t="shared" si="11"/>
        <v>12694.197976452246</v>
      </c>
      <c r="AN9" s="48">
        <v>1682441</v>
      </c>
      <c r="AP9" s="74">
        <f>საპენსიო!D8</f>
        <v>117.69565217391305</v>
      </c>
      <c r="AQ9" s="74">
        <f>შშმპ!D11</f>
        <v>127.57627118644068</v>
      </c>
      <c r="AR9" s="9">
        <f t="shared" si="12"/>
        <v>122.63596168017686</v>
      </c>
      <c r="AS9" s="9">
        <f t="shared" si="13"/>
        <v>30.658990420044216</v>
      </c>
      <c r="AT9" s="9">
        <f t="shared" si="14"/>
        <v>367.90788504053057</v>
      </c>
      <c r="AU9" s="76">
        <f t="shared" si="3"/>
        <v>13718.985662522458</v>
      </c>
      <c r="AV9" s="76">
        <f t="shared" si="15"/>
        <v>54875.942650089833</v>
      </c>
    </row>
    <row r="10" spans="1:48" ht="25.5" customHeight="1">
      <c r="A10" s="16">
        <v>8</v>
      </c>
      <c r="B10" s="16" t="s">
        <v>61</v>
      </c>
      <c r="C10" s="16" t="s">
        <v>62</v>
      </c>
      <c r="D10" s="20" t="s">
        <v>63</v>
      </c>
      <c r="E10" s="78">
        <f t="shared" si="0"/>
        <v>32143.4</v>
      </c>
      <c r="F10" s="78">
        <f t="shared" si="1"/>
        <v>38286.375</v>
      </c>
      <c r="G10" s="78">
        <f t="shared" si="4"/>
        <v>70734.5</v>
      </c>
      <c r="H10" s="78">
        <f t="shared" si="5"/>
        <v>79779</v>
      </c>
      <c r="I10" s="6">
        <v>37254</v>
      </c>
      <c r="J10" s="6">
        <v>49150</v>
      </c>
      <c r="K10" s="6">
        <f>668+13686+92+5642</f>
        <v>20088</v>
      </c>
      <c r="L10" s="6">
        <f>1102+11045+1028+18908</f>
        <v>32083</v>
      </c>
      <c r="M10" s="6">
        <v>34438</v>
      </c>
      <c r="N10" s="6">
        <f>1174+18698+5086</f>
        <v>24958</v>
      </c>
      <c r="O10" s="6">
        <v>30837</v>
      </c>
      <c r="P10" s="6">
        <v>39593</v>
      </c>
      <c r="Q10" s="6">
        <v>35795</v>
      </c>
      <c r="R10" s="6">
        <v>32955</v>
      </c>
      <c r="S10" s="6">
        <v>48160</v>
      </c>
      <c r="T10" s="6">
        <v>37230</v>
      </c>
      <c r="U10" s="6">
        <v>39410</v>
      </c>
      <c r="V10" s="6">
        <v>42311</v>
      </c>
      <c r="W10" s="6">
        <v>66372</v>
      </c>
      <c r="X10" s="6">
        <v>80964</v>
      </c>
      <c r="Y10" s="6">
        <v>75701</v>
      </c>
      <c r="Z10" s="6">
        <v>59901</v>
      </c>
      <c r="AA10" s="6">
        <v>72905</v>
      </c>
      <c r="AB10" s="27">
        <v>81999</v>
      </c>
      <c r="AC10" s="27">
        <v>83146</v>
      </c>
      <c r="AD10" s="27">
        <v>81066</v>
      </c>
      <c r="AE10" s="33">
        <f t="shared" si="6"/>
        <v>1106316</v>
      </c>
      <c r="AF10" s="33"/>
      <c r="AG10" s="37">
        <v>0.155</v>
      </c>
      <c r="AH10" s="33">
        <f t="shared" si="7"/>
        <v>171478.98</v>
      </c>
      <c r="AI10" s="46">
        <f t="shared" si="8"/>
        <v>4.1285869356159033</v>
      </c>
      <c r="AJ10" s="46">
        <f t="shared" si="9"/>
        <v>825717.38712318067</v>
      </c>
      <c r="AK10" s="46">
        <f t="shared" si="10"/>
        <v>5327208.949181811</v>
      </c>
      <c r="AL10" s="46">
        <f t="shared" si="2"/>
        <v>267282.54940084589</v>
      </c>
      <c r="AM10" s="46">
        <f t="shared" si="11"/>
        <v>22273.545783403824</v>
      </c>
      <c r="AN10" s="48">
        <v>124143</v>
      </c>
      <c r="AP10" s="74">
        <f>საპენსიო!D14</f>
        <v>77.405156537753228</v>
      </c>
      <c r="AQ10" s="74">
        <f>შშმპ!D14</f>
        <v>82.042857142857144</v>
      </c>
      <c r="AR10" s="9">
        <f t="shared" si="12"/>
        <v>79.724006840305179</v>
      </c>
      <c r="AS10" s="9">
        <f t="shared" si="13"/>
        <v>19.931001710076295</v>
      </c>
      <c r="AT10" s="9">
        <f t="shared" si="14"/>
        <v>239.17202052091554</v>
      </c>
      <c r="AU10" s="76">
        <f t="shared" si="3"/>
        <v>1557.1595673643237</v>
      </c>
      <c r="AV10" s="76">
        <f t="shared" si="15"/>
        <v>6228.6382694572949</v>
      </c>
    </row>
    <row r="11" spans="1:48" ht="40.5" customHeight="1">
      <c r="A11" s="16">
        <v>9</v>
      </c>
      <c r="B11" s="16" t="s">
        <v>64</v>
      </c>
      <c r="C11" s="16" t="s">
        <v>65</v>
      </c>
      <c r="D11" s="20" t="s">
        <v>66</v>
      </c>
      <c r="E11" s="78">
        <f t="shared" si="0"/>
        <v>15407.6</v>
      </c>
      <c r="F11" s="78">
        <f t="shared" si="1"/>
        <v>17747.875</v>
      </c>
      <c r="G11" s="78">
        <f t="shared" si="4"/>
        <v>32779.25</v>
      </c>
      <c r="H11" s="78">
        <f t="shared" si="5"/>
        <v>34241.25</v>
      </c>
      <c r="I11" s="6">
        <v>39979</v>
      </c>
      <c r="J11" s="6">
        <f>2529+14404+837+2536</f>
        <v>20306</v>
      </c>
      <c r="K11" s="6">
        <f>1774+7298+1212+1147</f>
        <v>11431</v>
      </c>
      <c r="L11" s="6">
        <f>2120+11319+1962+1944</f>
        <v>17345</v>
      </c>
      <c r="M11" s="6">
        <v>15502</v>
      </c>
      <c r="N11" s="6">
        <f>1800+7254+2436+964</f>
        <v>12454</v>
      </c>
      <c r="O11" s="6">
        <v>17248</v>
      </c>
      <c r="P11" s="6">
        <v>20487</v>
      </c>
      <c r="Q11" s="6">
        <v>14079</v>
      </c>
      <c r="R11" s="6">
        <v>18864</v>
      </c>
      <c r="S11" s="6">
        <v>19832</v>
      </c>
      <c r="T11" s="6">
        <v>13412</v>
      </c>
      <c r="U11" s="6">
        <v>19005</v>
      </c>
      <c r="V11" s="6">
        <v>19056</v>
      </c>
      <c r="W11" s="6">
        <v>32198</v>
      </c>
      <c r="X11" s="6">
        <v>38592</v>
      </c>
      <c r="Y11" s="6">
        <v>33194</v>
      </c>
      <c r="Z11" s="6">
        <v>27133</v>
      </c>
      <c r="AA11" s="6">
        <v>34869</v>
      </c>
      <c r="AB11" s="27">
        <v>37403</v>
      </c>
      <c r="AC11" s="27">
        <v>32044</v>
      </c>
      <c r="AD11" s="27">
        <v>32649</v>
      </c>
      <c r="AE11" s="33">
        <f t="shared" si="6"/>
        <v>527082</v>
      </c>
      <c r="AF11" s="33"/>
      <c r="AG11" s="37">
        <v>2.9399999999999999E-2</v>
      </c>
      <c r="AH11" s="33">
        <f t="shared" si="7"/>
        <v>15496.210799999999</v>
      </c>
      <c r="AI11" s="46">
        <f t="shared" si="8"/>
        <v>0.37309210411929239</v>
      </c>
      <c r="AJ11" s="46">
        <f t="shared" si="9"/>
        <v>74618.420823858469</v>
      </c>
      <c r="AK11" s="46">
        <f t="shared" si="10"/>
        <v>2538041.5246210364</v>
      </c>
      <c r="AL11" s="46">
        <f t="shared" si="2"/>
        <v>134337.65085347873</v>
      </c>
      <c r="AM11" s="46">
        <f t="shared" si="11"/>
        <v>11194.804237789895</v>
      </c>
      <c r="AN11" s="48">
        <v>121039</v>
      </c>
      <c r="AP11" s="74">
        <f>საპენსიო!D9</f>
        <v>70.788461538461533</v>
      </c>
      <c r="AQ11" s="74">
        <f>შშმპ!D17</f>
        <v>80.355555555555554</v>
      </c>
      <c r="AR11" s="9">
        <f t="shared" si="12"/>
        <v>75.572008547008551</v>
      </c>
      <c r="AS11" s="9">
        <f t="shared" si="13"/>
        <v>18.893002136752138</v>
      </c>
      <c r="AT11" s="9">
        <f t="shared" si="14"/>
        <v>226.71602564102565</v>
      </c>
      <c r="AU11" s="76">
        <f t="shared" si="3"/>
        <v>1601.6379917269146</v>
      </c>
      <c r="AV11" s="76">
        <f t="shared" si="15"/>
        <v>6406.5519669076584</v>
      </c>
    </row>
    <row r="12" spans="1:48" ht="37.5" customHeight="1">
      <c r="A12" s="16">
        <v>10</v>
      </c>
      <c r="B12" s="16" t="s">
        <v>67</v>
      </c>
      <c r="C12" s="16" t="s">
        <v>67</v>
      </c>
      <c r="D12" s="15" t="s">
        <v>68</v>
      </c>
      <c r="E12" s="78">
        <f t="shared" si="0"/>
        <v>8689.4</v>
      </c>
      <c r="F12" s="78">
        <f t="shared" si="1"/>
        <v>13555.5</v>
      </c>
      <c r="G12" s="78">
        <f t="shared" si="4"/>
        <v>24737.25</v>
      </c>
      <c r="H12" s="78">
        <f t="shared" si="5"/>
        <v>28414</v>
      </c>
      <c r="I12" s="6">
        <v>0</v>
      </c>
      <c r="J12" s="6">
        <v>0</v>
      </c>
      <c r="K12" s="6">
        <v>7868</v>
      </c>
      <c r="L12" s="6">
        <f>14375</f>
        <v>14375</v>
      </c>
      <c r="M12" s="6">
        <v>11156</v>
      </c>
      <c r="N12" s="6">
        <f>10048</f>
        <v>10048</v>
      </c>
      <c r="O12" s="6">
        <v>12392</v>
      </c>
      <c r="P12" s="6">
        <v>14103</v>
      </c>
      <c r="Q12" s="6">
        <v>13297</v>
      </c>
      <c r="R12" s="6">
        <v>12604</v>
      </c>
      <c r="S12" s="6">
        <v>14359</v>
      </c>
      <c r="T12" s="6">
        <v>12716</v>
      </c>
      <c r="U12" s="6">
        <v>14051</v>
      </c>
      <c r="V12" s="6">
        <v>14922</v>
      </c>
      <c r="W12" s="6">
        <v>22164</v>
      </c>
      <c r="X12" s="6">
        <v>27374</v>
      </c>
      <c r="Y12" s="6">
        <v>25245</v>
      </c>
      <c r="Z12" s="6">
        <v>24166</v>
      </c>
      <c r="AA12" s="6">
        <v>27361</v>
      </c>
      <c r="AB12" s="27">
        <v>28311</v>
      </c>
      <c r="AC12" s="27">
        <v>29744</v>
      </c>
      <c r="AD12" s="27">
        <v>28240</v>
      </c>
      <c r="AE12" s="33">
        <f t="shared" si="6"/>
        <v>364496</v>
      </c>
      <c r="AF12" s="33"/>
      <c r="AG12" s="36">
        <v>6.1499999999999999E-2</v>
      </c>
      <c r="AH12" s="33">
        <f t="shared" si="7"/>
        <v>22416.504000000001</v>
      </c>
      <c r="AI12" s="46">
        <f t="shared" si="8"/>
        <v>0.5397074647667115</v>
      </c>
      <c r="AJ12" s="46">
        <f t="shared" si="9"/>
        <v>107941.4929533423</v>
      </c>
      <c r="AK12" s="46">
        <f t="shared" si="10"/>
        <v>1755146.2268836147</v>
      </c>
      <c r="AL12" s="46">
        <f t="shared" si="2"/>
        <v>177680.03416618693</v>
      </c>
      <c r="AM12" s="46">
        <f t="shared" si="11"/>
        <v>14806.669513848912</v>
      </c>
      <c r="AN12" s="48">
        <v>845871</v>
      </c>
      <c r="AP12" s="74">
        <f>საპენსიო!D16</f>
        <v>39.715504978662871</v>
      </c>
      <c r="AQ12" s="74">
        <f>შშმპ!D13</f>
        <v>39.30952380952381</v>
      </c>
      <c r="AR12" s="9">
        <f t="shared" si="12"/>
        <v>39.512514394093344</v>
      </c>
      <c r="AS12" s="9">
        <f t="shared" si="13"/>
        <v>9.878128598523336</v>
      </c>
      <c r="AT12" s="9">
        <f t="shared" si="14"/>
        <v>118.53754318228003</v>
      </c>
      <c r="AU12" s="76">
        <f t="shared" si="3"/>
        <v>21407.673314924443</v>
      </c>
      <c r="AV12" s="76">
        <f t="shared" si="15"/>
        <v>85630.693259697771</v>
      </c>
    </row>
    <row r="13" spans="1:48" ht="51" customHeight="1">
      <c r="A13" s="16">
        <v>11</v>
      </c>
      <c r="B13" s="16" t="s">
        <v>69</v>
      </c>
      <c r="C13" s="16" t="s">
        <v>70</v>
      </c>
      <c r="D13" s="15" t="s">
        <v>71</v>
      </c>
      <c r="E13" s="78">
        <f t="shared" si="0"/>
        <v>44384.4</v>
      </c>
      <c r="F13" s="78">
        <f t="shared" si="1"/>
        <v>58376</v>
      </c>
      <c r="G13" s="78">
        <f t="shared" si="4"/>
        <v>107546.25</v>
      </c>
      <c r="H13" s="78">
        <f t="shared" si="5"/>
        <v>119633.25</v>
      </c>
      <c r="I13" s="6">
        <v>116872</v>
      </c>
      <c r="J13" s="6">
        <v>54518</v>
      </c>
      <c r="K13" s="6">
        <f>368+9138+18725</f>
        <v>28231</v>
      </c>
      <c r="L13" s="6">
        <f>504+13261+39087</f>
        <v>52852</v>
      </c>
      <c r="M13" s="6">
        <v>49931</v>
      </c>
      <c r="N13" s="6">
        <f>10476+25914</f>
        <v>36390</v>
      </c>
      <c r="O13" s="6">
        <v>53175</v>
      </c>
      <c r="P13" s="6">
        <v>16046</v>
      </c>
      <c r="Q13" s="6">
        <v>97151</v>
      </c>
      <c r="R13" s="6">
        <v>57469</v>
      </c>
      <c r="S13" s="6">
        <v>66296</v>
      </c>
      <c r="T13" s="6">
        <v>51563</v>
      </c>
      <c r="U13" s="6">
        <v>64649</v>
      </c>
      <c r="V13" s="6">
        <v>60659</v>
      </c>
      <c r="W13" s="6">
        <v>97657</v>
      </c>
      <c r="X13" s="6">
        <v>118246</v>
      </c>
      <c r="Y13" s="6">
        <v>107252</v>
      </c>
      <c r="Z13" s="6">
        <v>107030</v>
      </c>
      <c r="AA13" s="6">
        <v>117604</v>
      </c>
      <c r="AB13" s="27">
        <v>114148</v>
      </c>
      <c r="AC13" s="27">
        <v>124387</v>
      </c>
      <c r="AD13" s="27">
        <v>122394</v>
      </c>
      <c r="AE13" s="33">
        <f t="shared" si="6"/>
        <v>1714520</v>
      </c>
      <c r="AF13" s="33"/>
      <c r="AG13" s="36">
        <v>0.1205</v>
      </c>
      <c r="AH13" s="33">
        <f t="shared" si="7"/>
        <v>206599.66</v>
      </c>
      <c r="AI13" s="46">
        <f t="shared" si="8"/>
        <v>4.9741645138003934</v>
      </c>
      <c r="AJ13" s="46">
        <f t="shared" si="9"/>
        <v>994832.90276007866</v>
      </c>
      <c r="AK13" s="46">
        <f t="shared" si="10"/>
        <v>8255874.7117018979</v>
      </c>
      <c r="AL13" s="46">
        <f t="shared" si="2"/>
        <v>335127.09448478837</v>
      </c>
      <c r="AM13" s="46">
        <f t="shared" si="11"/>
        <v>27927.257873732367</v>
      </c>
      <c r="AN13" s="48">
        <v>759525</v>
      </c>
      <c r="AP13" s="74">
        <f>საპენსიო!D10</f>
        <v>93.378066378066379</v>
      </c>
      <c r="AQ13" s="74">
        <f>შშმპ!D12</f>
        <v>103.70238095238095</v>
      </c>
      <c r="AR13" s="9">
        <f t="shared" si="12"/>
        <v>98.540223665223664</v>
      </c>
      <c r="AS13" s="9">
        <f t="shared" si="13"/>
        <v>24.635055916305916</v>
      </c>
      <c r="AT13" s="9">
        <f t="shared" si="14"/>
        <v>295.62067099567099</v>
      </c>
      <c r="AU13" s="76">
        <f t="shared" si="3"/>
        <v>7707.7661461412727</v>
      </c>
      <c r="AV13" s="76">
        <f t="shared" si="15"/>
        <v>30831.064584565091</v>
      </c>
    </row>
    <row r="14" spans="1:48" ht="46.5" customHeight="1">
      <c r="A14" s="16">
        <v>12</v>
      </c>
      <c r="B14" s="16" t="s">
        <v>72</v>
      </c>
      <c r="C14" s="16" t="s">
        <v>73</v>
      </c>
      <c r="D14" s="20" t="s">
        <v>74</v>
      </c>
      <c r="E14" s="78">
        <f t="shared" si="0"/>
        <v>48634.2</v>
      </c>
      <c r="F14" s="78">
        <f t="shared" si="1"/>
        <v>66894.25</v>
      </c>
      <c r="G14" s="78">
        <f t="shared" si="4"/>
        <v>100176.75</v>
      </c>
      <c r="H14" s="78">
        <f t="shared" si="5"/>
        <v>128898.75</v>
      </c>
      <c r="I14" s="6">
        <v>70352</v>
      </c>
      <c r="J14" s="6">
        <f>57648</f>
        <v>57648</v>
      </c>
      <c r="K14" s="6">
        <f>32988</f>
        <v>32988</v>
      </c>
      <c r="L14" s="6">
        <f>52491</f>
        <v>52491</v>
      </c>
      <c r="M14" s="6">
        <v>57398</v>
      </c>
      <c r="N14" s="6">
        <f>42646</f>
        <v>42646</v>
      </c>
      <c r="O14" s="6">
        <v>55777</v>
      </c>
      <c r="P14" s="6">
        <v>67473</v>
      </c>
      <c r="Q14" s="6">
        <v>63449</v>
      </c>
      <c r="R14" s="6">
        <v>61564</v>
      </c>
      <c r="S14" s="6">
        <v>82603</v>
      </c>
      <c r="T14" s="6">
        <v>62189</v>
      </c>
      <c r="U14" s="6">
        <v>68137</v>
      </c>
      <c r="V14" s="6">
        <v>73962</v>
      </c>
      <c r="W14" s="6">
        <v>131382</v>
      </c>
      <c r="X14" s="6">
        <v>164451</v>
      </c>
      <c r="Y14" s="6">
        <v>89377</v>
      </c>
      <c r="Z14" s="6">
        <v>15497</v>
      </c>
      <c r="AA14" s="6">
        <v>88710</v>
      </c>
      <c r="AB14" s="27">
        <v>128733</v>
      </c>
      <c r="AC14" s="27">
        <v>149378</v>
      </c>
      <c r="AD14" s="27">
        <v>148774</v>
      </c>
      <c r="AE14" s="33">
        <f t="shared" si="6"/>
        <v>1764979</v>
      </c>
      <c r="AF14" s="33"/>
      <c r="AG14" s="39">
        <v>0.09</v>
      </c>
      <c r="AH14" s="33">
        <f t="shared" si="7"/>
        <v>158848.10999999999</v>
      </c>
      <c r="AI14" s="46">
        <f t="shared" si="8"/>
        <v>3.8244817626818044</v>
      </c>
      <c r="AJ14" s="46">
        <f t="shared" si="9"/>
        <v>764896.35253636097</v>
      </c>
      <c r="AK14" s="46">
        <f t="shared" si="10"/>
        <v>8498848.3615151215</v>
      </c>
      <c r="AL14" s="46">
        <f t="shared" si="2"/>
        <v>467190.50322795869</v>
      </c>
      <c r="AM14" s="46">
        <f t="shared" si="11"/>
        <v>38932.541935663226</v>
      </c>
      <c r="AN14" s="48">
        <v>156923</v>
      </c>
      <c r="AP14" s="74">
        <f>საპენსიო!D12</f>
        <v>70.693345742205679</v>
      </c>
      <c r="AQ14" s="74">
        <f>შშმპ!D7</f>
        <v>74.837837837837839</v>
      </c>
      <c r="AR14" s="9">
        <f t="shared" si="12"/>
        <v>72.765591790021759</v>
      </c>
      <c r="AS14" s="9">
        <f t="shared" si="13"/>
        <v>18.19139794750544</v>
      </c>
      <c r="AT14" s="9">
        <f t="shared" si="14"/>
        <v>218.29677537006529</v>
      </c>
      <c r="AU14" s="76">
        <f t="shared" si="3"/>
        <v>2156.5549889682698</v>
      </c>
      <c r="AV14" s="76">
        <f t="shared" si="15"/>
        <v>8626.219955873079</v>
      </c>
    </row>
    <row r="15" spans="1:48" ht="46.5" customHeight="1">
      <c r="A15" s="16">
        <v>13</v>
      </c>
      <c r="B15" s="16" t="s">
        <v>75</v>
      </c>
      <c r="C15" s="16" t="s">
        <v>75</v>
      </c>
      <c r="D15" s="20" t="s">
        <v>76</v>
      </c>
      <c r="E15" s="78"/>
      <c r="F15" s="78"/>
      <c r="G15" s="78">
        <f t="shared" si="4"/>
        <v>99656.5</v>
      </c>
      <c r="H15" s="78">
        <f t="shared" si="5"/>
        <v>67065.75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>
        <v>0</v>
      </c>
      <c r="Z15" s="6">
        <v>199313</v>
      </c>
      <c r="AA15" s="6">
        <v>138489</v>
      </c>
      <c r="AB15" s="27">
        <v>43957</v>
      </c>
      <c r="AC15" s="27">
        <v>53947</v>
      </c>
      <c r="AD15" s="27">
        <v>31870</v>
      </c>
      <c r="AE15" s="33">
        <f t="shared" si="6"/>
        <v>467576</v>
      </c>
      <c r="AF15" s="33"/>
      <c r="AG15" s="39">
        <v>0.105</v>
      </c>
      <c r="AH15" s="33">
        <f t="shared" si="7"/>
        <v>49095.479999999996</v>
      </c>
      <c r="AI15" s="46">
        <f t="shared" si="8"/>
        <v>1.1820396723014788</v>
      </c>
      <c r="AJ15" s="46">
        <f t="shared" si="9"/>
        <v>236407.93446029574</v>
      </c>
      <c r="AK15" s="46">
        <f t="shared" si="10"/>
        <v>2251504.1377171022</v>
      </c>
      <c r="AL15" s="46">
        <f t="shared" si="2"/>
        <v>91686.631625454684</v>
      </c>
      <c r="AM15" s="46">
        <f t="shared" si="11"/>
        <v>7640.5526354545582</v>
      </c>
      <c r="AN15" s="48">
        <v>1735389</v>
      </c>
      <c r="AP15" s="74">
        <f>საპენსიო!D11</f>
        <v>97.300604229607245</v>
      </c>
      <c r="AQ15" s="74">
        <f>შშმპ!D6</f>
        <v>99.151515151515156</v>
      </c>
      <c r="AR15" s="9">
        <f t="shared" si="12"/>
        <v>98.2260596905612</v>
      </c>
      <c r="AS15" s="9">
        <f t="shared" si="13"/>
        <v>24.5565149226403</v>
      </c>
      <c r="AT15" s="9">
        <f t="shared" si="14"/>
        <v>294.67817907168359</v>
      </c>
      <c r="AU15" s="76">
        <f t="shared" si="3"/>
        <v>17667.297308544668</v>
      </c>
      <c r="AV15" s="76">
        <f t="shared" si="15"/>
        <v>70669.189234178673</v>
      </c>
    </row>
    <row r="16" spans="1:48" ht="46.5" customHeight="1">
      <c r="A16" s="16">
        <v>14</v>
      </c>
      <c r="B16" s="16" t="s">
        <v>77</v>
      </c>
      <c r="C16" s="16" t="s">
        <v>78</v>
      </c>
      <c r="D16" s="20" t="s">
        <v>79</v>
      </c>
      <c r="E16" s="78"/>
      <c r="F16" s="78"/>
      <c r="G16" s="78">
        <f t="shared" si="4"/>
        <v>5203.5</v>
      </c>
      <c r="H16" s="78">
        <f t="shared" si="5"/>
        <v>13615.75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>
        <v>0</v>
      </c>
      <c r="Z16" s="6">
        <v>10407</v>
      </c>
      <c r="AA16" s="6">
        <v>11936</v>
      </c>
      <c r="AB16" s="27">
        <v>13690</v>
      </c>
      <c r="AC16" s="27">
        <v>14570</v>
      </c>
      <c r="AD16" s="27">
        <v>14267</v>
      </c>
      <c r="AE16" s="33">
        <f t="shared" si="6"/>
        <v>64870</v>
      </c>
      <c r="AF16" s="33"/>
      <c r="AG16" s="40">
        <v>0.23400000000000001</v>
      </c>
      <c r="AH16" s="33">
        <f t="shared" si="7"/>
        <v>15179.580000000002</v>
      </c>
      <c r="AI16" s="46">
        <f t="shared" si="8"/>
        <v>0.36546879201250471</v>
      </c>
      <c r="AJ16" s="46">
        <f t="shared" si="9"/>
        <v>73093.758402500942</v>
      </c>
      <c r="AK16" s="46">
        <f t="shared" si="10"/>
        <v>312366.48889957665</v>
      </c>
      <c r="AL16" s="46">
        <f t="shared" si="2"/>
        <v>35627.122790332658</v>
      </c>
      <c r="AM16" s="46">
        <f t="shared" si="11"/>
        <v>2968.9268991943882</v>
      </c>
      <c r="AN16" s="48">
        <v>408402</v>
      </c>
      <c r="AP16" s="74">
        <f>საპენსიო!D13</f>
        <v>37.95945945945946</v>
      </c>
      <c r="AQ16" s="74">
        <f>შშმპ!D8</f>
        <v>32.18181818181818</v>
      </c>
      <c r="AR16" s="9">
        <f t="shared" si="12"/>
        <v>35.07063882063882</v>
      </c>
      <c r="AS16" s="9">
        <f t="shared" si="13"/>
        <v>8.7676597051597049</v>
      </c>
      <c r="AT16" s="9">
        <f t="shared" si="14"/>
        <v>105.21191646191646</v>
      </c>
      <c r="AU16" s="76">
        <f t="shared" si="3"/>
        <v>11645.12577283475</v>
      </c>
      <c r="AV16" s="76">
        <f t="shared" si="15"/>
        <v>46580.503091339</v>
      </c>
    </row>
    <row r="17" spans="1:48" ht="46.5" customHeight="1">
      <c r="A17" s="16">
        <v>15</v>
      </c>
      <c r="B17" s="21" t="s">
        <v>80</v>
      </c>
      <c r="C17" s="16" t="s">
        <v>81</v>
      </c>
      <c r="D17" s="20" t="s">
        <v>68</v>
      </c>
      <c r="E17" s="78"/>
      <c r="F17" s="78"/>
      <c r="G17" s="78">
        <f t="shared" si="4"/>
        <v>0</v>
      </c>
      <c r="H17" s="78">
        <f t="shared" si="5"/>
        <v>22701.5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>
        <v>0</v>
      </c>
      <c r="AA17" s="6">
        <v>9963</v>
      </c>
      <c r="AB17" s="27">
        <v>21402</v>
      </c>
      <c r="AC17" s="27">
        <v>23577</v>
      </c>
      <c r="AD17" s="27">
        <v>35864</v>
      </c>
      <c r="AE17" s="33">
        <f t="shared" si="6"/>
        <v>90806</v>
      </c>
      <c r="AF17" s="33"/>
      <c r="AG17" s="39">
        <v>0.316</v>
      </c>
      <c r="AH17" s="33">
        <f t="shared" si="7"/>
        <v>28694.696</v>
      </c>
      <c r="AI17" s="46">
        <f t="shared" si="8"/>
        <v>0.6908633759488767</v>
      </c>
      <c r="AJ17" s="46">
        <f t="shared" si="9"/>
        <v>138172.67518977533</v>
      </c>
      <c r="AK17" s="46">
        <f t="shared" si="10"/>
        <v>437255.30123346625</v>
      </c>
      <c r="AL17" s="46">
        <f t="shared" si="2"/>
        <v>58300.706831128831</v>
      </c>
      <c r="AM17" s="46">
        <f t="shared" si="11"/>
        <v>4858.3922359274029</v>
      </c>
      <c r="AN17" s="48">
        <v>743338</v>
      </c>
      <c r="AP17" s="74"/>
      <c r="AQ17" s="74">
        <f>შშმპ!D28</f>
        <v>30</v>
      </c>
      <c r="AR17" s="9">
        <f t="shared" si="12"/>
        <v>30</v>
      </c>
      <c r="AS17" s="9">
        <f t="shared" si="13"/>
        <v>7.5</v>
      </c>
      <c r="AT17" s="9">
        <f t="shared" si="14"/>
        <v>90</v>
      </c>
      <c r="AU17" s="76">
        <f t="shared" si="3"/>
        <v>24777.933333333334</v>
      </c>
      <c r="AV17" s="76">
        <f t="shared" si="15"/>
        <v>99111.733333333337</v>
      </c>
    </row>
    <row r="18" spans="1:48" ht="46.5" customHeight="1">
      <c r="A18" s="16">
        <v>16</v>
      </c>
      <c r="B18" s="21" t="s">
        <v>82</v>
      </c>
      <c r="C18" s="16" t="s">
        <v>83</v>
      </c>
      <c r="D18" s="20" t="s">
        <v>68</v>
      </c>
      <c r="E18" s="78"/>
      <c r="F18" s="78"/>
      <c r="G18" s="78">
        <f t="shared" si="4"/>
        <v>92</v>
      </c>
      <c r="H18" s="78">
        <f t="shared" si="5"/>
        <v>41466.75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>
        <v>92</v>
      </c>
      <c r="AA18" s="6">
        <v>18621</v>
      </c>
      <c r="AB18" s="27">
        <v>37794</v>
      </c>
      <c r="AC18" s="27">
        <v>50309</v>
      </c>
      <c r="AD18" s="27">
        <v>59143</v>
      </c>
      <c r="AE18" s="33">
        <f t="shared" si="6"/>
        <v>165959</v>
      </c>
      <c r="AF18" s="33"/>
      <c r="AG18" s="39">
        <v>0.38</v>
      </c>
      <c r="AH18" s="33">
        <f t="shared" si="7"/>
        <v>63064.42</v>
      </c>
      <c r="AI18" s="46">
        <f t="shared" si="8"/>
        <v>1.5183606790417943</v>
      </c>
      <c r="AJ18" s="46">
        <f t="shared" si="9"/>
        <v>303672.13580835884</v>
      </c>
      <c r="AK18" s="46">
        <f t="shared" si="10"/>
        <v>799137.1994956811</v>
      </c>
      <c r="AN18" s="48">
        <v>851106</v>
      </c>
      <c r="AP18" s="74"/>
      <c r="AQ18" s="74"/>
      <c r="AR18" s="9"/>
      <c r="AS18" s="9">
        <f t="shared" si="13"/>
        <v>0</v>
      </c>
      <c r="AT18" s="9">
        <f t="shared" si="14"/>
        <v>0</v>
      </c>
      <c r="AU18" s="76"/>
    </row>
    <row r="19" spans="1:48" ht="46.5" customHeight="1">
      <c r="A19" s="16">
        <v>18</v>
      </c>
      <c r="B19" s="21" t="s">
        <v>84</v>
      </c>
      <c r="C19" s="16" t="s">
        <v>85</v>
      </c>
      <c r="D19" s="20" t="s">
        <v>86</v>
      </c>
      <c r="E19" s="78"/>
      <c r="F19" s="78"/>
      <c r="G19" s="78">
        <f t="shared" si="4"/>
        <v>14476</v>
      </c>
      <c r="H19" s="78">
        <f t="shared" si="5"/>
        <v>83265.75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>
        <v>14476</v>
      </c>
      <c r="AA19" s="6">
        <v>64466</v>
      </c>
      <c r="AB19" s="27">
        <v>102410</v>
      </c>
      <c r="AC19" s="27">
        <v>128627</v>
      </c>
      <c r="AD19" s="27">
        <v>37560</v>
      </c>
      <c r="AE19" s="33">
        <f t="shared" si="6"/>
        <v>347539</v>
      </c>
      <c r="AF19" s="33"/>
      <c r="AG19" s="36">
        <v>6.7500000000000004E-2</v>
      </c>
      <c r="AH19" s="33">
        <f t="shared" si="7"/>
        <v>23458.882500000003</v>
      </c>
      <c r="AI19" s="46">
        <f t="shared" si="8"/>
        <v>0.56480412825903525</v>
      </c>
      <c r="AJ19" s="46">
        <f t="shared" si="9"/>
        <v>112960.82565180706</v>
      </c>
      <c r="AK19" s="46">
        <f t="shared" si="10"/>
        <v>1673493.7133601045</v>
      </c>
      <c r="AN19" s="48">
        <v>1812679</v>
      </c>
      <c r="AP19" s="74"/>
      <c r="AQ19" s="74"/>
      <c r="AR19" s="9"/>
      <c r="AS19" s="9">
        <f t="shared" si="13"/>
        <v>0</v>
      </c>
      <c r="AT19" s="9">
        <f t="shared" si="14"/>
        <v>0</v>
      </c>
      <c r="AU19" s="76"/>
    </row>
    <row r="20" spans="1:48" ht="46.5" customHeight="1">
      <c r="A20" s="16">
        <v>19</v>
      </c>
      <c r="B20" s="21" t="s">
        <v>87</v>
      </c>
      <c r="C20" s="16" t="s">
        <v>88</v>
      </c>
      <c r="D20" s="20" t="s">
        <v>89</v>
      </c>
      <c r="E20" s="78"/>
      <c r="F20" s="78"/>
      <c r="G20" s="78">
        <f t="shared" si="4"/>
        <v>152</v>
      </c>
      <c r="H20" s="78">
        <f t="shared" si="5"/>
        <v>34770.75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>
        <v>152</v>
      </c>
      <c r="AA20" s="6">
        <v>19619</v>
      </c>
      <c r="AB20" s="27">
        <v>36603</v>
      </c>
      <c r="AC20" s="27">
        <v>40167</v>
      </c>
      <c r="AD20" s="27">
        <v>42694</v>
      </c>
      <c r="AE20" s="33">
        <f t="shared" si="6"/>
        <v>139235</v>
      </c>
      <c r="AF20" s="33"/>
      <c r="AG20" s="39">
        <v>0.06</v>
      </c>
      <c r="AH20" s="33">
        <f t="shared" si="7"/>
        <v>8354.1</v>
      </c>
      <c r="AI20" s="46">
        <f t="shared" si="8"/>
        <v>0.2011361865974991</v>
      </c>
      <c r="AJ20" s="46">
        <f t="shared" si="9"/>
        <v>40227.237319499822</v>
      </c>
      <c r="AK20" s="46">
        <f t="shared" si="10"/>
        <v>670453.95532499708</v>
      </c>
      <c r="AL20" s="46">
        <f t="shared" ref="AL20:AL31" si="16">AK20/AS20</f>
        <v>43964.193791803089</v>
      </c>
      <c r="AM20" s="46">
        <f t="shared" si="11"/>
        <v>3663.6828159835904</v>
      </c>
      <c r="AN20" s="48">
        <v>1501133</v>
      </c>
      <c r="AP20" s="74">
        <f>საპენსიო!D29</f>
        <v>61</v>
      </c>
      <c r="AQ20" s="74"/>
      <c r="AR20" s="9">
        <f t="shared" si="12"/>
        <v>61</v>
      </c>
      <c r="AS20" s="9">
        <f t="shared" si="13"/>
        <v>15.25</v>
      </c>
      <c r="AT20" s="9">
        <f t="shared" si="14"/>
        <v>183</v>
      </c>
      <c r="AU20" s="76">
        <f t="shared" ref="AU20:AU31" si="17">AN20/AR20</f>
        <v>24608.737704918032</v>
      </c>
    </row>
    <row r="21" spans="1:48" ht="46.5" customHeight="1">
      <c r="A21" s="16">
        <v>20</v>
      </c>
      <c r="B21" s="21" t="s">
        <v>90</v>
      </c>
      <c r="C21" s="21" t="s">
        <v>91</v>
      </c>
      <c r="D21" s="20" t="s">
        <v>86</v>
      </c>
      <c r="E21" s="78"/>
      <c r="F21" s="78"/>
      <c r="G21" s="78">
        <f t="shared" si="4"/>
        <v>5620</v>
      </c>
      <c r="H21" s="78">
        <f t="shared" si="5"/>
        <v>35194.75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>
        <v>5620</v>
      </c>
      <c r="AA21" s="6">
        <v>23666</v>
      </c>
      <c r="AB21" s="27">
        <v>35141</v>
      </c>
      <c r="AC21" s="27">
        <v>40081</v>
      </c>
      <c r="AD21" s="27">
        <v>41891</v>
      </c>
      <c r="AE21" s="33">
        <f t="shared" si="6"/>
        <v>146399</v>
      </c>
      <c r="AF21" s="33"/>
      <c r="AG21" s="40">
        <v>0.14899999999999999</v>
      </c>
      <c r="AH21" s="33">
        <f t="shared" si="7"/>
        <v>21813.450999999997</v>
      </c>
      <c r="AI21" s="46">
        <f t="shared" si="8"/>
        <v>0.525188153202787</v>
      </c>
      <c r="AJ21" s="46">
        <f t="shared" si="9"/>
        <v>105037.63064055741</v>
      </c>
      <c r="AK21" s="46">
        <f t="shared" si="10"/>
        <v>704950.54121179471</v>
      </c>
      <c r="AL21" s="46">
        <f t="shared" si="16"/>
        <v>60842.20438674411</v>
      </c>
      <c r="AM21" s="46">
        <f t="shared" si="11"/>
        <v>5070.1836988953419</v>
      </c>
      <c r="AN21" s="48">
        <v>1800628</v>
      </c>
      <c r="AP21" s="74">
        <f>საპენსიო!D35</f>
        <v>54.692307692307693</v>
      </c>
      <c r="AQ21" s="74">
        <f>შშმპ!D36</f>
        <v>38</v>
      </c>
      <c r="AR21" s="9">
        <f t="shared" si="12"/>
        <v>46.346153846153847</v>
      </c>
      <c r="AS21" s="9">
        <f t="shared" si="13"/>
        <v>11.586538461538462</v>
      </c>
      <c r="AT21" s="9">
        <f t="shared" si="14"/>
        <v>139.03846153846155</v>
      </c>
      <c r="AU21" s="76">
        <f t="shared" si="17"/>
        <v>38851.724481327801</v>
      </c>
    </row>
    <row r="22" spans="1:48" ht="46.5" customHeight="1">
      <c r="A22" s="16">
        <v>22</v>
      </c>
      <c r="B22" s="21" t="s">
        <v>92</v>
      </c>
      <c r="C22" s="16" t="s">
        <v>93</v>
      </c>
      <c r="D22" s="20" t="s">
        <v>94</v>
      </c>
      <c r="E22" s="78"/>
      <c r="F22" s="78"/>
      <c r="G22" s="78">
        <f t="shared" si="4"/>
        <v>16901</v>
      </c>
      <c r="H22" s="78">
        <f t="shared" si="5"/>
        <v>132485.75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>
        <v>16901</v>
      </c>
      <c r="AA22" s="6">
        <v>84884</v>
      </c>
      <c r="AB22" s="27">
        <v>131581</v>
      </c>
      <c r="AC22" s="27">
        <v>153370</v>
      </c>
      <c r="AD22" s="27">
        <v>160108</v>
      </c>
      <c r="AE22" s="33">
        <f t="shared" si="6"/>
        <v>546844</v>
      </c>
      <c r="AF22" s="33"/>
      <c r="AG22" s="39">
        <v>7.2099999999999997E-2</v>
      </c>
      <c r="AH22" s="33">
        <f t="shared" si="7"/>
        <v>39427.452400000002</v>
      </c>
      <c r="AI22" s="46">
        <f t="shared" si="8"/>
        <v>0.94926891262857926</v>
      </c>
      <c r="AJ22" s="46">
        <f t="shared" si="9"/>
        <v>189853.78252571585</v>
      </c>
      <c r="AK22" s="46">
        <f t="shared" si="10"/>
        <v>2633200.8672082643</v>
      </c>
      <c r="AL22" s="46">
        <f t="shared" si="16"/>
        <v>152883.9464895417</v>
      </c>
      <c r="AM22" s="46">
        <f t="shared" si="11"/>
        <v>12740.328874128476</v>
      </c>
      <c r="AN22" s="48">
        <v>20329792</v>
      </c>
      <c r="AP22" s="74">
        <f>საპენსიო!D31</f>
        <v>72.359649122807014</v>
      </c>
      <c r="AQ22" s="74">
        <f>შშმპ!D31</f>
        <v>65.428571428571431</v>
      </c>
      <c r="AR22" s="9">
        <f t="shared" si="12"/>
        <v>68.894110275689229</v>
      </c>
      <c r="AS22" s="9">
        <f t="shared" si="13"/>
        <v>17.223527568922307</v>
      </c>
      <c r="AT22" s="9">
        <f t="shared" si="14"/>
        <v>206.68233082706769</v>
      </c>
      <c r="AU22" s="76">
        <f t="shared" si="17"/>
        <v>295087.517911873</v>
      </c>
    </row>
    <row r="23" spans="1:48" ht="46.5" customHeight="1">
      <c r="A23" s="16">
        <v>23</v>
      </c>
      <c r="B23" s="21" t="s">
        <v>95</v>
      </c>
      <c r="C23" s="16" t="s">
        <v>96</v>
      </c>
      <c r="D23" s="20" t="s">
        <v>97</v>
      </c>
      <c r="E23" s="78"/>
      <c r="F23" s="78"/>
      <c r="G23" s="78">
        <f t="shared" si="4"/>
        <v>2114</v>
      </c>
      <c r="H23" s="78">
        <f t="shared" si="5"/>
        <v>21529.5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>
        <v>2114</v>
      </c>
      <c r="AA23" s="6">
        <v>15922</v>
      </c>
      <c r="AB23" s="27">
        <v>19185</v>
      </c>
      <c r="AC23" s="27">
        <v>23726</v>
      </c>
      <c r="AD23" s="27">
        <v>27285</v>
      </c>
      <c r="AE23" s="33">
        <f t="shared" si="6"/>
        <v>88232</v>
      </c>
      <c r="AF23" s="33"/>
      <c r="AG23" s="39">
        <v>0.08</v>
      </c>
      <c r="AH23" s="33">
        <f t="shared" si="7"/>
        <v>7058.56</v>
      </c>
      <c r="AI23" s="46">
        <f t="shared" si="8"/>
        <v>0.16994431970764576</v>
      </c>
      <c r="AJ23" s="46">
        <f t="shared" si="9"/>
        <v>33988.863941529155</v>
      </c>
      <c r="AK23" s="46">
        <f t="shared" si="10"/>
        <v>424860.79926911445</v>
      </c>
      <c r="AL23" s="46">
        <f t="shared" si="16"/>
        <v>28448.82884973806</v>
      </c>
      <c r="AM23" s="46">
        <f t="shared" si="11"/>
        <v>2370.7357374781714</v>
      </c>
      <c r="AN23" s="48">
        <v>4642341</v>
      </c>
      <c r="AP23" s="74">
        <f>საპენსიო!D30</f>
        <v>59.736842105263158</v>
      </c>
      <c r="AQ23" s="74"/>
      <c r="AR23" s="9">
        <f t="shared" si="12"/>
        <v>59.736842105263158</v>
      </c>
      <c r="AS23" s="9">
        <f t="shared" si="13"/>
        <v>14.934210526315789</v>
      </c>
      <c r="AT23" s="9">
        <f t="shared" si="14"/>
        <v>179.21052631578948</v>
      </c>
      <c r="AU23" s="76">
        <f t="shared" si="17"/>
        <v>77713.197356828197</v>
      </c>
    </row>
    <row r="24" spans="1:48" ht="33.75" customHeight="1">
      <c r="A24" s="16">
        <v>24</v>
      </c>
      <c r="B24" s="16" t="s">
        <v>98</v>
      </c>
      <c r="C24" s="16" t="s">
        <v>99</v>
      </c>
      <c r="D24" s="19" t="s">
        <v>100</v>
      </c>
      <c r="E24" s="78">
        <f t="shared" ref="E24:E31" si="18">AVERAGE(J24:N24)</f>
        <v>111386.8</v>
      </c>
      <c r="F24" s="78">
        <f t="shared" ref="F24:F31" si="19">AVERAGE(O24:V24)</f>
        <v>170083.625</v>
      </c>
      <c r="G24" s="78">
        <f t="shared" si="4"/>
        <v>340627</v>
      </c>
      <c r="H24" s="78">
        <f t="shared" si="5"/>
        <v>413211</v>
      </c>
      <c r="I24" s="6">
        <v>255662</v>
      </c>
      <c r="J24" s="6">
        <v>103969</v>
      </c>
      <c r="K24" s="6">
        <f>14393+31795+12615+6244+1102</f>
        <v>66149</v>
      </c>
      <c r="L24" s="6">
        <f>31487+100998+25728+1020</f>
        <v>159233</v>
      </c>
      <c r="M24" s="6">
        <v>129089</v>
      </c>
      <c r="N24" s="22">
        <f>6352+51394+39920+828</f>
        <v>98494</v>
      </c>
      <c r="O24" s="22">
        <v>168080</v>
      </c>
      <c r="P24" s="22">
        <v>168944</v>
      </c>
      <c r="Q24" s="22">
        <v>137425</v>
      </c>
      <c r="R24" s="22">
        <v>172936</v>
      </c>
      <c r="S24" s="22">
        <v>195246</v>
      </c>
      <c r="T24" s="22">
        <v>141714</v>
      </c>
      <c r="U24" s="22">
        <v>185410</v>
      </c>
      <c r="V24" s="22">
        <v>190914</v>
      </c>
      <c r="W24" s="22">
        <v>277656</v>
      </c>
      <c r="X24" s="22">
        <v>352098</v>
      </c>
      <c r="Y24" s="22">
        <v>363351</v>
      </c>
      <c r="Z24" s="22">
        <v>369403</v>
      </c>
      <c r="AA24" s="22">
        <v>398024</v>
      </c>
      <c r="AB24" s="29">
        <v>426880</v>
      </c>
      <c r="AC24" s="29">
        <v>422016</v>
      </c>
      <c r="AD24" s="29">
        <v>405924</v>
      </c>
      <c r="AE24" s="33">
        <f t="shared" si="6"/>
        <v>5188617</v>
      </c>
      <c r="AF24" s="33"/>
      <c r="AG24" s="40">
        <v>8.4500000000000006E-2</v>
      </c>
      <c r="AH24" s="33">
        <f t="shared" si="7"/>
        <v>438438.13650000002</v>
      </c>
      <c r="AI24" s="46">
        <f t="shared" si="8"/>
        <v>10.555987459394043</v>
      </c>
      <c r="AJ24" s="46">
        <f t="shared" si="9"/>
        <v>2111197.4918788085</v>
      </c>
      <c r="AK24" s="46">
        <f t="shared" si="10"/>
        <v>24984585.70270779</v>
      </c>
      <c r="AL24" s="46">
        <f t="shared" si="16"/>
        <v>690732.3753495625</v>
      </c>
      <c r="AM24" s="46">
        <f t="shared" si="11"/>
        <v>57561.031279130213</v>
      </c>
      <c r="AN24" s="48">
        <v>823420</v>
      </c>
      <c r="AP24" s="74">
        <f>საპენსიო!D18</f>
        <v>143.02982162764772</v>
      </c>
      <c r="AQ24" s="74">
        <f>შშმპ!D19</f>
        <v>146.33939393939394</v>
      </c>
      <c r="AR24" s="9">
        <f t="shared" si="12"/>
        <v>144.68460778352085</v>
      </c>
      <c r="AS24" s="9">
        <f t="shared" si="13"/>
        <v>36.171151945880212</v>
      </c>
      <c r="AT24" s="9">
        <f t="shared" si="14"/>
        <v>434.05382335056254</v>
      </c>
      <c r="AU24" s="76">
        <f t="shared" si="17"/>
        <v>5691.1375205302602</v>
      </c>
    </row>
    <row r="25" spans="1:48" ht="51.75" customHeight="1">
      <c r="A25" s="16">
        <v>25</v>
      </c>
      <c r="B25" s="16" t="s">
        <v>101</v>
      </c>
      <c r="C25" s="16" t="s">
        <v>102</v>
      </c>
      <c r="D25" s="20" t="s">
        <v>103</v>
      </c>
      <c r="E25" s="78">
        <f t="shared" si="18"/>
        <v>29537.8</v>
      </c>
      <c r="F25" s="78">
        <f t="shared" si="19"/>
        <v>59391.375</v>
      </c>
      <c r="G25" s="78">
        <f t="shared" si="4"/>
        <v>107459.75</v>
      </c>
      <c r="H25" s="78">
        <f t="shared" si="5"/>
        <v>148344.75</v>
      </c>
      <c r="I25" s="6">
        <v>22614</v>
      </c>
      <c r="J25" s="6">
        <f>3092+8803</f>
        <v>11895</v>
      </c>
      <c r="K25" s="6">
        <v>700</v>
      </c>
      <c r="L25" s="6">
        <f>562+329+28856</f>
        <v>29747</v>
      </c>
      <c r="M25" s="6">
        <v>79226</v>
      </c>
      <c r="N25" s="6">
        <f>26120+1</f>
        <v>26121</v>
      </c>
      <c r="O25" s="6">
        <v>51767</v>
      </c>
      <c r="P25" s="6">
        <v>64413</v>
      </c>
      <c r="Q25" s="6">
        <v>45245</v>
      </c>
      <c r="R25" s="6">
        <v>53493</v>
      </c>
      <c r="S25" s="6">
        <v>75130</v>
      </c>
      <c r="T25" s="6">
        <v>47604</v>
      </c>
      <c r="U25" s="6">
        <v>60976</v>
      </c>
      <c r="V25" s="6">
        <v>76503</v>
      </c>
      <c r="W25" s="6">
        <v>99668</v>
      </c>
      <c r="X25" s="6">
        <v>130154</v>
      </c>
      <c r="Y25" s="6">
        <v>97303</v>
      </c>
      <c r="Z25" s="6">
        <v>102714</v>
      </c>
      <c r="AA25" s="6">
        <v>167394</v>
      </c>
      <c r="AB25" s="27">
        <v>142531</v>
      </c>
      <c r="AC25" s="27">
        <v>138106</v>
      </c>
      <c r="AD25" s="27">
        <v>145348</v>
      </c>
      <c r="AE25" s="33">
        <f t="shared" si="6"/>
        <v>1668652</v>
      </c>
      <c r="AF25" s="33"/>
      <c r="AG25" s="41">
        <v>0.1119</v>
      </c>
      <c r="AH25" s="33">
        <f t="shared" si="7"/>
        <v>186722.1588</v>
      </c>
      <c r="AI25" s="46">
        <f t="shared" si="8"/>
        <v>4.4955869542242324</v>
      </c>
      <c r="AJ25" s="46">
        <f t="shared" si="9"/>
        <v>899117.39084484649</v>
      </c>
      <c r="AK25" s="46">
        <f t="shared" si="10"/>
        <v>8035007.9610799504</v>
      </c>
      <c r="AL25" s="46">
        <f t="shared" si="16"/>
        <v>380995.92534833838</v>
      </c>
      <c r="AM25" s="46">
        <f t="shared" si="11"/>
        <v>31749.660445694863</v>
      </c>
      <c r="AN25" s="48">
        <v>610238</v>
      </c>
      <c r="AP25" s="74">
        <f>საპენსიო!D20</f>
        <v>83.653382275825905</v>
      </c>
      <c r="AQ25" s="74">
        <f>შშმპ!D20</f>
        <v>85.0625</v>
      </c>
      <c r="AR25" s="9">
        <f t="shared" si="12"/>
        <v>84.357941137912945</v>
      </c>
      <c r="AS25" s="9">
        <f t="shared" si="13"/>
        <v>21.089485284478236</v>
      </c>
      <c r="AT25" s="9">
        <f t="shared" si="14"/>
        <v>253.07382341373884</v>
      </c>
      <c r="AU25" s="76">
        <f t="shared" si="17"/>
        <v>7233.9129164182632</v>
      </c>
    </row>
    <row r="26" spans="1:48">
      <c r="A26" s="16">
        <v>26</v>
      </c>
      <c r="B26" s="16" t="s">
        <v>104</v>
      </c>
      <c r="C26" s="16" t="s">
        <v>105</v>
      </c>
      <c r="D26" s="23" t="s">
        <v>106</v>
      </c>
      <c r="E26" s="78">
        <f t="shared" si="18"/>
        <v>32737.8</v>
      </c>
      <c r="F26" s="78">
        <f t="shared" si="19"/>
        <v>54173.125</v>
      </c>
      <c r="G26" s="78">
        <f t="shared" si="4"/>
        <v>105344.25</v>
      </c>
      <c r="H26" s="78">
        <f t="shared" si="5"/>
        <v>131738.25</v>
      </c>
      <c r="I26" s="6">
        <v>35404</v>
      </c>
      <c r="J26" s="6">
        <f>630+300</f>
        <v>930</v>
      </c>
      <c r="K26" s="6">
        <v>24</v>
      </c>
      <c r="L26" s="6">
        <f>2+18170+30+84119</f>
        <v>102321</v>
      </c>
      <c r="M26" s="6">
        <v>38566</v>
      </c>
      <c r="N26" s="6">
        <f>3538+30+18280</f>
        <v>21848</v>
      </c>
      <c r="O26" s="6">
        <v>72462</v>
      </c>
      <c r="P26" s="6">
        <v>48945</v>
      </c>
      <c r="Q26" s="6">
        <v>33097</v>
      </c>
      <c r="R26" s="6">
        <v>65867</v>
      </c>
      <c r="S26" s="6">
        <v>59457</v>
      </c>
      <c r="T26" s="6">
        <v>34447</v>
      </c>
      <c r="U26" s="6">
        <v>64628</v>
      </c>
      <c r="V26" s="6">
        <v>54482</v>
      </c>
      <c r="W26" s="6">
        <v>84344</v>
      </c>
      <c r="X26" s="6">
        <v>130224</v>
      </c>
      <c r="Y26" s="6">
        <v>103094</v>
      </c>
      <c r="Z26" s="6">
        <v>103715</v>
      </c>
      <c r="AA26" s="6">
        <v>136114</v>
      </c>
      <c r="AB26" s="27">
        <v>128423</v>
      </c>
      <c r="AC26" s="27">
        <v>130971</v>
      </c>
      <c r="AD26" s="27">
        <v>131445</v>
      </c>
      <c r="AE26" s="33">
        <f t="shared" si="6"/>
        <v>1580808</v>
      </c>
      <c r="AF26" s="33"/>
      <c r="AG26" s="42">
        <v>0.109</v>
      </c>
      <c r="AH26" s="33">
        <f t="shared" si="7"/>
        <v>172308.07199999999</v>
      </c>
      <c r="AI26" s="46">
        <f t="shared" si="8"/>
        <v>4.1485484399333625</v>
      </c>
      <c r="AJ26" s="46">
        <f t="shared" si="9"/>
        <v>829709.68798667251</v>
      </c>
      <c r="AK26" s="46">
        <f t="shared" si="10"/>
        <v>7612015.4861162612</v>
      </c>
      <c r="AL26" s="46">
        <f t="shared" si="16"/>
        <v>259106.61317650956</v>
      </c>
      <c r="AM26" s="46">
        <f t="shared" si="11"/>
        <v>21592.21776470913</v>
      </c>
      <c r="AN26" s="48">
        <v>304248</v>
      </c>
      <c r="AP26" s="74">
        <f>საპენსიო!D19</f>
        <v>119.85441176470589</v>
      </c>
      <c r="AQ26" s="74">
        <f>შშმპ!D18</f>
        <v>115.16901408450704</v>
      </c>
      <c r="AR26" s="9">
        <f t="shared" si="12"/>
        <v>117.51171292460646</v>
      </c>
      <c r="AS26" s="9">
        <f t="shared" si="13"/>
        <v>29.377928231151614</v>
      </c>
      <c r="AT26" s="9">
        <f t="shared" si="14"/>
        <v>352.53513877381937</v>
      </c>
      <c r="AU26" s="76">
        <f t="shared" si="17"/>
        <v>2589.0865891402709</v>
      </c>
    </row>
    <row r="27" spans="1:48">
      <c r="A27" s="16">
        <v>27</v>
      </c>
      <c r="B27" s="16" t="s">
        <v>107</v>
      </c>
      <c r="C27" s="16" t="s">
        <v>108</v>
      </c>
      <c r="D27" s="20" t="s">
        <v>109</v>
      </c>
      <c r="E27" s="78">
        <f t="shared" si="18"/>
        <v>3042.2</v>
      </c>
      <c r="F27" s="78">
        <f t="shared" si="19"/>
        <v>3862.625</v>
      </c>
      <c r="G27" s="78">
        <f t="shared" si="4"/>
        <v>8559.25</v>
      </c>
      <c r="H27" s="78">
        <f t="shared" si="5"/>
        <v>7996.333333333333</v>
      </c>
      <c r="I27" s="6">
        <v>2774</v>
      </c>
      <c r="J27" s="6">
        <v>3424</v>
      </c>
      <c r="K27" s="6">
        <v>2384</v>
      </c>
      <c r="L27" s="6">
        <f>2117</f>
        <v>2117</v>
      </c>
      <c r="M27" s="6">
        <v>4162</v>
      </c>
      <c r="N27" s="6">
        <f>2480+644</f>
        <v>3124</v>
      </c>
      <c r="O27" s="6">
        <v>2678</v>
      </c>
      <c r="P27" s="6">
        <v>2208</v>
      </c>
      <c r="Q27" s="6">
        <v>5712</v>
      </c>
      <c r="R27" s="6">
        <v>2577</v>
      </c>
      <c r="S27" s="6">
        <v>4044</v>
      </c>
      <c r="T27" s="6">
        <v>5261</v>
      </c>
      <c r="U27" s="6">
        <v>4810</v>
      </c>
      <c r="V27" s="6">
        <v>3611</v>
      </c>
      <c r="W27" s="6">
        <v>6970</v>
      </c>
      <c r="X27" s="6">
        <v>10729</v>
      </c>
      <c r="Y27" s="6">
        <v>7133</v>
      </c>
      <c r="Z27" s="6">
        <v>9405</v>
      </c>
      <c r="AA27" s="6">
        <v>6884</v>
      </c>
      <c r="AB27" s="27">
        <v>10015</v>
      </c>
      <c r="AC27" s="27">
        <v>7090</v>
      </c>
      <c r="AD27" s="27"/>
      <c r="AE27" s="33">
        <f t="shared" si="6"/>
        <v>107112</v>
      </c>
      <c r="AF27" s="33"/>
      <c r="AG27" s="36">
        <v>0.16520000000000001</v>
      </c>
      <c r="AH27" s="33">
        <f t="shared" si="7"/>
        <v>17694.902400000003</v>
      </c>
      <c r="AI27" s="46">
        <f t="shared" si="8"/>
        <v>0.42602855974323206</v>
      </c>
      <c r="AJ27" s="46">
        <f t="shared" si="9"/>
        <v>85205.711948646422</v>
      </c>
      <c r="AK27" s="46">
        <f t="shared" si="10"/>
        <v>515773.07474967564</v>
      </c>
      <c r="AL27" s="46">
        <f t="shared" si="16"/>
        <v>15842.754968978164</v>
      </c>
      <c r="AM27" s="46">
        <f t="shared" si="11"/>
        <v>1320.2295807481803</v>
      </c>
      <c r="AN27" s="48">
        <v>21710</v>
      </c>
      <c r="AP27" s="74">
        <f>საპენსიო!D27</f>
        <v>189.44615384615383</v>
      </c>
      <c r="AQ27" s="74">
        <f>შშმპ!D26</f>
        <v>71</v>
      </c>
      <c r="AR27" s="9">
        <f t="shared" si="12"/>
        <v>130.22307692307692</v>
      </c>
      <c r="AS27" s="9">
        <f t="shared" si="13"/>
        <v>32.555769230769229</v>
      </c>
      <c r="AT27" s="9">
        <f t="shared" si="14"/>
        <v>390.66923076923075</v>
      </c>
      <c r="AU27" s="76">
        <f t="shared" si="17"/>
        <v>166.71392285427373</v>
      </c>
    </row>
    <row r="28" spans="1:48" ht="27.75" customHeight="1">
      <c r="A28" s="16">
        <v>28</v>
      </c>
      <c r="B28" s="16" t="s">
        <v>110</v>
      </c>
      <c r="C28" s="16" t="s">
        <v>111</v>
      </c>
      <c r="D28" s="20" t="s">
        <v>112</v>
      </c>
      <c r="E28" s="78">
        <f t="shared" si="18"/>
        <v>28454.799999999999</v>
      </c>
      <c r="F28" s="78">
        <f t="shared" si="19"/>
        <v>36332.375</v>
      </c>
      <c r="G28" s="78">
        <f t="shared" si="4"/>
        <v>89779</v>
      </c>
      <c r="H28" s="78">
        <f t="shared" si="5"/>
        <v>101791.75</v>
      </c>
      <c r="I28" s="6">
        <v>0</v>
      </c>
      <c r="J28" s="6">
        <v>21555</v>
      </c>
      <c r="K28" s="6">
        <v>35764</v>
      </c>
      <c r="L28" s="6">
        <f>21573</f>
        <v>21573</v>
      </c>
      <c r="M28" s="6">
        <v>28139</v>
      </c>
      <c r="N28" s="6">
        <f>35243</f>
        <v>35243</v>
      </c>
      <c r="O28" s="6">
        <v>25652</v>
      </c>
      <c r="P28" s="6">
        <v>31840</v>
      </c>
      <c r="Q28" s="6">
        <v>43499</v>
      </c>
      <c r="R28" s="6">
        <v>34555</v>
      </c>
      <c r="S28" s="6">
        <v>39389</v>
      </c>
      <c r="T28" s="6">
        <v>38730</v>
      </c>
      <c r="U28" s="6">
        <v>38749</v>
      </c>
      <c r="V28" s="6">
        <v>38245</v>
      </c>
      <c r="W28" s="6">
        <v>74463</v>
      </c>
      <c r="X28" s="6">
        <v>85375</v>
      </c>
      <c r="Y28" s="6">
        <v>97444</v>
      </c>
      <c r="Z28" s="6">
        <v>101834</v>
      </c>
      <c r="AA28" s="6">
        <v>85627</v>
      </c>
      <c r="AB28" s="27">
        <v>103526</v>
      </c>
      <c r="AC28" s="27">
        <v>127741</v>
      </c>
      <c r="AD28" s="27">
        <v>90273</v>
      </c>
      <c r="AE28" s="33">
        <f t="shared" si="6"/>
        <v>1199216</v>
      </c>
      <c r="AF28" s="33"/>
      <c r="AG28" s="40">
        <v>4.4999999999999998E-2</v>
      </c>
      <c r="AH28" s="33">
        <f t="shared" si="7"/>
        <v>53964.72</v>
      </c>
      <c r="AI28" s="46">
        <f t="shared" si="8"/>
        <v>1.2992731702519471</v>
      </c>
      <c r="AJ28" s="46">
        <f t="shared" si="9"/>
        <v>259854.6340503894</v>
      </c>
      <c r="AK28" s="46">
        <f t="shared" si="10"/>
        <v>5774547.4233419867</v>
      </c>
      <c r="AL28" s="46">
        <f t="shared" si="16"/>
        <v>183394.43311081282</v>
      </c>
      <c r="AM28" s="46">
        <f t="shared" si="11"/>
        <v>15282.86942590107</v>
      </c>
      <c r="AN28" s="48">
        <v>46718</v>
      </c>
      <c r="AP28" s="74">
        <f>საპენსიო!D28</f>
        <v>118.71681415929204</v>
      </c>
      <c r="AQ28" s="74">
        <f>შშმპ!D27</f>
        <v>133.17948717948718</v>
      </c>
      <c r="AR28" s="9">
        <f t="shared" si="12"/>
        <v>125.94815066938961</v>
      </c>
      <c r="AS28" s="9">
        <f t="shared" si="13"/>
        <v>31.487037667347401</v>
      </c>
      <c r="AT28" s="9">
        <f t="shared" si="14"/>
        <v>377.84445200816879</v>
      </c>
      <c r="AU28" s="76">
        <f t="shared" si="17"/>
        <v>370.93041661749726</v>
      </c>
    </row>
    <row r="29" spans="1:48" ht="26.25" customHeight="1">
      <c r="A29" s="16">
        <v>29</v>
      </c>
      <c r="B29" s="16" t="s">
        <v>113</v>
      </c>
      <c r="C29" s="16" t="s">
        <v>114</v>
      </c>
      <c r="D29" s="20" t="s">
        <v>79</v>
      </c>
      <c r="E29" s="78">
        <f t="shared" si="18"/>
        <v>754.2</v>
      </c>
      <c r="F29" s="78">
        <f t="shared" si="19"/>
        <v>1018.25</v>
      </c>
      <c r="G29" s="78">
        <f t="shared" si="4"/>
        <v>1003.75</v>
      </c>
      <c r="H29" s="78">
        <f t="shared" si="5"/>
        <v>1529</v>
      </c>
      <c r="I29" s="6">
        <v>547</v>
      </c>
      <c r="J29" s="6">
        <v>464</v>
      </c>
      <c r="K29" s="6">
        <v>356</v>
      </c>
      <c r="L29" s="6">
        <v>1050</v>
      </c>
      <c r="M29" s="6">
        <v>1342</v>
      </c>
      <c r="N29" s="6">
        <f>559</f>
        <v>559</v>
      </c>
      <c r="O29" s="6">
        <v>776</v>
      </c>
      <c r="P29" s="6">
        <v>1012</v>
      </c>
      <c r="Q29" s="6">
        <v>664</v>
      </c>
      <c r="R29" s="6">
        <v>926</v>
      </c>
      <c r="S29" s="6">
        <v>1161</v>
      </c>
      <c r="T29" s="6">
        <v>918</v>
      </c>
      <c r="U29" s="6">
        <v>1668</v>
      </c>
      <c r="V29" s="6">
        <v>1021</v>
      </c>
      <c r="W29" s="6">
        <v>513</v>
      </c>
      <c r="X29" s="6">
        <v>1320</v>
      </c>
      <c r="Y29" s="6">
        <v>1348</v>
      </c>
      <c r="Z29" s="6">
        <v>834</v>
      </c>
      <c r="AA29" s="6">
        <f>1971+1640</f>
        <v>3611</v>
      </c>
      <c r="AB29" s="27">
        <v>1204</v>
      </c>
      <c r="AC29" s="27">
        <v>898</v>
      </c>
      <c r="AD29" s="27">
        <v>403</v>
      </c>
      <c r="AE29" s="33">
        <f t="shared" si="6"/>
        <v>22595</v>
      </c>
      <c r="AF29" s="33"/>
      <c r="AG29" s="50">
        <v>3.2294999999999998</v>
      </c>
      <c r="AH29" s="33">
        <f t="shared" si="7"/>
        <v>72970.552499999991</v>
      </c>
      <c r="AI29" s="46">
        <f t="shared" si="8"/>
        <v>1.7568641342290137</v>
      </c>
      <c r="AJ29" s="46">
        <f t="shared" si="9"/>
        <v>351372.82684580272</v>
      </c>
      <c r="AK29" s="46">
        <f t="shared" si="10"/>
        <v>108800.99917813987</v>
      </c>
      <c r="AL29" s="46">
        <f t="shared" si="16"/>
        <v>36571.764429626848</v>
      </c>
      <c r="AM29" s="46">
        <f t="shared" si="11"/>
        <v>3047.647035802237</v>
      </c>
      <c r="AN29" s="51">
        <v>2687</v>
      </c>
      <c r="AP29" s="74">
        <f>საპენსიო!D25</f>
        <v>14.3</v>
      </c>
      <c r="AQ29" s="74">
        <f>შშმპ!D25</f>
        <v>9.5</v>
      </c>
      <c r="AR29" s="9">
        <f t="shared" si="12"/>
        <v>11.9</v>
      </c>
      <c r="AS29" s="9">
        <f t="shared" si="13"/>
        <v>2.9750000000000001</v>
      </c>
      <c r="AT29" s="9">
        <f t="shared" si="14"/>
        <v>35.700000000000003</v>
      </c>
      <c r="AU29" s="76">
        <f t="shared" si="17"/>
        <v>225.79831932773109</v>
      </c>
    </row>
    <row r="30" spans="1:48" ht="39.75" customHeight="1">
      <c r="A30" s="16">
        <v>30</v>
      </c>
      <c r="B30" s="16" t="s">
        <v>115</v>
      </c>
      <c r="C30" s="16" t="s">
        <v>116</v>
      </c>
      <c r="D30" s="20" t="s">
        <v>117</v>
      </c>
      <c r="E30" s="78">
        <f t="shared" si="18"/>
        <v>105.2</v>
      </c>
      <c r="F30" s="78">
        <f t="shared" si="19"/>
        <v>119.375</v>
      </c>
      <c r="G30" s="78">
        <f t="shared" si="4"/>
        <v>107.5</v>
      </c>
      <c r="H30" s="78">
        <f t="shared" si="5"/>
        <v>1125</v>
      </c>
      <c r="I30" s="6">
        <v>290</v>
      </c>
      <c r="J30" s="6">
        <v>46</v>
      </c>
      <c r="K30" s="6">
        <v>110</v>
      </c>
      <c r="L30" s="6">
        <v>131</v>
      </c>
      <c r="M30" s="6">
        <v>165</v>
      </c>
      <c r="N30" s="6">
        <f>74</f>
        <v>74</v>
      </c>
      <c r="O30" s="6">
        <v>0</v>
      </c>
      <c r="P30" s="6">
        <v>55</v>
      </c>
      <c r="Q30" s="6">
        <v>100</v>
      </c>
      <c r="R30" s="6">
        <v>400</v>
      </c>
      <c r="S30" s="6">
        <v>80</v>
      </c>
      <c r="T30" s="6">
        <v>90</v>
      </c>
      <c r="U30" s="6">
        <v>184</v>
      </c>
      <c r="V30" s="6">
        <v>46</v>
      </c>
      <c r="W30" s="6">
        <v>40</v>
      </c>
      <c r="X30" s="6">
        <v>120</v>
      </c>
      <c r="Y30" s="6">
        <v>203</v>
      </c>
      <c r="Z30" s="6">
        <v>67</v>
      </c>
      <c r="AA30" s="6">
        <v>1125</v>
      </c>
      <c r="AB30" s="32"/>
      <c r="AC30" s="32"/>
      <c r="AD30" s="32"/>
      <c r="AE30" s="54">
        <f t="shared" si="6"/>
        <v>3326</v>
      </c>
      <c r="AF30" s="54"/>
      <c r="AG30" s="32"/>
      <c r="AH30" s="54">
        <f t="shared" si="7"/>
        <v>0</v>
      </c>
      <c r="AI30" s="46">
        <f t="shared" si="8"/>
        <v>0</v>
      </c>
      <c r="AJ30" s="46">
        <f t="shared" si="9"/>
        <v>0</v>
      </c>
      <c r="AL30" s="46">
        <f t="shared" si="16"/>
        <v>0</v>
      </c>
      <c r="AM30" s="46">
        <f t="shared" si="11"/>
        <v>0</v>
      </c>
      <c r="AN30" s="32"/>
      <c r="AP30" s="74">
        <f>საპენსიო!D21</f>
        <v>30</v>
      </c>
      <c r="AQ30" s="74"/>
      <c r="AR30" s="9">
        <f t="shared" si="12"/>
        <v>30</v>
      </c>
      <c r="AS30" s="9">
        <f t="shared" si="13"/>
        <v>7.5</v>
      </c>
      <c r="AT30" s="9">
        <f t="shared" si="14"/>
        <v>90</v>
      </c>
      <c r="AU30" s="76">
        <f t="shared" si="17"/>
        <v>0</v>
      </c>
    </row>
    <row r="31" spans="1:48" ht="60.75" customHeight="1">
      <c r="A31" s="16">
        <v>31</v>
      </c>
      <c r="B31" s="16" t="s">
        <v>118</v>
      </c>
      <c r="C31" s="16" t="s">
        <v>119</v>
      </c>
      <c r="D31" s="20" t="s">
        <v>120</v>
      </c>
      <c r="E31" s="78">
        <f t="shared" si="18"/>
        <v>952.6</v>
      </c>
      <c r="F31" s="78">
        <f t="shared" si="19"/>
        <v>1313.125</v>
      </c>
      <c r="G31" s="78">
        <f t="shared" si="4"/>
        <v>1168.5</v>
      </c>
      <c r="H31" s="78">
        <f t="shared" si="5"/>
        <v>1485.5</v>
      </c>
      <c r="I31" s="6">
        <v>2050</v>
      </c>
      <c r="J31" s="6">
        <f>40+3+752</f>
        <v>795</v>
      </c>
      <c r="K31" s="6">
        <v>579</v>
      </c>
      <c r="L31" s="6">
        <f>52+45+1091+191</f>
        <v>1379</v>
      </c>
      <c r="M31" s="6">
        <v>1075</v>
      </c>
      <c r="N31" s="6">
        <f>12+393+530</f>
        <v>935</v>
      </c>
      <c r="O31" s="6">
        <v>1306</v>
      </c>
      <c r="P31" s="6">
        <v>1200</v>
      </c>
      <c r="Q31" s="6">
        <v>1273</v>
      </c>
      <c r="R31" s="6">
        <v>684</v>
      </c>
      <c r="S31" s="6">
        <v>1911</v>
      </c>
      <c r="T31" s="6">
        <v>1457</v>
      </c>
      <c r="U31" s="6">
        <v>1090</v>
      </c>
      <c r="V31" s="6">
        <v>1584</v>
      </c>
      <c r="W31" s="6">
        <v>2118</v>
      </c>
      <c r="X31" s="6">
        <v>1484</v>
      </c>
      <c r="Y31" s="6">
        <v>916</v>
      </c>
      <c r="Z31" s="6">
        <v>156</v>
      </c>
      <c r="AA31" s="6">
        <v>2685</v>
      </c>
      <c r="AB31" s="27">
        <v>854</v>
      </c>
      <c r="AC31" s="27">
        <v>1062</v>
      </c>
      <c r="AD31" s="27">
        <v>1341</v>
      </c>
      <c r="AE31" s="33">
        <f t="shared" si="6"/>
        <v>27934</v>
      </c>
      <c r="AF31" s="33"/>
      <c r="AG31" s="52">
        <v>30.998999999999999</v>
      </c>
      <c r="AH31" s="33">
        <f t="shared" si="7"/>
        <v>865926.06599999999</v>
      </c>
      <c r="AI31" s="46">
        <f t="shared" si="8"/>
        <v>20.848333966628878</v>
      </c>
      <c r="AJ31" s="46">
        <f t="shared" si="9"/>
        <v>4169666.7933257758</v>
      </c>
      <c r="AK31" s="46">
        <f t="shared" si="10"/>
        <v>134509.71945307191</v>
      </c>
      <c r="AL31" s="46">
        <f t="shared" si="16"/>
        <v>291234.75565687951</v>
      </c>
      <c r="AM31" s="46">
        <f t="shared" si="11"/>
        <v>24269.562971406627</v>
      </c>
      <c r="AN31" s="48">
        <v>5045</v>
      </c>
      <c r="AP31" s="74">
        <f>საპენსიო!D22</f>
        <v>1.9014925373134328</v>
      </c>
      <c r="AQ31" s="74">
        <f>შშმპ!D22</f>
        <v>1.7933884297520661</v>
      </c>
      <c r="AR31" s="9">
        <f t="shared" si="12"/>
        <v>1.8474404835327496</v>
      </c>
      <c r="AS31" s="9">
        <f t="shared" si="13"/>
        <v>0.4618601208831874</v>
      </c>
      <c r="AT31" s="9">
        <f t="shared" si="14"/>
        <v>5.5423214505982488</v>
      </c>
      <c r="AU31" s="76">
        <f t="shared" si="17"/>
        <v>2730.8051571722349</v>
      </c>
    </row>
    <row r="32" spans="1:48" ht="60.75" customHeight="1">
      <c r="A32" s="16">
        <v>32</v>
      </c>
      <c r="B32" s="16" t="s">
        <v>121</v>
      </c>
      <c r="C32" s="16" t="s">
        <v>122</v>
      </c>
      <c r="D32" s="20" t="s">
        <v>68</v>
      </c>
      <c r="E32" s="78"/>
      <c r="F32" s="78"/>
      <c r="G32" s="78" t="e">
        <f t="shared" si="4"/>
        <v>#DIV/0!</v>
      </c>
      <c r="H32" s="78">
        <f t="shared" si="5"/>
        <v>642.5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>
        <v>168</v>
      </c>
      <c r="AB32" s="27">
        <v>1752</v>
      </c>
      <c r="AC32" s="27">
        <v>472</v>
      </c>
      <c r="AD32" s="27">
        <v>178</v>
      </c>
      <c r="AE32" s="33">
        <f t="shared" si="6"/>
        <v>2570</v>
      </c>
      <c r="AF32" s="33"/>
      <c r="AG32" s="40">
        <v>25.76</v>
      </c>
      <c r="AH32" s="33">
        <f t="shared" si="7"/>
        <v>66203.199999999997</v>
      </c>
      <c r="AI32" s="46">
        <f t="shared" si="8"/>
        <v>1.5939310265081279</v>
      </c>
      <c r="AJ32" s="46">
        <f t="shared" si="9"/>
        <v>318786.2053016256</v>
      </c>
      <c r="AK32" s="46">
        <f t="shared" si="10"/>
        <v>12375.240889038259</v>
      </c>
      <c r="AN32" s="53">
        <v>4750</v>
      </c>
      <c r="AP32" s="74"/>
      <c r="AQ32" s="74"/>
      <c r="AR32" s="9"/>
      <c r="AS32" s="9">
        <f t="shared" si="13"/>
        <v>0</v>
      </c>
      <c r="AT32" s="9">
        <f t="shared" si="14"/>
        <v>0</v>
      </c>
      <c r="AU32" s="76"/>
    </row>
    <row r="33" spans="1:47" ht="48.75" customHeight="1">
      <c r="A33" s="16">
        <v>33</v>
      </c>
      <c r="B33" s="14" t="s">
        <v>123</v>
      </c>
      <c r="C33" s="14" t="s">
        <v>124</v>
      </c>
      <c r="D33" s="20" t="s">
        <v>47</v>
      </c>
      <c r="E33" s="78">
        <f>AVERAGE(J33:N33)</f>
        <v>401.4</v>
      </c>
      <c r="F33" s="78">
        <f>AVERAGE(O33:V33)</f>
        <v>514.5</v>
      </c>
      <c r="G33" s="78">
        <f t="shared" si="4"/>
        <v>882.75</v>
      </c>
      <c r="H33" s="78">
        <f t="shared" si="5"/>
        <v>838.25</v>
      </c>
      <c r="I33" s="6">
        <v>647</v>
      </c>
      <c r="J33" s="6">
        <f>118+269</f>
        <v>387</v>
      </c>
      <c r="K33" s="6">
        <f>20+54+196</f>
        <v>270</v>
      </c>
      <c r="L33" s="6">
        <f>254+23+229</f>
        <v>506</v>
      </c>
      <c r="M33" s="6">
        <f>90+362</f>
        <v>452</v>
      </c>
      <c r="N33" s="6">
        <f>215+143+8+26</f>
        <v>392</v>
      </c>
      <c r="O33" s="6">
        <v>422</v>
      </c>
      <c r="P33" s="6">
        <v>557</v>
      </c>
      <c r="Q33" s="6">
        <v>504</v>
      </c>
      <c r="R33" s="6">
        <v>431</v>
      </c>
      <c r="S33" s="6">
        <v>653</v>
      </c>
      <c r="T33" s="6">
        <v>459</v>
      </c>
      <c r="U33" s="6">
        <v>534</v>
      </c>
      <c r="V33" s="6">
        <v>556</v>
      </c>
      <c r="W33" s="6">
        <v>849</v>
      </c>
      <c r="X33" s="6">
        <v>896</v>
      </c>
      <c r="Y33" s="6">
        <v>844</v>
      </c>
      <c r="Z33" s="6">
        <v>942</v>
      </c>
      <c r="AA33" s="6">
        <v>956</v>
      </c>
      <c r="AB33" s="27">
        <v>888</v>
      </c>
      <c r="AC33" s="27">
        <v>844</v>
      </c>
      <c r="AD33" s="27">
        <v>665</v>
      </c>
      <c r="AE33" s="33">
        <f t="shared" si="6"/>
        <v>13654</v>
      </c>
      <c r="AF33" s="33"/>
      <c r="AG33" s="43">
        <v>4.8</v>
      </c>
      <c r="AH33" s="33">
        <f t="shared" si="7"/>
        <v>65539.199999999997</v>
      </c>
      <c r="AI33" s="46">
        <f t="shared" si="8"/>
        <v>1.5779443339977752</v>
      </c>
      <c r="AJ33" s="46">
        <f t="shared" si="9"/>
        <v>315588.86679955502</v>
      </c>
      <c r="AK33" s="46">
        <f>AJ33/AG33</f>
        <v>65747.680583240639</v>
      </c>
      <c r="AL33" s="46">
        <f t="shared" ref="AL33:AL41" si="20">AK33/AS33</f>
        <v>131494.49337641359</v>
      </c>
      <c r="AM33" s="46">
        <f t="shared" si="11"/>
        <v>10957.874448034465</v>
      </c>
      <c r="AN33" s="48">
        <v>2015</v>
      </c>
      <c r="AP33" s="74">
        <f>საპენსიო!D23</f>
        <v>1.9255583126550868</v>
      </c>
      <c r="AQ33" s="74">
        <f>შშმპ!D23</f>
        <v>2.0744680851063828</v>
      </c>
      <c r="AR33" s="9">
        <f t="shared" si="12"/>
        <v>2.000013198880735</v>
      </c>
      <c r="AS33" s="9">
        <f t="shared" si="13"/>
        <v>0.50000329972018376</v>
      </c>
      <c r="AT33" s="9">
        <f t="shared" si="14"/>
        <v>6.0000395966422051</v>
      </c>
      <c r="AU33" s="76">
        <f t="shared" ref="AU33:AU41" si="21">AN33/AR33</f>
        <v>1007.4933511077087</v>
      </c>
    </row>
    <row r="34" spans="1:47" ht="85.5" customHeight="1">
      <c r="A34" s="16">
        <v>34</v>
      </c>
      <c r="B34" s="16" t="s">
        <v>125</v>
      </c>
      <c r="C34" s="16" t="s">
        <v>126</v>
      </c>
      <c r="D34" s="20" t="s">
        <v>106</v>
      </c>
      <c r="E34" s="78">
        <f>AVERAGE(J34:N34)</f>
        <v>53.2</v>
      </c>
      <c r="F34" s="78">
        <f>AVERAGE(O34:V34)</f>
        <v>113.75</v>
      </c>
      <c r="G34" s="78">
        <f t="shared" si="4"/>
        <v>252.5</v>
      </c>
      <c r="H34" s="78">
        <f t="shared" si="5"/>
        <v>310.5</v>
      </c>
      <c r="I34" s="6">
        <v>0</v>
      </c>
      <c r="J34" s="6">
        <v>10</v>
      </c>
      <c r="K34" s="6">
        <v>41</v>
      </c>
      <c r="L34" s="6">
        <v>62</v>
      </c>
      <c r="M34" s="6">
        <v>65</v>
      </c>
      <c r="N34" s="6">
        <v>88</v>
      </c>
      <c r="O34" s="6">
        <v>84</v>
      </c>
      <c r="P34" s="6">
        <v>83</v>
      </c>
      <c r="Q34" s="6">
        <v>104</v>
      </c>
      <c r="R34" s="6">
        <v>114</v>
      </c>
      <c r="S34" s="6">
        <v>141</v>
      </c>
      <c r="T34" s="6">
        <v>142</v>
      </c>
      <c r="U34" s="6">
        <v>104</v>
      </c>
      <c r="V34" s="6">
        <v>138</v>
      </c>
      <c r="W34" s="6">
        <v>190</v>
      </c>
      <c r="X34" s="6">
        <v>242</v>
      </c>
      <c r="Y34" s="6">
        <v>258</v>
      </c>
      <c r="Z34" s="6">
        <v>320</v>
      </c>
      <c r="AA34" s="6">
        <v>340</v>
      </c>
      <c r="AB34" s="27">
        <v>282</v>
      </c>
      <c r="AC34" s="27">
        <v>338</v>
      </c>
      <c r="AD34" s="27">
        <v>282</v>
      </c>
      <c r="AE34" s="33">
        <f t="shared" si="6"/>
        <v>3428</v>
      </c>
      <c r="AF34" s="33"/>
      <c r="AG34" s="40">
        <v>79.558000000000007</v>
      </c>
      <c r="AH34" s="33">
        <f t="shared" si="7"/>
        <v>272724.82400000002</v>
      </c>
      <c r="AI34" s="46">
        <f t="shared" si="8"/>
        <v>6.5662167187170493</v>
      </c>
      <c r="AJ34" s="46">
        <f t="shared" si="9"/>
        <v>1313243.3437434097</v>
      </c>
      <c r="AK34" s="46">
        <f t="shared" si="10"/>
        <v>16506.741543822238</v>
      </c>
      <c r="AL34" s="46">
        <f t="shared" si="20"/>
        <v>31818.9425198024</v>
      </c>
      <c r="AM34" s="46">
        <f t="shared" si="11"/>
        <v>2651.5785433168667</v>
      </c>
      <c r="AN34" s="48">
        <v>2530</v>
      </c>
      <c r="AP34" s="74">
        <f>საპენსიო!D26</f>
        <v>2.034782608695652</v>
      </c>
      <c r="AQ34" s="74">
        <f>შშმპ!D24</f>
        <v>2.1153846153846154</v>
      </c>
      <c r="AR34" s="9">
        <f t="shared" si="12"/>
        <v>2.0750836120401335</v>
      </c>
      <c r="AS34" s="9">
        <f t="shared" si="13"/>
        <v>0.51877090301003337</v>
      </c>
      <c r="AT34" s="9">
        <f t="shared" si="14"/>
        <v>6.2252508361204004</v>
      </c>
      <c r="AU34" s="76">
        <f t="shared" si="21"/>
        <v>1219.2279796921591</v>
      </c>
    </row>
    <row r="35" spans="1:47" ht="45" customHeight="1">
      <c r="A35" s="16">
        <v>35</v>
      </c>
      <c r="B35" s="16" t="s">
        <v>127</v>
      </c>
      <c r="C35" s="16" t="s">
        <v>128</v>
      </c>
      <c r="D35" s="20" t="s">
        <v>129</v>
      </c>
      <c r="E35" s="78">
        <f>AVERAGE(J35:N35)</f>
        <v>458.2</v>
      </c>
      <c r="F35" s="78">
        <f>AVERAGE(O35:V35)</f>
        <v>496.5</v>
      </c>
      <c r="G35" s="78">
        <f t="shared" si="4"/>
        <v>733</v>
      </c>
      <c r="H35" s="78">
        <f t="shared" si="5"/>
        <v>713</v>
      </c>
      <c r="I35" s="6">
        <v>401</v>
      </c>
      <c r="J35" s="6">
        <f>101+62</f>
        <v>163</v>
      </c>
      <c r="K35" s="6">
        <f>18+30+176</f>
        <v>224</v>
      </c>
      <c r="L35" s="6">
        <f>25+8+1017</f>
        <v>1050</v>
      </c>
      <c r="M35" s="6">
        <v>539</v>
      </c>
      <c r="N35" s="6">
        <v>315</v>
      </c>
      <c r="O35" s="6">
        <v>419</v>
      </c>
      <c r="P35" s="6">
        <v>564</v>
      </c>
      <c r="Q35" s="6">
        <v>377</v>
      </c>
      <c r="R35" s="6">
        <v>511</v>
      </c>
      <c r="S35" s="6">
        <v>477</v>
      </c>
      <c r="T35" s="6">
        <v>435</v>
      </c>
      <c r="U35" s="6">
        <v>530</v>
      </c>
      <c r="V35" s="6">
        <v>659</v>
      </c>
      <c r="W35" s="6">
        <v>515</v>
      </c>
      <c r="X35" s="6">
        <v>837</v>
      </c>
      <c r="Y35" s="6">
        <v>827</v>
      </c>
      <c r="Z35" s="6">
        <v>753</v>
      </c>
      <c r="AA35" s="6">
        <v>1084</v>
      </c>
      <c r="AB35" s="27">
        <v>482</v>
      </c>
      <c r="AC35" s="27">
        <v>611</v>
      </c>
      <c r="AD35" s="27">
        <v>675</v>
      </c>
      <c r="AE35" s="33">
        <f t="shared" si="6"/>
        <v>12448</v>
      </c>
      <c r="AF35" s="33"/>
      <c r="AG35" s="41">
        <v>0.36980000000000002</v>
      </c>
      <c r="AH35" s="33">
        <f t="shared" si="7"/>
        <v>4603.2704000000003</v>
      </c>
      <c r="AI35" s="46">
        <f t="shared" si="8"/>
        <v>0.11082992232953214</v>
      </c>
      <c r="AJ35" s="46">
        <f t="shared" si="9"/>
        <v>22165.984465906429</v>
      </c>
      <c r="AK35" s="46">
        <f t="shared" si="10"/>
        <v>59940.466376166652</v>
      </c>
      <c r="AL35" s="46">
        <f t="shared" si="20"/>
        <v>16836.977818572112</v>
      </c>
      <c r="AM35" s="46">
        <f t="shared" si="11"/>
        <v>1403.0814848810094</v>
      </c>
      <c r="AN35" s="48">
        <v>8533</v>
      </c>
      <c r="AP35" s="74">
        <f>საპენსიო!D24</f>
        <v>14.980392156862745</v>
      </c>
      <c r="AQ35" s="74">
        <f>შშმპ!D21</f>
        <v>13.5</v>
      </c>
      <c r="AR35" s="9">
        <f t="shared" si="12"/>
        <v>14.240196078431373</v>
      </c>
      <c r="AS35" s="9">
        <f t="shared" si="13"/>
        <v>3.5600490196078431</v>
      </c>
      <c r="AT35" s="9">
        <f t="shared" si="14"/>
        <v>42.720588235294116</v>
      </c>
      <c r="AU35" s="76">
        <f t="shared" si="21"/>
        <v>599.21927710843374</v>
      </c>
    </row>
    <row r="36" spans="1:47" ht="24.75">
      <c r="A36" s="16">
        <v>36</v>
      </c>
      <c r="B36" s="24" t="s">
        <v>130</v>
      </c>
      <c r="C36" s="7" t="s">
        <v>131</v>
      </c>
      <c r="D36" s="8" t="s">
        <v>89</v>
      </c>
      <c r="E36" s="78"/>
      <c r="F36" s="78"/>
      <c r="G36" s="78">
        <f t="shared" si="4"/>
        <v>12111</v>
      </c>
      <c r="H36" s="78">
        <f t="shared" si="5"/>
        <v>40549.5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6">
        <v>12111</v>
      </c>
      <c r="AA36" s="6">
        <v>37545</v>
      </c>
      <c r="AB36" s="27">
        <v>37213</v>
      </c>
      <c r="AC36" s="27">
        <v>44342</v>
      </c>
      <c r="AD36" s="27">
        <v>43098</v>
      </c>
      <c r="AE36" s="33">
        <f t="shared" si="6"/>
        <v>174309</v>
      </c>
      <c r="AF36" s="33"/>
      <c r="AG36" s="43">
        <v>0.57999999999999996</v>
      </c>
      <c r="AH36" s="33">
        <f t="shared" si="7"/>
        <v>101099.21999999999</v>
      </c>
      <c r="AI36" s="46">
        <f t="shared" si="8"/>
        <v>2.4340996132176547</v>
      </c>
      <c r="AJ36" s="46">
        <f t="shared" si="9"/>
        <v>486819.92264353094</v>
      </c>
      <c r="AK36" s="46">
        <f t="shared" si="10"/>
        <v>839344.69421298441</v>
      </c>
      <c r="AL36" s="46">
        <f t="shared" si="20"/>
        <v>28187.520302096942</v>
      </c>
      <c r="AM36" s="46">
        <f t="shared" si="11"/>
        <v>2348.9600251747447</v>
      </c>
      <c r="AN36" s="48">
        <v>310319</v>
      </c>
      <c r="AP36" s="74">
        <f>საპენსიო!D34</f>
        <v>128.21739130434781</v>
      </c>
      <c r="AQ36" s="74">
        <f>შშმპ!D35</f>
        <v>110</v>
      </c>
      <c r="AR36" s="9">
        <f t="shared" si="12"/>
        <v>119.10869565217391</v>
      </c>
      <c r="AS36" s="9">
        <f t="shared" si="13"/>
        <v>29.777173913043477</v>
      </c>
      <c r="AT36" s="9">
        <f t="shared" si="14"/>
        <v>357.32608695652175</v>
      </c>
      <c r="AU36" s="76">
        <f t="shared" si="21"/>
        <v>2605.3429457930279</v>
      </c>
    </row>
    <row r="37" spans="1:47" ht="36.75">
      <c r="A37" s="16">
        <v>37</v>
      </c>
      <c r="B37" s="24" t="s">
        <v>132</v>
      </c>
      <c r="C37" s="7" t="s">
        <v>133</v>
      </c>
      <c r="D37" s="8" t="s">
        <v>106</v>
      </c>
      <c r="E37" s="78"/>
      <c r="F37" s="78"/>
      <c r="G37" s="78">
        <f t="shared" si="4"/>
        <v>2522</v>
      </c>
      <c r="H37" s="78">
        <f t="shared" si="5"/>
        <v>13491.75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6">
        <v>2522</v>
      </c>
      <c r="AA37" s="6">
        <v>11386</v>
      </c>
      <c r="AB37" s="27">
        <v>12128</v>
      </c>
      <c r="AC37" s="27">
        <v>16396</v>
      </c>
      <c r="AD37" s="27">
        <v>14057</v>
      </c>
      <c r="AE37" s="33">
        <f t="shared" si="6"/>
        <v>56489</v>
      </c>
      <c r="AF37" s="33"/>
      <c r="AG37" s="43">
        <v>0.39</v>
      </c>
      <c r="AH37" s="33">
        <f t="shared" si="7"/>
        <v>22030.71</v>
      </c>
      <c r="AI37" s="46">
        <f t="shared" si="8"/>
        <v>0.53041895565475505</v>
      </c>
      <c r="AJ37" s="46">
        <f t="shared" si="9"/>
        <v>106083.79113095101</v>
      </c>
      <c r="AK37" s="46">
        <f t="shared" si="10"/>
        <v>272009.72084859235</v>
      </c>
      <c r="AL37" s="46">
        <f t="shared" si="20"/>
        <v>8053.5816683521052</v>
      </c>
      <c r="AM37" s="46">
        <f t="shared" si="11"/>
        <v>671.13180569600888</v>
      </c>
      <c r="AN37" s="48">
        <v>194503</v>
      </c>
      <c r="AP37" s="74">
        <f>საპენსიო!D33</f>
        <v>170.2</v>
      </c>
      <c r="AQ37" s="74">
        <f>შშმპ!D34</f>
        <v>100</v>
      </c>
      <c r="AR37" s="9">
        <f t="shared" si="12"/>
        <v>135.1</v>
      </c>
      <c r="AS37" s="9">
        <f t="shared" si="13"/>
        <v>33.774999999999999</v>
      </c>
      <c r="AT37" s="9">
        <f t="shared" si="14"/>
        <v>405.29999999999995</v>
      </c>
      <c r="AU37" s="76">
        <f t="shared" si="21"/>
        <v>1439.696521095485</v>
      </c>
    </row>
    <row r="38" spans="1:47" ht="24.75">
      <c r="A38" s="16">
        <v>38</v>
      </c>
      <c r="B38" s="25" t="s">
        <v>134</v>
      </c>
      <c r="C38" s="7" t="s">
        <v>135</v>
      </c>
      <c r="D38" s="8" t="s">
        <v>136</v>
      </c>
      <c r="E38" s="78"/>
      <c r="F38" s="78"/>
      <c r="G38" s="78">
        <f t="shared" si="4"/>
        <v>2254</v>
      </c>
      <c r="H38" s="78">
        <f t="shared" si="5"/>
        <v>13798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6">
        <v>2254</v>
      </c>
      <c r="AA38" s="6">
        <v>9669</v>
      </c>
      <c r="AB38" s="27">
        <v>16679</v>
      </c>
      <c r="AC38" s="27">
        <v>15229</v>
      </c>
      <c r="AD38" s="27">
        <v>13615</v>
      </c>
      <c r="AE38" s="33">
        <f t="shared" si="6"/>
        <v>57446</v>
      </c>
      <c r="AF38" s="33"/>
      <c r="AG38" s="44">
        <v>0.70299999999999996</v>
      </c>
      <c r="AH38" s="33">
        <f t="shared" si="7"/>
        <v>40384.538</v>
      </c>
      <c r="AI38" s="46">
        <f t="shared" si="8"/>
        <v>0.97231203490762541</v>
      </c>
      <c r="AJ38" s="46">
        <f t="shared" si="9"/>
        <v>194462.4069815251</v>
      </c>
      <c r="AK38" s="46">
        <f t="shared" si="10"/>
        <v>276617.93311738991</v>
      </c>
      <c r="AL38" s="46">
        <f t="shared" si="20"/>
        <v>9069.4404300783572</v>
      </c>
      <c r="AM38" s="46">
        <f t="shared" si="11"/>
        <v>755.78670250652976</v>
      </c>
      <c r="AN38" s="48">
        <v>1841431</v>
      </c>
      <c r="AP38" s="74">
        <f>საპენსიო!D32</f>
        <v>30</v>
      </c>
      <c r="AQ38" s="74">
        <f>შშმპ!D33</f>
        <v>214</v>
      </c>
      <c r="AR38" s="9">
        <f t="shared" si="12"/>
        <v>122</v>
      </c>
      <c r="AS38" s="9">
        <f t="shared" si="13"/>
        <v>30.5</v>
      </c>
      <c r="AT38" s="9">
        <f t="shared" si="14"/>
        <v>366</v>
      </c>
      <c r="AU38" s="76">
        <f t="shared" si="21"/>
        <v>15093.696721311475</v>
      </c>
    </row>
    <row r="39" spans="1:47">
      <c r="A39" s="16">
        <v>39</v>
      </c>
      <c r="B39" s="25" t="s">
        <v>137</v>
      </c>
      <c r="C39" s="7" t="s">
        <v>138</v>
      </c>
      <c r="D39" s="8" t="s">
        <v>139</v>
      </c>
      <c r="E39" s="78"/>
      <c r="F39" s="78"/>
      <c r="G39" s="78">
        <f t="shared" si="4"/>
        <v>3581</v>
      </c>
      <c r="H39" s="78">
        <f t="shared" si="5"/>
        <v>34071.75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6">
        <v>3581</v>
      </c>
      <c r="AA39" s="6">
        <v>29394</v>
      </c>
      <c r="AB39" s="27">
        <v>42380</v>
      </c>
      <c r="AC39" s="27">
        <v>29080</v>
      </c>
      <c r="AD39" s="27">
        <v>35433</v>
      </c>
      <c r="AE39" s="33">
        <f t="shared" si="6"/>
        <v>139868</v>
      </c>
      <c r="AF39" s="33"/>
      <c r="AG39" s="41">
        <v>6.9599999999999995E-2</v>
      </c>
      <c r="AH39" s="33">
        <f t="shared" si="7"/>
        <v>9734.8127999999997</v>
      </c>
      <c r="AI39" s="46">
        <f t="shared" si="8"/>
        <v>0.23437870313169851</v>
      </c>
      <c r="AJ39" s="46">
        <f t="shared" si="9"/>
        <v>46875.740626339699</v>
      </c>
      <c r="AK39" s="46">
        <f t="shared" si="10"/>
        <v>673502.02049338655</v>
      </c>
      <c r="AL39" s="46">
        <f t="shared" si="20"/>
        <v>8379.4963669472672</v>
      </c>
      <c r="AM39" s="46">
        <f t="shared" si="11"/>
        <v>698.29136391227223</v>
      </c>
      <c r="AN39" s="48">
        <v>948766</v>
      </c>
      <c r="AP39" s="74">
        <f>საპენსიო!D36</f>
        <v>275</v>
      </c>
      <c r="AQ39" s="74">
        <f>შშმპ!D37</f>
        <v>368</v>
      </c>
      <c r="AR39" s="9">
        <f t="shared" si="12"/>
        <v>321.5</v>
      </c>
      <c r="AS39" s="9">
        <f t="shared" si="13"/>
        <v>80.375</v>
      </c>
      <c r="AT39" s="9">
        <f t="shared" si="14"/>
        <v>964.5</v>
      </c>
      <c r="AU39" s="76">
        <f t="shared" si="21"/>
        <v>2951.0606531881804</v>
      </c>
    </row>
    <row r="40" spans="1:47" ht="24.75">
      <c r="A40" s="16">
        <v>40</v>
      </c>
      <c r="B40" s="24" t="s">
        <v>140</v>
      </c>
      <c r="C40" s="7" t="s">
        <v>141</v>
      </c>
      <c r="D40" s="8" t="s">
        <v>142</v>
      </c>
      <c r="E40" s="78"/>
      <c r="F40" s="78"/>
      <c r="G40" s="78">
        <f t="shared" si="4"/>
        <v>92</v>
      </c>
      <c r="H40" s="78">
        <f t="shared" si="5"/>
        <v>5311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6">
        <v>92</v>
      </c>
      <c r="AA40" s="6">
        <v>5662</v>
      </c>
      <c r="AB40" s="27">
        <v>3330</v>
      </c>
      <c r="AC40" s="27">
        <v>4580</v>
      </c>
      <c r="AD40" s="27">
        <v>7672</v>
      </c>
      <c r="AE40" s="33">
        <f t="shared" si="6"/>
        <v>21336</v>
      </c>
      <c r="AF40" s="33"/>
      <c r="AG40" s="41">
        <f>0.0653*3.0274</f>
        <v>0.19768922</v>
      </c>
      <c r="AH40" s="33">
        <f t="shared" si="7"/>
        <v>4217.8971979199996</v>
      </c>
      <c r="AI40" s="46">
        <f t="shared" si="8"/>
        <v>0.10155154449311185</v>
      </c>
      <c r="AJ40" s="46">
        <f t="shared" si="9"/>
        <v>20310.30889862237</v>
      </c>
      <c r="AK40" s="46">
        <f t="shared" si="10"/>
        <v>102738.57572315967</v>
      </c>
      <c r="AL40" s="46">
        <f t="shared" si="20"/>
        <v>4466.8945966591155</v>
      </c>
      <c r="AM40" s="46">
        <f t="shared" si="11"/>
        <v>372.24121638825966</v>
      </c>
      <c r="AN40" s="48">
        <v>235752</v>
      </c>
      <c r="AP40" s="74"/>
      <c r="AQ40" s="74">
        <f>შშმპ!D29</f>
        <v>92</v>
      </c>
      <c r="AR40" s="9">
        <f t="shared" si="12"/>
        <v>92</v>
      </c>
      <c r="AS40" s="9">
        <f t="shared" si="13"/>
        <v>23</v>
      </c>
      <c r="AT40" s="9">
        <f t="shared" si="14"/>
        <v>276</v>
      </c>
      <c r="AU40" s="76">
        <f t="shared" si="21"/>
        <v>2562.521739130435</v>
      </c>
    </row>
    <row r="41" spans="1:47" ht="24.75">
      <c r="A41" s="16">
        <v>41</v>
      </c>
      <c r="B41" s="24" t="s">
        <v>143</v>
      </c>
      <c r="C41" s="7" t="s">
        <v>144</v>
      </c>
      <c r="D41" s="8" t="s">
        <v>106</v>
      </c>
      <c r="E41" s="78"/>
      <c r="F41" s="78"/>
      <c r="G41" s="78">
        <f t="shared" si="4"/>
        <v>276</v>
      </c>
      <c r="H41" s="78">
        <f t="shared" si="5"/>
        <v>13475.5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6">
        <v>276</v>
      </c>
      <c r="AA41" s="6">
        <v>11673</v>
      </c>
      <c r="AB41" s="27">
        <v>12009</v>
      </c>
      <c r="AC41" s="27">
        <v>11266</v>
      </c>
      <c r="AD41" s="27">
        <v>18954</v>
      </c>
      <c r="AE41" s="33">
        <f t="shared" si="6"/>
        <v>54178</v>
      </c>
      <c r="AF41" s="33"/>
      <c r="AG41" s="41">
        <f>0.0911*3.0274</f>
        <v>0.27579614000000002</v>
      </c>
      <c r="AH41" s="33">
        <f t="shared" si="7"/>
        <v>14942.083272920001</v>
      </c>
      <c r="AI41" s="46">
        <f t="shared" si="8"/>
        <v>0.35975073907870475</v>
      </c>
      <c r="AJ41" s="46">
        <f t="shared" si="9"/>
        <v>71950.147815740944</v>
      </c>
      <c r="AK41" s="46">
        <f t="shared" si="10"/>
        <v>260881.63458611473</v>
      </c>
      <c r="AL41" s="46">
        <f t="shared" si="20"/>
        <v>11594.739314938432</v>
      </c>
      <c r="AM41" s="46">
        <f t="shared" si="11"/>
        <v>966.22827624486933</v>
      </c>
      <c r="AN41" s="48">
        <v>1175322</v>
      </c>
      <c r="AP41" s="74"/>
      <c r="AQ41" s="74">
        <f>შშმპ!D30</f>
        <v>90</v>
      </c>
      <c r="AR41" s="9">
        <f t="shared" si="12"/>
        <v>90</v>
      </c>
      <c r="AS41" s="9">
        <f t="shared" si="13"/>
        <v>22.5</v>
      </c>
      <c r="AT41" s="9">
        <f t="shared" si="14"/>
        <v>270</v>
      </c>
      <c r="AU41" s="76">
        <f t="shared" si="21"/>
        <v>13059.133333333333</v>
      </c>
    </row>
    <row r="42" spans="1:47">
      <c r="A42" s="16">
        <v>42</v>
      </c>
      <c r="B42" s="25" t="s">
        <v>145</v>
      </c>
      <c r="C42" s="7" t="s">
        <v>146</v>
      </c>
      <c r="D42" s="8" t="s">
        <v>147</v>
      </c>
      <c r="E42" s="78"/>
      <c r="F42" s="78"/>
      <c r="G42" s="78"/>
      <c r="H42" s="78">
        <f t="shared" si="5"/>
        <v>2032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6"/>
      <c r="AA42" s="6">
        <v>1803</v>
      </c>
      <c r="AB42" s="27">
        <v>1784</v>
      </c>
      <c r="AC42" s="27">
        <v>1724</v>
      </c>
      <c r="AD42" s="27">
        <v>2817</v>
      </c>
      <c r="AE42" s="33">
        <f t="shared" si="6"/>
        <v>8128</v>
      </c>
      <c r="AF42" s="33"/>
      <c r="AG42" s="41">
        <v>1.0943000000000001</v>
      </c>
      <c r="AH42" s="33">
        <f t="shared" si="7"/>
        <v>8894.4704000000002</v>
      </c>
      <c r="AI42" s="46">
        <f t="shared" si="8"/>
        <v>0.21414633031210215</v>
      </c>
      <c r="AJ42" s="46">
        <f t="shared" si="9"/>
        <v>42829.266062420429</v>
      </c>
      <c r="AK42" s="46">
        <f t="shared" si="10"/>
        <v>39138.505037394156</v>
      </c>
      <c r="AN42" s="48">
        <v>449555</v>
      </c>
      <c r="AP42" s="74"/>
      <c r="AQ42" s="74"/>
      <c r="AR42" s="9"/>
      <c r="AS42" s="9">
        <f t="shared" si="13"/>
        <v>0</v>
      </c>
      <c r="AT42" s="9">
        <f t="shared" si="14"/>
        <v>0</v>
      </c>
      <c r="AU42" s="76"/>
    </row>
    <row r="43" spans="1:47">
      <c r="A43" s="16">
        <v>43</v>
      </c>
      <c r="B43" s="25" t="s">
        <v>148</v>
      </c>
      <c r="C43" s="7" t="s">
        <v>149</v>
      </c>
      <c r="D43" s="8" t="s">
        <v>150</v>
      </c>
      <c r="E43" s="78"/>
      <c r="F43" s="78"/>
      <c r="G43" s="78">
        <f t="shared" si="4"/>
        <v>990</v>
      </c>
      <c r="H43" s="78">
        <f t="shared" si="5"/>
        <v>6296.5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6">
        <v>990</v>
      </c>
      <c r="AA43" s="6">
        <v>2878</v>
      </c>
      <c r="AB43" s="27">
        <v>5373</v>
      </c>
      <c r="AC43" s="27">
        <v>6512</v>
      </c>
      <c r="AD43" s="27">
        <v>10423</v>
      </c>
      <c r="AE43" s="33">
        <f t="shared" si="6"/>
        <v>26176</v>
      </c>
      <c r="AF43" s="33"/>
      <c r="AG43" s="43">
        <v>0.37</v>
      </c>
      <c r="AH43" s="33">
        <f t="shared" si="7"/>
        <v>9685.119999999999</v>
      </c>
      <c r="AI43" s="46">
        <f t="shared" si="8"/>
        <v>0.23318228217751405</v>
      </c>
      <c r="AJ43" s="46">
        <f t="shared" si="9"/>
        <v>46636.456435502812</v>
      </c>
      <c r="AK43" s="46">
        <f>AJ43/AG43</f>
        <v>126044.4768527103</v>
      </c>
      <c r="AL43" s="46">
        <f>AK43/AS43</f>
        <v>3734.6511660062311</v>
      </c>
      <c r="AM43" s="46">
        <f t="shared" si="11"/>
        <v>311.22093050051927</v>
      </c>
      <c r="AN43" s="48">
        <v>165836</v>
      </c>
      <c r="AP43" s="74"/>
      <c r="AQ43" s="74">
        <f>შშმპ!D32</f>
        <v>135</v>
      </c>
      <c r="AR43" s="9">
        <f t="shared" si="12"/>
        <v>135</v>
      </c>
      <c r="AS43" s="9">
        <f t="shared" si="13"/>
        <v>33.75</v>
      </c>
      <c r="AT43" s="9">
        <f t="shared" si="14"/>
        <v>405</v>
      </c>
      <c r="AU43" s="76">
        <f>AN43/AR43</f>
        <v>1228.4148148148149</v>
      </c>
    </row>
    <row r="44" spans="1:47">
      <c r="E44" s="78"/>
      <c r="F44" s="80"/>
      <c r="G44" s="80"/>
      <c r="H44" s="80"/>
      <c r="AB44" s="30"/>
      <c r="AC44" s="30"/>
      <c r="AD44" s="30"/>
      <c r="AE44" s="76">
        <f>SUM(AE2:AE43)</f>
        <v>28656834</v>
      </c>
      <c r="AH44" s="33">
        <f>SUM(AH2:AH43)</f>
        <v>4153454.5033001406</v>
      </c>
      <c r="AJ44" s="46">
        <v>20000000</v>
      </c>
      <c r="AM44" s="46">
        <f>SUM(AM2:AM43)</f>
        <v>529846.14803571731</v>
      </c>
    </row>
  </sheetData>
  <autoFilter ref="A1:AH44"/>
  <mergeCells count="1">
    <mergeCell ref="A2:A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22" workbookViewId="0">
      <selection activeCell="D15" sqref="D15"/>
    </sheetView>
  </sheetViews>
  <sheetFormatPr defaultRowHeight="15"/>
  <cols>
    <col min="1" max="1" width="25.7109375" customWidth="1"/>
    <col min="2" max="2" width="14.7109375" customWidth="1"/>
    <col min="3" max="3" width="17.85546875" customWidth="1"/>
    <col min="4" max="4" width="19.5703125" customWidth="1"/>
  </cols>
  <sheetData>
    <row r="1" spans="1:4" ht="24.75">
      <c r="A1" s="57" t="s">
        <v>157</v>
      </c>
      <c r="B1" s="59" t="s">
        <v>158</v>
      </c>
      <c r="C1" s="60" t="s">
        <v>159</v>
      </c>
      <c r="D1" s="57" t="s">
        <v>160</v>
      </c>
    </row>
    <row r="2" spans="1:4">
      <c r="A2" s="55" t="s">
        <v>40</v>
      </c>
      <c r="B2" s="58">
        <v>801</v>
      </c>
      <c r="C2" s="58">
        <v>73743</v>
      </c>
      <c r="D2" s="57">
        <v>92.063670411985015</v>
      </c>
    </row>
    <row r="3" spans="1:4">
      <c r="A3" s="56" t="s">
        <v>43</v>
      </c>
      <c r="B3" s="58">
        <v>1773</v>
      </c>
      <c r="C3" s="58">
        <v>155090</v>
      </c>
      <c r="D3" s="57">
        <v>87.473209249858996</v>
      </c>
    </row>
    <row r="4" spans="1:4">
      <c r="A4" s="56" t="s">
        <v>161</v>
      </c>
      <c r="B4" s="58">
        <v>2695</v>
      </c>
      <c r="C4" s="58">
        <v>179492</v>
      </c>
      <c r="D4" s="57">
        <v>66.601855287569578</v>
      </c>
    </row>
    <row r="5" spans="1:4">
      <c r="A5" s="56" t="s">
        <v>85</v>
      </c>
      <c r="B5" s="58">
        <v>92</v>
      </c>
      <c r="C5" s="58">
        <v>7282</v>
      </c>
      <c r="D5" s="57">
        <v>79.152173913043484</v>
      </c>
    </row>
    <row r="6" spans="1:4">
      <c r="A6" s="56" t="s">
        <v>51</v>
      </c>
      <c r="B6" s="58">
        <v>1576</v>
      </c>
      <c r="C6" s="58">
        <v>91386</v>
      </c>
      <c r="D6" s="57">
        <v>57.986040609137056</v>
      </c>
    </row>
    <row r="7" spans="1:4">
      <c r="A7" s="56" t="s">
        <v>162</v>
      </c>
      <c r="B7" s="58">
        <v>645</v>
      </c>
      <c r="C7" s="58">
        <v>54546</v>
      </c>
      <c r="D7" s="57">
        <v>84.567441860465109</v>
      </c>
    </row>
    <row r="8" spans="1:4">
      <c r="A8" s="56" t="s">
        <v>59</v>
      </c>
      <c r="B8" s="58">
        <v>943</v>
      </c>
      <c r="C8" s="58">
        <v>110987</v>
      </c>
      <c r="D8" s="57">
        <v>117.69565217391305</v>
      </c>
    </row>
    <row r="9" spans="1:4">
      <c r="A9" s="56" t="s">
        <v>163</v>
      </c>
      <c r="B9" s="58">
        <v>572</v>
      </c>
      <c r="C9" s="58">
        <v>40491</v>
      </c>
      <c r="D9" s="57">
        <v>70.788461538461533</v>
      </c>
    </row>
    <row r="10" spans="1:4">
      <c r="A10" s="56" t="s">
        <v>70</v>
      </c>
      <c r="B10" s="58">
        <v>1386</v>
      </c>
      <c r="C10" s="58">
        <v>129422</v>
      </c>
      <c r="D10" s="57">
        <v>93.378066378066379</v>
      </c>
    </row>
    <row r="11" spans="1:4">
      <c r="A11" s="56" t="s">
        <v>164</v>
      </c>
      <c r="B11" s="58">
        <v>662</v>
      </c>
      <c r="C11" s="58">
        <v>64413</v>
      </c>
      <c r="D11" s="57">
        <v>97.300604229607245</v>
      </c>
    </row>
    <row r="12" spans="1:4">
      <c r="A12" s="56" t="s">
        <v>165</v>
      </c>
      <c r="B12" s="58">
        <v>2149</v>
      </c>
      <c r="C12" s="58">
        <v>151920</v>
      </c>
      <c r="D12" s="57">
        <v>70.693345742205679</v>
      </c>
    </row>
    <row r="13" spans="1:4">
      <c r="A13" s="56" t="s">
        <v>78</v>
      </c>
      <c r="B13" s="58">
        <v>148</v>
      </c>
      <c r="C13" s="58">
        <v>5618</v>
      </c>
      <c r="D13" s="57">
        <v>37.95945945945946</v>
      </c>
    </row>
    <row r="14" spans="1:4">
      <c r="A14" s="56" t="s">
        <v>166</v>
      </c>
      <c r="B14" s="58">
        <v>1086</v>
      </c>
      <c r="C14" s="58">
        <v>84062</v>
      </c>
      <c r="D14" s="57">
        <v>77.405156537753228</v>
      </c>
    </row>
    <row r="15" spans="1:4">
      <c r="A15" s="56" t="s">
        <v>57</v>
      </c>
      <c r="B15" s="58">
        <v>132</v>
      </c>
      <c r="C15" s="58">
        <v>10240</v>
      </c>
      <c r="D15" s="57">
        <v>77.575757575757578</v>
      </c>
    </row>
    <row r="16" spans="1:4">
      <c r="A16" s="56" t="s">
        <v>67</v>
      </c>
      <c r="B16" s="58">
        <v>703</v>
      </c>
      <c r="C16" s="58">
        <v>27920</v>
      </c>
      <c r="D16" s="57">
        <v>39.715504978662871</v>
      </c>
    </row>
    <row r="17" spans="1:4">
      <c r="A17" s="56" t="s">
        <v>48</v>
      </c>
      <c r="B17" s="58">
        <v>2464</v>
      </c>
      <c r="C17" s="58">
        <v>273057</v>
      </c>
      <c r="D17" s="57">
        <v>110.81858766233766</v>
      </c>
    </row>
    <row r="18" spans="1:4">
      <c r="A18" s="56" t="s">
        <v>99</v>
      </c>
      <c r="B18" s="58">
        <v>3588</v>
      </c>
      <c r="C18" s="58">
        <v>513191</v>
      </c>
      <c r="D18" s="57">
        <v>143.02982162764772</v>
      </c>
    </row>
    <row r="19" spans="1:4">
      <c r="A19" s="56" t="s">
        <v>167</v>
      </c>
      <c r="B19" s="58">
        <v>1360</v>
      </c>
      <c r="C19" s="58">
        <v>163002</v>
      </c>
      <c r="D19" s="57">
        <v>119.85441176470589</v>
      </c>
    </row>
    <row r="20" spans="1:4">
      <c r="A20" s="56" t="s">
        <v>168</v>
      </c>
      <c r="B20" s="58">
        <v>1907</v>
      </c>
      <c r="C20" s="58">
        <v>159527</v>
      </c>
      <c r="D20" s="57">
        <v>83.653382275825905</v>
      </c>
    </row>
    <row r="21" spans="1:4" ht="24">
      <c r="A21" s="56" t="s">
        <v>116</v>
      </c>
      <c r="B21" s="58">
        <v>1</v>
      </c>
      <c r="C21" s="58">
        <v>30</v>
      </c>
      <c r="D21" s="57">
        <v>30</v>
      </c>
    </row>
    <row r="22" spans="1:4" ht="24">
      <c r="A22" s="56" t="s">
        <v>169</v>
      </c>
      <c r="B22" s="58">
        <v>670</v>
      </c>
      <c r="C22" s="58">
        <v>1274</v>
      </c>
      <c r="D22" s="57">
        <v>1.9014925373134328</v>
      </c>
    </row>
    <row r="23" spans="1:4">
      <c r="A23" s="55" t="s">
        <v>170</v>
      </c>
      <c r="B23" s="58">
        <v>403</v>
      </c>
      <c r="C23" s="58">
        <v>776</v>
      </c>
      <c r="D23" s="57">
        <v>1.9255583126550868</v>
      </c>
    </row>
    <row r="24" spans="1:4">
      <c r="A24" s="56" t="s">
        <v>128</v>
      </c>
      <c r="B24" s="58">
        <v>51</v>
      </c>
      <c r="C24" s="58">
        <v>764</v>
      </c>
      <c r="D24" s="57">
        <v>14.980392156862745</v>
      </c>
    </row>
    <row r="25" spans="1:4">
      <c r="A25" s="56" t="s">
        <v>171</v>
      </c>
      <c r="B25" s="58">
        <v>20</v>
      </c>
      <c r="C25" s="58">
        <v>286</v>
      </c>
      <c r="D25" s="57">
        <v>14.3</v>
      </c>
    </row>
    <row r="26" spans="1:4" ht="24">
      <c r="A26" s="56" t="s">
        <v>172</v>
      </c>
      <c r="B26" s="58">
        <v>115</v>
      </c>
      <c r="C26" s="58">
        <v>234</v>
      </c>
      <c r="D26" s="57">
        <v>2.034782608695652</v>
      </c>
    </row>
    <row r="27" spans="1:4">
      <c r="A27" s="56" t="s">
        <v>108</v>
      </c>
      <c r="B27" s="58">
        <v>65</v>
      </c>
      <c r="C27" s="58">
        <v>12314</v>
      </c>
      <c r="D27" s="57">
        <v>189.44615384615383</v>
      </c>
    </row>
    <row r="28" spans="1:4">
      <c r="A28" s="56" t="s">
        <v>173</v>
      </c>
      <c r="B28" s="58">
        <v>1243</v>
      </c>
      <c r="C28" s="58">
        <v>147565</v>
      </c>
      <c r="D28" s="57">
        <v>118.71681415929204</v>
      </c>
    </row>
    <row r="29" spans="1:4">
      <c r="A29" s="61" t="s">
        <v>174</v>
      </c>
      <c r="B29" s="58">
        <v>4</v>
      </c>
      <c r="C29" s="58">
        <v>244</v>
      </c>
      <c r="D29" s="57">
        <v>61</v>
      </c>
    </row>
    <row r="30" spans="1:4">
      <c r="A30" s="61" t="s">
        <v>175</v>
      </c>
      <c r="B30" s="58">
        <v>19</v>
      </c>
      <c r="C30" s="58">
        <v>1135</v>
      </c>
      <c r="D30" s="57">
        <v>59.736842105263158</v>
      </c>
    </row>
    <row r="31" spans="1:4">
      <c r="A31" s="61" t="s">
        <v>176</v>
      </c>
      <c r="B31" s="58">
        <v>114</v>
      </c>
      <c r="C31" s="58">
        <v>8249</v>
      </c>
      <c r="D31" s="57">
        <v>72.359649122807014</v>
      </c>
    </row>
    <row r="32" spans="1:4">
      <c r="A32" s="61" t="s">
        <v>177</v>
      </c>
      <c r="B32" s="58">
        <v>1</v>
      </c>
      <c r="C32" s="58">
        <v>30</v>
      </c>
      <c r="D32" s="57">
        <v>30</v>
      </c>
    </row>
    <row r="33" spans="1:4">
      <c r="A33" s="61" t="s">
        <v>178</v>
      </c>
      <c r="B33" s="58">
        <v>10</v>
      </c>
      <c r="C33" s="58">
        <v>1702</v>
      </c>
      <c r="D33" s="57">
        <v>170.2</v>
      </c>
    </row>
    <row r="34" spans="1:4">
      <c r="A34" s="61" t="s">
        <v>179</v>
      </c>
      <c r="B34" s="58">
        <v>23</v>
      </c>
      <c r="C34" s="58">
        <v>2949</v>
      </c>
      <c r="D34" s="57">
        <v>128.21739130434781</v>
      </c>
    </row>
    <row r="35" spans="1:4">
      <c r="A35" s="61" t="s">
        <v>180</v>
      </c>
      <c r="B35" s="58">
        <v>52</v>
      </c>
      <c r="C35" s="58">
        <v>2844</v>
      </c>
      <c r="D35" s="57">
        <v>54.692307692307693</v>
      </c>
    </row>
    <row r="36" spans="1:4">
      <c r="A36" s="61" t="s">
        <v>181</v>
      </c>
      <c r="B36" s="58">
        <v>1</v>
      </c>
      <c r="C36" s="58">
        <v>275</v>
      </c>
      <c r="D36" s="57">
        <v>275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16" workbookViewId="0">
      <selection activeCell="G22" sqref="G22"/>
    </sheetView>
  </sheetViews>
  <sheetFormatPr defaultRowHeight="15"/>
  <cols>
    <col min="1" max="1" width="29.5703125" customWidth="1"/>
    <col min="2" max="2" width="27.140625" customWidth="1"/>
    <col min="3" max="3" width="24.5703125" customWidth="1"/>
  </cols>
  <sheetData>
    <row r="1" spans="1:4">
      <c r="A1" s="67" t="s">
        <v>157</v>
      </c>
      <c r="B1" s="68" t="s">
        <v>158</v>
      </c>
      <c r="C1" s="69" t="s">
        <v>159</v>
      </c>
    </row>
    <row r="2" spans="1:4">
      <c r="A2" s="63" t="s">
        <v>40</v>
      </c>
      <c r="B2" s="65">
        <v>42</v>
      </c>
      <c r="C2" s="65">
        <v>3301</v>
      </c>
      <c r="D2" s="75">
        <f>C2/B2</f>
        <v>78.595238095238102</v>
      </c>
    </row>
    <row r="3" spans="1:4">
      <c r="A3" s="64" t="s">
        <v>43</v>
      </c>
      <c r="B3" s="65">
        <v>80</v>
      </c>
      <c r="C3" s="65">
        <v>7695</v>
      </c>
      <c r="D3" s="75">
        <f t="shared" ref="D3:D37" si="0">C3/B3</f>
        <v>96.1875</v>
      </c>
    </row>
    <row r="4" spans="1:4">
      <c r="A4" s="64" t="s">
        <v>51</v>
      </c>
      <c r="B4" s="65">
        <v>66</v>
      </c>
      <c r="C4" s="65">
        <v>4092</v>
      </c>
      <c r="D4" s="75">
        <f t="shared" si="0"/>
        <v>62</v>
      </c>
    </row>
    <row r="5" spans="1:4">
      <c r="A5" s="64" t="s">
        <v>162</v>
      </c>
      <c r="B5" s="65">
        <v>36</v>
      </c>
      <c r="C5" s="65">
        <v>3150</v>
      </c>
      <c r="D5" s="75">
        <f t="shared" si="0"/>
        <v>87.5</v>
      </c>
    </row>
    <row r="6" spans="1:4">
      <c r="A6" s="64" t="s">
        <v>164</v>
      </c>
      <c r="B6" s="65">
        <v>33</v>
      </c>
      <c r="C6" s="65">
        <v>3272</v>
      </c>
      <c r="D6" s="75">
        <f t="shared" si="0"/>
        <v>99.151515151515156</v>
      </c>
    </row>
    <row r="7" spans="1:4">
      <c r="A7" s="64" t="s">
        <v>165</v>
      </c>
      <c r="B7" s="65">
        <v>111</v>
      </c>
      <c r="C7" s="65">
        <v>8307</v>
      </c>
      <c r="D7" s="75">
        <f t="shared" si="0"/>
        <v>74.837837837837839</v>
      </c>
    </row>
    <row r="8" spans="1:4">
      <c r="A8" s="64" t="s">
        <v>78</v>
      </c>
      <c r="B8" s="65">
        <v>11</v>
      </c>
      <c r="C8" s="65">
        <v>354</v>
      </c>
      <c r="D8" s="75">
        <f t="shared" si="0"/>
        <v>32.18181818181818</v>
      </c>
    </row>
    <row r="9" spans="1:4">
      <c r="A9" s="64" t="s">
        <v>182</v>
      </c>
      <c r="B9" s="65">
        <v>111</v>
      </c>
      <c r="C9" s="65">
        <v>6455</v>
      </c>
      <c r="D9" s="75">
        <f t="shared" si="0"/>
        <v>58.153153153153156</v>
      </c>
    </row>
    <row r="10" spans="1:4">
      <c r="A10" s="64" t="s">
        <v>85</v>
      </c>
      <c r="B10" s="65">
        <v>1</v>
      </c>
      <c r="C10" s="65">
        <v>30</v>
      </c>
      <c r="D10" s="75">
        <f t="shared" si="0"/>
        <v>30</v>
      </c>
    </row>
    <row r="11" spans="1:4">
      <c r="A11" s="64" t="s">
        <v>183</v>
      </c>
      <c r="B11" s="65">
        <v>59</v>
      </c>
      <c r="C11" s="65">
        <v>7527</v>
      </c>
      <c r="D11" s="75">
        <f t="shared" si="0"/>
        <v>127.57627118644068</v>
      </c>
    </row>
    <row r="12" spans="1:4">
      <c r="A12" s="64" t="s">
        <v>70</v>
      </c>
      <c r="B12" s="65">
        <v>84</v>
      </c>
      <c r="C12" s="65">
        <v>8711</v>
      </c>
      <c r="D12" s="75">
        <f t="shared" si="0"/>
        <v>103.70238095238095</v>
      </c>
    </row>
    <row r="13" spans="1:4">
      <c r="A13" s="64" t="s">
        <v>67</v>
      </c>
      <c r="B13" s="65">
        <v>42</v>
      </c>
      <c r="C13" s="65">
        <v>1651</v>
      </c>
      <c r="D13" s="75">
        <f t="shared" si="0"/>
        <v>39.30952380952381</v>
      </c>
    </row>
    <row r="14" spans="1:4">
      <c r="A14" s="64" t="s">
        <v>166</v>
      </c>
      <c r="B14" s="65">
        <v>70</v>
      </c>
      <c r="C14" s="65">
        <v>5743</v>
      </c>
      <c r="D14" s="75">
        <f t="shared" si="0"/>
        <v>82.042857142857144</v>
      </c>
    </row>
    <row r="15" spans="1:4">
      <c r="A15" s="64" t="s">
        <v>184</v>
      </c>
      <c r="B15" s="65">
        <v>8</v>
      </c>
      <c r="C15" s="65">
        <v>927</v>
      </c>
      <c r="D15" s="75">
        <f t="shared" si="0"/>
        <v>115.875</v>
      </c>
    </row>
    <row r="16" spans="1:4">
      <c r="A16" s="64" t="s">
        <v>48</v>
      </c>
      <c r="B16" s="65">
        <v>93</v>
      </c>
      <c r="C16" s="65">
        <v>10921</v>
      </c>
      <c r="D16" s="75">
        <f t="shared" si="0"/>
        <v>117.43010752688173</v>
      </c>
    </row>
    <row r="17" spans="1:4">
      <c r="A17" s="64" t="s">
        <v>185</v>
      </c>
      <c r="B17" s="65">
        <v>45</v>
      </c>
      <c r="C17" s="65">
        <v>3616</v>
      </c>
      <c r="D17" s="75">
        <f t="shared" si="0"/>
        <v>80.355555555555554</v>
      </c>
    </row>
    <row r="18" spans="1:4">
      <c r="A18" s="64" t="s">
        <v>167</v>
      </c>
      <c r="B18" s="65">
        <v>71</v>
      </c>
      <c r="C18" s="65">
        <v>8177</v>
      </c>
      <c r="D18" s="75">
        <f t="shared" si="0"/>
        <v>115.16901408450704</v>
      </c>
    </row>
    <row r="19" spans="1:4">
      <c r="A19" s="64" t="s">
        <v>99</v>
      </c>
      <c r="B19" s="65">
        <v>165</v>
      </c>
      <c r="C19" s="65">
        <v>24146</v>
      </c>
      <c r="D19" s="75">
        <f t="shared" si="0"/>
        <v>146.33939393939394</v>
      </c>
    </row>
    <row r="20" spans="1:4">
      <c r="A20" s="64" t="s">
        <v>186</v>
      </c>
      <c r="B20" s="65">
        <v>64</v>
      </c>
      <c r="C20" s="65">
        <v>5444</v>
      </c>
      <c r="D20" s="75">
        <f t="shared" si="0"/>
        <v>85.0625</v>
      </c>
    </row>
    <row r="21" spans="1:4">
      <c r="A21" s="64" t="s">
        <v>128</v>
      </c>
      <c r="B21" s="65">
        <v>10</v>
      </c>
      <c r="C21" s="65">
        <v>135</v>
      </c>
      <c r="D21" s="75">
        <f t="shared" si="0"/>
        <v>13.5</v>
      </c>
    </row>
    <row r="22" spans="1:4" ht="24">
      <c r="A22" s="64" t="s">
        <v>169</v>
      </c>
      <c r="B22" s="65">
        <v>121</v>
      </c>
      <c r="C22" s="65">
        <v>217</v>
      </c>
      <c r="D22" s="75">
        <f t="shared" si="0"/>
        <v>1.7933884297520661</v>
      </c>
    </row>
    <row r="23" spans="1:4">
      <c r="A23" s="63" t="s">
        <v>170</v>
      </c>
      <c r="B23" s="65">
        <v>94</v>
      </c>
      <c r="C23" s="65">
        <v>195</v>
      </c>
      <c r="D23" s="75">
        <f t="shared" si="0"/>
        <v>2.0744680851063828</v>
      </c>
    </row>
    <row r="24" spans="1:4" ht="24">
      <c r="A24" s="64" t="s">
        <v>172</v>
      </c>
      <c r="B24" s="65">
        <v>52</v>
      </c>
      <c r="C24" s="65">
        <v>110</v>
      </c>
      <c r="D24" s="75">
        <f t="shared" si="0"/>
        <v>2.1153846153846154</v>
      </c>
    </row>
    <row r="25" spans="1:4">
      <c r="A25" s="70" t="s">
        <v>171</v>
      </c>
      <c r="B25" s="65">
        <v>6</v>
      </c>
      <c r="C25" s="65">
        <v>57</v>
      </c>
      <c r="D25" s="62">
        <f t="shared" si="0"/>
        <v>9.5</v>
      </c>
    </row>
    <row r="26" spans="1:4">
      <c r="A26" s="70" t="s">
        <v>108</v>
      </c>
      <c r="B26" s="65">
        <v>2</v>
      </c>
      <c r="C26" s="65">
        <v>142</v>
      </c>
      <c r="D26" s="62">
        <f t="shared" si="0"/>
        <v>71</v>
      </c>
    </row>
    <row r="27" spans="1:4">
      <c r="A27" s="71" t="s">
        <v>187</v>
      </c>
      <c r="B27" s="66">
        <v>39</v>
      </c>
      <c r="C27" s="66">
        <v>5194</v>
      </c>
      <c r="D27" s="62">
        <f t="shared" si="0"/>
        <v>133.17948717948718</v>
      </c>
    </row>
    <row r="28" spans="1:4">
      <c r="A28" s="72" t="s">
        <v>188</v>
      </c>
      <c r="B28" s="66">
        <v>1</v>
      </c>
      <c r="C28" s="66">
        <v>30</v>
      </c>
      <c r="D28" s="62">
        <f t="shared" si="0"/>
        <v>30</v>
      </c>
    </row>
    <row r="29" spans="1:4">
      <c r="A29" s="72" t="s">
        <v>141</v>
      </c>
      <c r="B29" s="66">
        <v>1</v>
      </c>
      <c r="C29" s="66">
        <v>92</v>
      </c>
      <c r="D29" s="62">
        <f t="shared" si="0"/>
        <v>92</v>
      </c>
    </row>
    <row r="30" spans="1:4">
      <c r="A30" s="72" t="s">
        <v>144</v>
      </c>
      <c r="B30" s="66">
        <v>1</v>
      </c>
      <c r="C30" s="66">
        <v>90</v>
      </c>
      <c r="D30" s="62">
        <f t="shared" si="0"/>
        <v>90</v>
      </c>
    </row>
    <row r="31" spans="1:4">
      <c r="A31" s="72" t="s">
        <v>176</v>
      </c>
      <c r="B31" s="66">
        <v>7</v>
      </c>
      <c r="C31" s="66">
        <v>458</v>
      </c>
      <c r="D31" s="62">
        <f t="shared" si="0"/>
        <v>65.428571428571431</v>
      </c>
    </row>
    <row r="32" spans="1:4">
      <c r="A32" s="72" t="s">
        <v>189</v>
      </c>
      <c r="B32" s="66">
        <v>2</v>
      </c>
      <c r="C32" s="66">
        <v>270</v>
      </c>
      <c r="D32" s="62">
        <f t="shared" si="0"/>
        <v>135</v>
      </c>
    </row>
    <row r="33" spans="1:4">
      <c r="A33" s="72" t="s">
        <v>135</v>
      </c>
      <c r="B33" s="66">
        <v>2</v>
      </c>
      <c r="C33" s="66">
        <v>428</v>
      </c>
      <c r="D33" s="62">
        <f t="shared" si="0"/>
        <v>214</v>
      </c>
    </row>
    <row r="34" spans="1:4">
      <c r="A34" s="72" t="s">
        <v>178</v>
      </c>
      <c r="B34" s="66">
        <v>1</v>
      </c>
      <c r="C34" s="66">
        <v>100</v>
      </c>
      <c r="D34" s="62">
        <f t="shared" si="0"/>
        <v>100</v>
      </c>
    </row>
    <row r="35" spans="1:4">
      <c r="A35" s="72" t="s">
        <v>179</v>
      </c>
      <c r="B35" s="66">
        <v>7</v>
      </c>
      <c r="C35" s="66">
        <v>770</v>
      </c>
      <c r="D35" s="62">
        <f t="shared" si="0"/>
        <v>110</v>
      </c>
    </row>
    <row r="36" spans="1:4">
      <c r="A36" s="72" t="s">
        <v>180</v>
      </c>
      <c r="B36" s="66">
        <v>4</v>
      </c>
      <c r="C36" s="66">
        <v>152</v>
      </c>
      <c r="D36" s="62">
        <f t="shared" si="0"/>
        <v>38</v>
      </c>
    </row>
    <row r="37" spans="1:4">
      <c r="A37" s="72" t="s">
        <v>181</v>
      </c>
      <c r="B37" s="66">
        <v>2</v>
      </c>
      <c r="C37" s="66">
        <v>736</v>
      </c>
      <c r="D37" s="62">
        <f t="shared" si="0"/>
        <v>368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"/>
  <sheetViews>
    <sheetView workbookViewId="0">
      <selection activeCell="E1" sqref="E1:H1"/>
    </sheetView>
  </sheetViews>
  <sheetFormatPr defaultRowHeight="15"/>
  <cols>
    <col min="1" max="1" width="4" style="2" customWidth="1"/>
    <col min="2" max="2" width="24.42578125" style="2" customWidth="1"/>
    <col min="3" max="3" width="19.85546875" style="2" hidden="1" customWidth="1"/>
    <col min="4" max="4" width="9.28515625" style="2" hidden="1" customWidth="1"/>
    <col min="5" max="8" width="11.85546875" style="79" customWidth="1"/>
    <col min="9" max="9" width="8.28515625" style="2" hidden="1" customWidth="1"/>
    <col min="10" max="10" width="0" style="2" hidden="1" customWidth="1"/>
    <col min="11" max="13" width="7.5703125" style="2" hidden="1" customWidth="1"/>
    <col min="14" max="14" width="10.28515625" style="2" hidden="1" customWidth="1"/>
    <col min="15" max="15" width="10.5703125" style="2" hidden="1" customWidth="1"/>
    <col min="16" max="16" width="11.140625" style="2" hidden="1" customWidth="1"/>
    <col min="17" max="17" width="10.42578125" style="2" hidden="1" customWidth="1"/>
    <col min="18" max="25" width="11" style="2" hidden="1" customWidth="1"/>
    <col min="26" max="27" width="11" style="3" hidden="1" customWidth="1"/>
    <col min="28" max="28" width="8.28515625" style="31" hidden="1" customWidth="1"/>
    <col min="29" max="29" width="9.85546875" style="31" hidden="1" customWidth="1"/>
    <col min="30" max="30" width="9.28515625" style="31" hidden="1" customWidth="1"/>
    <col min="31" max="32" width="15.28515625" style="2" hidden="1" customWidth="1"/>
    <col min="33" max="33" width="12.5703125" style="45" hidden="1" customWidth="1"/>
    <col min="34" max="34" width="20.7109375" style="33" hidden="1" customWidth="1"/>
    <col min="35" max="39" width="20.7109375" style="46" hidden="1" customWidth="1"/>
    <col min="40" max="40" width="12.42578125" style="49" hidden="1" customWidth="1"/>
    <col min="41" max="41" width="38.5703125" style="2" hidden="1" customWidth="1"/>
    <col min="42" max="42" width="0" style="73" hidden="1" customWidth="1"/>
    <col min="43" max="46" width="0" style="2" hidden="1" customWidth="1"/>
    <col min="47" max="47" width="13.140625" style="2" hidden="1" customWidth="1"/>
    <col min="48" max="48" width="16.7109375" style="2" hidden="1" customWidth="1"/>
    <col min="49" max="66" width="0" style="2" hidden="1" customWidth="1"/>
    <col min="67" max="260" width="9.140625" style="2"/>
    <col min="261" max="261" width="4" style="2" customWidth="1"/>
    <col min="262" max="262" width="24.42578125" style="2" customWidth="1"/>
    <col min="263" max="263" width="19.85546875" style="2" customWidth="1"/>
    <col min="264" max="264" width="9.28515625" style="2" customWidth="1"/>
    <col min="265" max="265" width="10" style="2" customWidth="1"/>
    <col min="266" max="266" width="8.42578125" style="2" customWidth="1"/>
    <col min="267" max="267" width="12.28515625" style="2" customWidth="1"/>
    <col min="268" max="268" width="7.5703125" style="2" customWidth="1"/>
    <col min="269" max="269" width="7.85546875" style="2" customWidth="1"/>
    <col min="270" max="270" width="8.28515625" style="2" customWidth="1"/>
    <col min="271" max="271" width="9.140625" style="2"/>
    <col min="272" max="274" width="7.5703125" style="2" customWidth="1"/>
    <col min="275" max="275" width="10.28515625" style="2" customWidth="1"/>
    <col min="276" max="276" width="10.5703125" style="2" customWidth="1"/>
    <col min="277" max="277" width="11.140625" style="2" customWidth="1"/>
    <col min="278" max="278" width="10.42578125" style="2" customWidth="1"/>
    <col min="279" max="288" width="11" style="2" customWidth="1"/>
    <col min="289" max="289" width="9.140625" style="2" customWidth="1"/>
    <col min="290" max="290" width="6.85546875" style="2" customWidth="1"/>
    <col min="291" max="291" width="15" style="2" bestFit="1" customWidth="1"/>
    <col min="292" max="516" width="9.140625" style="2"/>
    <col min="517" max="517" width="4" style="2" customWidth="1"/>
    <col min="518" max="518" width="24.42578125" style="2" customWidth="1"/>
    <col min="519" max="519" width="19.85546875" style="2" customWidth="1"/>
    <col min="520" max="520" width="9.28515625" style="2" customWidth="1"/>
    <col min="521" max="521" width="10" style="2" customWidth="1"/>
    <col min="522" max="522" width="8.42578125" style="2" customWidth="1"/>
    <col min="523" max="523" width="12.28515625" style="2" customWidth="1"/>
    <col min="524" max="524" width="7.5703125" style="2" customWidth="1"/>
    <col min="525" max="525" width="7.85546875" style="2" customWidth="1"/>
    <col min="526" max="526" width="8.28515625" style="2" customWidth="1"/>
    <col min="527" max="527" width="9.140625" style="2"/>
    <col min="528" max="530" width="7.5703125" style="2" customWidth="1"/>
    <col min="531" max="531" width="10.28515625" style="2" customWidth="1"/>
    <col min="532" max="532" width="10.5703125" style="2" customWidth="1"/>
    <col min="533" max="533" width="11.140625" style="2" customWidth="1"/>
    <col min="534" max="534" width="10.42578125" style="2" customWidth="1"/>
    <col min="535" max="544" width="11" style="2" customWidth="1"/>
    <col min="545" max="545" width="9.140625" style="2" customWidth="1"/>
    <col min="546" max="546" width="6.85546875" style="2" customWidth="1"/>
    <col min="547" max="547" width="15" style="2" bestFit="1" customWidth="1"/>
    <col min="548" max="772" width="9.140625" style="2"/>
    <col min="773" max="773" width="4" style="2" customWidth="1"/>
    <col min="774" max="774" width="24.42578125" style="2" customWidth="1"/>
    <col min="775" max="775" width="19.85546875" style="2" customWidth="1"/>
    <col min="776" max="776" width="9.28515625" style="2" customWidth="1"/>
    <col min="777" max="777" width="10" style="2" customWidth="1"/>
    <col min="778" max="778" width="8.42578125" style="2" customWidth="1"/>
    <col min="779" max="779" width="12.28515625" style="2" customWidth="1"/>
    <col min="780" max="780" width="7.5703125" style="2" customWidth="1"/>
    <col min="781" max="781" width="7.85546875" style="2" customWidth="1"/>
    <col min="782" max="782" width="8.28515625" style="2" customWidth="1"/>
    <col min="783" max="783" width="9.140625" style="2"/>
    <col min="784" max="786" width="7.5703125" style="2" customWidth="1"/>
    <col min="787" max="787" width="10.28515625" style="2" customWidth="1"/>
    <col min="788" max="788" width="10.5703125" style="2" customWidth="1"/>
    <col min="789" max="789" width="11.140625" style="2" customWidth="1"/>
    <col min="790" max="790" width="10.42578125" style="2" customWidth="1"/>
    <col min="791" max="800" width="11" style="2" customWidth="1"/>
    <col min="801" max="801" width="9.140625" style="2" customWidth="1"/>
    <col min="802" max="802" width="6.85546875" style="2" customWidth="1"/>
    <col min="803" max="803" width="15" style="2" bestFit="1" customWidth="1"/>
    <col min="804" max="1028" width="9.140625" style="2"/>
    <col min="1029" max="1029" width="4" style="2" customWidth="1"/>
    <col min="1030" max="1030" width="24.42578125" style="2" customWidth="1"/>
    <col min="1031" max="1031" width="19.85546875" style="2" customWidth="1"/>
    <col min="1032" max="1032" width="9.28515625" style="2" customWidth="1"/>
    <col min="1033" max="1033" width="10" style="2" customWidth="1"/>
    <col min="1034" max="1034" width="8.42578125" style="2" customWidth="1"/>
    <col min="1035" max="1035" width="12.28515625" style="2" customWidth="1"/>
    <col min="1036" max="1036" width="7.5703125" style="2" customWidth="1"/>
    <col min="1037" max="1037" width="7.85546875" style="2" customWidth="1"/>
    <col min="1038" max="1038" width="8.28515625" style="2" customWidth="1"/>
    <col min="1039" max="1039" width="9.140625" style="2"/>
    <col min="1040" max="1042" width="7.5703125" style="2" customWidth="1"/>
    <col min="1043" max="1043" width="10.28515625" style="2" customWidth="1"/>
    <col min="1044" max="1044" width="10.5703125" style="2" customWidth="1"/>
    <col min="1045" max="1045" width="11.140625" style="2" customWidth="1"/>
    <col min="1046" max="1046" width="10.42578125" style="2" customWidth="1"/>
    <col min="1047" max="1056" width="11" style="2" customWidth="1"/>
    <col min="1057" max="1057" width="9.140625" style="2" customWidth="1"/>
    <col min="1058" max="1058" width="6.85546875" style="2" customWidth="1"/>
    <col min="1059" max="1059" width="15" style="2" bestFit="1" customWidth="1"/>
    <col min="1060" max="1284" width="9.140625" style="2"/>
    <col min="1285" max="1285" width="4" style="2" customWidth="1"/>
    <col min="1286" max="1286" width="24.42578125" style="2" customWidth="1"/>
    <col min="1287" max="1287" width="19.85546875" style="2" customWidth="1"/>
    <col min="1288" max="1288" width="9.28515625" style="2" customWidth="1"/>
    <col min="1289" max="1289" width="10" style="2" customWidth="1"/>
    <col min="1290" max="1290" width="8.42578125" style="2" customWidth="1"/>
    <col min="1291" max="1291" width="12.28515625" style="2" customWidth="1"/>
    <col min="1292" max="1292" width="7.5703125" style="2" customWidth="1"/>
    <col min="1293" max="1293" width="7.85546875" style="2" customWidth="1"/>
    <col min="1294" max="1294" width="8.28515625" style="2" customWidth="1"/>
    <col min="1295" max="1295" width="9.140625" style="2"/>
    <col min="1296" max="1298" width="7.5703125" style="2" customWidth="1"/>
    <col min="1299" max="1299" width="10.28515625" style="2" customWidth="1"/>
    <col min="1300" max="1300" width="10.5703125" style="2" customWidth="1"/>
    <col min="1301" max="1301" width="11.140625" style="2" customWidth="1"/>
    <col min="1302" max="1302" width="10.42578125" style="2" customWidth="1"/>
    <col min="1303" max="1312" width="11" style="2" customWidth="1"/>
    <col min="1313" max="1313" width="9.140625" style="2" customWidth="1"/>
    <col min="1314" max="1314" width="6.85546875" style="2" customWidth="1"/>
    <col min="1315" max="1315" width="15" style="2" bestFit="1" customWidth="1"/>
    <col min="1316" max="1540" width="9.140625" style="2"/>
    <col min="1541" max="1541" width="4" style="2" customWidth="1"/>
    <col min="1542" max="1542" width="24.42578125" style="2" customWidth="1"/>
    <col min="1543" max="1543" width="19.85546875" style="2" customWidth="1"/>
    <col min="1544" max="1544" width="9.28515625" style="2" customWidth="1"/>
    <col min="1545" max="1545" width="10" style="2" customWidth="1"/>
    <col min="1546" max="1546" width="8.42578125" style="2" customWidth="1"/>
    <col min="1547" max="1547" width="12.28515625" style="2" customWidth="1"/>
    <col min="1548" max="1548" width="7.5703125" style="2" customWidth="1"/>
    <col min="1549" max="1549" width="7.85546875" style="2" customWidth="1"/>
    <col min="1550" max="1550" width="8.28515625" style="2" customWidth="1"/>
    <col min="1551" max="1551" width="9.140625" style="2"/>
    <col min="1552" max="1554" width="7.5703125" style="2" customWidth="1"/>
    <col min="1555" max="1555" width="10.28515625" style="2" customWidth="1"/>
    <col min="1556" max="1556" width="10.5703125" style="2" customWidth="1"/>
    <col min="1557" max="1557" width="11.140625" style="2" customWidth="1"/>
    <col min="1558" max="1558" width="10.42578125" style="2" customWidth="1"/>
    <col min="1559" max="1568" width="11" style="2" customWidth="1"/>
    <col min="1569" max="1569" width="9.140625" style="2" customWidth="1"/>
    <col min="1570" max="1570" width="6.85546875" style="2" customWidth="1"/>
    <col min="1571" max="1571" width="15" style="2" bestFit="1" customWidth="1"/>
    <col min="1572" max="1796" width="9.140625" style="2"/>
    <col min="1797" max="1797" width="4" style="2" customWidth="1"/>
    <col min="1798" max="1798" width="24.42578125" style="2" customWidth="1"/>
    <col min="1799" max="1799" width="19.85546875" style="2" customWidth="1"/>
    <col min="1800" max="1800" width="9.28515625" style="2" customWidth="1"/>
    <col min="1801" max="1801" width="10" style="2" customWidth="1"/>
    <col min="1802" max="1802" width="8.42578125" style="2" customWidth="1"/>
    <col min="1803" max="1803" width="12.28515625" style="2" customWidth="1"/>
    <col min="1804" max="1804" width="7.5703125" style="2" customWidth="1"/>
    <col min="1805" max="1805" width="7.85546875" style="2" customWidth="1"/>
    <col min="1806" max="1806" width="8.28515625" style="2" customWidth="1"/>
    <col min="1807" max="1807" width="9.140625" style="2"/>
    <col min="1808" max="1810" width="7.5703125" style="2" customWidth="1"/>
    <col min="1811" max="1811" width="10.28515625" style="2" customWidth="1"/>
    <col min="1812" max="1812" width="10.5703125" style="2" customWidth="1"/>
    <col min="1813" max="1813" width="11.140625" style="2" customWidth="1"/>
    <col min="1814" max="1814" width="10.42578125" style="2" customWidth="1"/>
    <col min="1815" max="1824" width="11" style="2" customWidth="1"/>
    <col min="1825" max="1825" width="9.140625" style="2" customWidth="1"/>
    <col min="1826" max="1826" width="6.85546875" style="2" customWidth="1"/>
    <col min="1827" max="1827" width="15" style="2" bestFit="1" customWidth="1"/>
    <col min="1828" max="2052" width="9.140625" style="2"/>
    <col min="2053" max="2053" width="4" style="2" customWidth="1"/>
    <col min="2054" max="2054" width="24.42578125" style="2" customWidth="1"/>
    <col min="2055" max="2055" width="19.85546875" style="2" customWidth="1"/>
    <col min="2056" max="2056" width="9.28515625" style="2" customWidth="1"/>
    <col min="2057" max="2057" width="10" style="2" customWidth="1"/>
    <col min="2058" max="2058" width="8.42578125" style="2" customWidth="1"/>
    <col min="2059" max="2059" width="12.28515625" style="2" customWidth="1"/>
    <col min="2060" max="2060" width="7.5703125" style="2" customWidth="1"/>
    <col min="2061" max="2061" width="7.85546875" style="2" customWidth="1"/>
    <col min="2062" max="2062" width="8.28515625" style="2" customWidth="1"/>
    <col min="2063" max="2063" width="9.140625" style="2"/>
    <col min="2064" max="2066" width="7.5703125" style="2" customWidth="1"/>
    <col min="2067" max="2067" width="10.28515625" style="2" customWidth="1"/>
    <col min="2068" max="2068" width="10.5703125" style="2" customWidth="1"/>
    <col min="2069" max="2069" width="11.140625" style="2" customWidth="1"/>
    <col min="2070" max="2070" width="10.42578125" style="2" customWidth="1"/>
    <col min="2071" max="2080" width="11" style="2" customWidth="1"/>
    <col min="2081" max="2081" width="9.140625" style="2" customWidth="1"/>
    <col min="2082" max="2082" width="6.85546875" style="2" customWidth="1"/>
    <col min="2083" max="2083" width="15" style="2" bestFit="1" customWidth="1"/>
    <col min="2084" max="2308" width="9.140625" style="2"/>
    <col min="2309" max="2309" width="4" style="2" customWidth="1"/>
    <col min="2310" max="2310" width="24.42578125" style="2" customWidth="1"/>
    <col min="2311" max="2311" width="19.85546875" style="2" customWidth="1"/>
    <col min="2312" max="2312" width="9.28515625" style="2" customWidth="1"/>
    <col min="2313" max="2313" width="10" style="2" customWidth="1"/>
    <col min="2314" max="2314" width="8.42578125" style="2" customWidth="1"/>
    <col min="2315" max="2315" width="12.28515625" style="2" customWidth="1"/>
    <col min="2316" max="2316" width="7.5703125" style="2" customWidth="1"/>
    <col min="2317" max="2317" width="7.85546875" style="2" customWidth="1"/>
    <col min="2318" max="2318" width="8.28515625" style="2" customWidth="1"/>
    <col min="2319" max="2319" width="9.140625" style="2"/>
    <col min="2320" max="2322" width="7.5703125" style="2" customWidth="1"/>
    <col min="2323" max="2323" width="10.28515625" style="2" customWidth="1"/>
    <col min="2324" max="2324" width="10.5703125" style="2" customWidth="1"/>
    <col min="2325" max="2325" width="11.140625" style="2" customWidth="1"/>
    <col min="2326" max="2326" width="10.42578125" style="2" customWidth="1"/>
    <col min="2327" max="2336" width="11" style="2" customWidth="1"/>
    <col min="2337" max="2337" width="9.140625" style="2" customWidth="1"/>
    <col min="2338" max="2338" width="6.85546875" style="2" customWidth="1"/>
    <col min="2339" max="2339" width="15" style="2" bestFit="1" customWidth="1"/>
    <col min="2340" max="2564" width="9.140625" style="2"/>
    <col min="2565" max="2565" width="4" style="2" customWidth="1"/>
    <col min="2566" max="2566" width="24.42578125" style="2" customWidth="1"/>
    <col min="2567" max="2567" width="19.85546875" style="2" customWidth="1"/>
    <col min="2568" max="2568" width="9.28515625" style="2" customWidth="1"/>
    <col min="2569" max="2569" width="10" style="2" customWidth="1"/>
    <col min="2570" max="2570" width="8.42578125" style="2" customWidth="1"/>
    <col min="2571" max="2571" width="12.28515625" style="2" customWidth="1"/>
    <col min="2572" max="2572" width="7.5703125" style="2" customWidth="1"/>
    <col min="2573" max="2573" width="7.85546875" style="2" customWidth="1"/>
    <col min="2574" max="2574" width="8.28515625" style="2" customWidth="1"/>
    <col min="2575" max="2575" width="9.140625" style="2"/>
    <col min="2576" max="2578" width="7.5703125" style="2" customWidth="1"/>
    <col min="2579" max="2579" width="10.28515625" style="2" customWidth="1"/>
    <col min="2580" max="2580" width="10.5703125" style="2" customWidth="1"/>
    <col min="2581" max="2581" width="11.140625" style="2" customWidth="1"/>
    <col min="2582" max="2582" width="10.42578125" style="2" customWidth="1"/>
    <col min="2583" max="2592" width="11" style="2" customWidth="1"/>
    <col min="2593" max="2593" width="9.140625" style="2" customWidth="1"/>
    <col min="2594" max="2594" width="6.85546875" style="2" customWidth="1"/>
    <col min="2595" max="2595" width="15" style="2" bestFit="1" customWidth="1"/>
    <col min="2596" max="2820" width="9.140625" style="2"/>
    <col min="2821" max="2821" width="4" style="2" customWidth="1"/>
    <col min="2822" max="2822" width="24.42578125" style="2" customWidth="1"/>
    <col min="2823" max="2823" width="19.85546875" style="2" customWidth="1"/>
    <col min="2824" max="2824" width="9.28515625" style="2" customWidth="1"/>
    <col min="2825" max="2825" width="10" style="2" customWidth="1"/>
    <col min="2826" max="2826" width="8.42578125" style="2" customWidth="1"/>
    <col min="2827" max="2827" width="12.28515625" style="2" customWidth="1"/>
    <col min="2828" max="2828" width="7.5703125" style="2" customWidth="1"/>
    <col min="2829" max="2829" width="7.85546875" style="2" customWidth="1"/>
    <col min="2830" max="2830" width="8.28515625" style="2" customWidth="1"/>
    <col min="2831" max="2831" width="9.140625" style="2"/>
    <col min="2832" max="2834" width="7.5703125" style="2" customWidth="1"/>
    <col min="2835" max="2835" width="10.28515625" style="2" customWidth="1"/>
    <col min="2836" max="2836" width="10.5703125" style="2" customWidth="1"/>
    <col min="2837" max="2837" width="11.140625" style="2" customWidth="1"/>
    <col min="2838" max="2838" width="10.42578125" style="2" customWidth="1"/>
    <col min="2839" max="2848" width="11" style="2" customWidth="1"/>
    <col min="2849" max="2849" width="9.140625" style="2" customWidth="1"/>
    <col min="2850" max="2850" width="6.85546875" style="2" customWidth="1"/>
    <col min="2851" max="2851" width="15" style="2" bestFit="1" customWidth="1"/>
    <col min="2852" max="3076" width="9.140625" style="2"/>
    <col min="3077" max="3077" width="4" style="2" customWidth="1"/>
    <col min="3078" max="3078" width="24.42578125" style="2" customWidth="1"/>
    <col min="3079" max="3079" width="19.85546875" style="2" customWidth="1"/>
    <col min="3080" max="3080" width="9.28515625" style="2" customWidth="1"/>
    <col min="3081" max="3081" width="10" style="2" customWidth="1"/>
    <col min="3082" max="3082" width="8.42578125" style="2" customWidth="1"/>
    <col min="3083" max="3083" width="12.28515625" style="2" customWidth="1"/>
    <col min="3084" max="3084" width="7.5703125" style="2" customWidth="1"/>
    <col min="3085" max="3085" width="7.85546875" style="2" customWidth="1"/>
    <col min="3086" max="3086" width="8.28515625" style="2" customWidth="1"/>
    <col min="3087" max="3087" width="9.140625" style="2"/>
    <col min="3088" max="3090" width="7.5703125" style="2" customWidth="1"/>
    <col min="3091" max="3091" width="10.28515625" style="2" customWidth="1"/>
    <col min="3092" max="3092" width="10.5703125" style="2" customWidth="1"/>
    <col min="3093" max="3093" width="11.140625" style="2" customWidth="1"/>
    <col min="3094" max="3094" width="10.42578125" style="2" customWidth="1"/>
    <col min="3095" max="3104" width="11" style="2" customWidth="1"/>
    <col min="3105" max="3105" width="9.140625" style="2" customWidth="1"/>
    <col min="3106" max="3106" width="6.85546875" style="2" customWidth="1"/>
    <col min="3107" max="3107" width="15" style="2" bestFit="1" customWidth="1"/>
    <col min="3108" max="3332" width="9.140625" style="2"/>
    <col min="3333" max="3333" width="4" style="2" customWidth="1"/>
    <col min="3334" max="3334" width="24.42578125" style="2" customWidth="1"/>
    <col min="3335" max="3335" width="19.85546875" style="2" customWidth="1"/>
    <col min="3336" max="3336" width="9.28515625" style="2" customWidth="1"/>
    <col min="3337" max="3337" width="10" style="2" customWidth="1"/>
    <col min="3338" max="3338" width="8.42578125" style="2" customWidth="1"/>
    <col min="3339" max="3339" width="12.28515625" style="2" customWidth="1"/>
    <col min="3340" max="3340" width="7.5703125" style="2" customWidth="1"/>
    <col min="3341" max="3341" width="7.85546875" style="2" customWidth="1"/>
    <col min="3342" max="3342" width="8.28515625" style="2" customWidth="1"/>
    <col min="3343" max="3343" width="9.140625" style="2"/>
    <col min="3344" max="3346" width="7.5703125" style="2" customWidth="1"/>
    <col min="3347" max="3347" width="10.28515625" style="2" customWidth="1"/>
    <col min="3348" max="3348" width="10.5703125" style="2" customWidth="1"/>
    <col min="3349" max="3349" width="11.140625" style="2" customWidth="1"/>
    <col min="3350" max="3350" width="10.42578125" style="2" customWidth="1"/>
    <col min="3351" max="3360" width="11" style="2" customWidth="1"/>
    <col min="3361" max="3361" width="9.140625" style="2" customWidth="1"/>
    <col min="3362" max="3362" width="6.85546875" style="2" customWidth="1"/>
    <col min="3363" max="3363" width="15" style="2" bestFit="1" customWidth="1"/>
    <col min="3364" max="3588" width="9.140625" style="2"/>
    <col min="3589" max="3589" width="4" style="2" customWidth="1"/>
    <col min="3590" max="3590" width="24.42578125" style="2" customWidth="1"/>
    <col min="3591" max="3591" width="19.85546875" style="2" customWidth="1"/>
    <col min="3592" max="3592" width="9.28515625" style="2" customWidth="1"/>
    <col min="3593" max="3593" width="10" style="2" customWidth="1"/>
    <col min="3594" max="3594" width="8.42578125" style="2" customWidth="1"/>
    <col min="3595" max="3595" width="12.28515625" style="2" customWidth="1"/>
    <col min="3596" max="3596" width="7.5703125" style="2" customWidth="1"/>
    <col min="3597" max="3597" width="7.85546875" style="2" customWidth="1"/>
    <col min="3598" max="3598" width="8.28515625" style="2" customWidth="1"/>
    <col min="3599" max="3599" width="9.140625" style="2"/>
    <col min="3600" max="3602" width="7.5703125" style="2" customWidth="1"/>
    <col min="3603" max="3603" width="10.28515625" style="2" customWidth="1"/>
    <col min="3604" max="3604" width="10.5703125" style="2" customWidth="1"/>
    <col min="3605" max="3605" width="11.140625" style="2" customWidth="1"/>
    <col min="3606" max="3606" width="10.42578125" style="2" customWidth="1"/>
    <col min="3607" max="3616" width="11" style="2" customWidth="1"/>
    <col min="3617" max="3617" width="9.140625" style="2" customWidth="1"/>
    <col min="3618" max="3618" width="6.85546875" style="2" customWidth="1"/>
    <col min="3619" max="3619" width="15" style="2" bestFit="1" customWidth="1"/>
    <col min="3620" max="3844" width="9.140625" style="2"/>
    <col min="3845" max="3845" width="4" style="2" customWidth="1"/>
    <col min="3846" max="3846" width="24.42578125" style="2" customWidth="1"/>
    <col min="3847" max="3847" width="19.85546875" style="2" customWidth="1"/>
    <col min="3848" max="3848" width="9.28515625" style="2" customWidth="1"/>
    <col min="3849" max="3849" width="10" style="2" customWidth="1"/>
    <col min="3850" max="3850" width="8.42578125" style="2" customWidth="1"/>
    <col min="3851" max="3851" width="12.28515625" style="2" customWidth="1"/>
    <col min="3852" max="3852" width="7.5703125" style="2" customWidth="1"/>
    <col min="3853" max="3853" width="7.85546875" style="2" customWidth="1"/>
    <col min="3854" max="3854" width="8.28515625" style="2" customWidth="1"/>
    <col min="3855" max="3855" width="9.140625" style="2"/>
    <col min="3856" max="3858" width="7.5703125" style="2" customWidth="1"/>
    <col min="3859" max="3859" width="10.28515625" style="2" customWidth="1"/>
    <col min="3860" max="3860" width="10.5703125" style="2" customWidth="1"/>
    <col min="3861" max="3861" width="11.140625" style="2" customWidth="1"/>
    <col min="3862" max="3862" width="10.42578125" style="2" customWidth="1"/>
    <col min="3863" max="3872" width="11" style="2" customWidth="1"/>
    <col min="3873" max="3873" width="9.140625" style="2" customWidth="1"/>
    <col min="3874" max="3874" width="6.85546875" style="2" customWidth="1"/>
    <col min="3875" max="3875" width="15" style="2" bestFit="1" customWidth="1"/>
    <col min="3876" max="4100" width="9.140625" style="2"/>
    <col min="4101" max="4101" width="4" style="2" customWidth="1"/>
    <col min="4102" max="4102" width="24.42578125" style="2" customWidth="1"/>
    <col min="4103" max="4103" width="19.85546875" style="2" customWidth="1"/>
    <col min="4104" max="4104" width="9.28515625" style="2" customWidth="1"/>
    <col min="4105" max="4105" width="10" style="2" customWidth="1"/>
    <col min="4106" max="4106" width="8.42578125" style="2" customWidth="1"/>
    <col min="4107" max="4107" width="12.28515625" style="2" customWidth="1"/>
    <col min="4108" max="4108" width="7.5703125" style="2" customWidth="1"/>
    <col min="4109" max="4109" width="7.85546875" style="2" customWidth="1"/>
    <col min="4110" max="4110" width="8.28515625" style="2" customWidth="1"/>
    <col min="4111" max="4111" width="9.140625" style="2"/>
    <col min="4112" max="4114" width="7.5703125" style="2" customWidth="1"/>
    <col min="4115" max="4115" width="10.28515625" style="2" customWidth="1"/>
    <col min="4116" max="4116" width="10.5703125" style="2" customWidth="1"/>
    <col min="4117" max="4117" width="11.140625" style="2" customWidth="1"/>
    <col min="4118" max="4118" width="10.42578125" style="2" customWidth="1"/>
    <col min="4119" max="4128" width="11" style="2" customWidth="1"/>
    <col min="4129" max="4129" width="9.140625" style="2" customWidth="1"/>
    <col min="4130" max="4130" width="6.85546875" style="2" customWidth="1"/>
    <col min="4131" max="4131" width="15" style="2" bestFit="1" customWidth="1"/>
    <col min="4132" max="4356" width="9.140625" style="2"/>
    <col min="4357" max="4357" width="4" style="2" customWidth="1"/>
    <col min="4358" max="4358" width="24.42578125" style="2" customWidth="1"/>
    <col min="4359" max="4359" width="19.85546875" style="2" customWidth="1"/>
    <col min="4360" max="4360" width="9.28515625" style="2" customWidth="1"/>
    <col min="4361" max="4361" width="10" style="2" customWidth="1"/>
    <col min="4362" max="4362" width="8.42578125" style="2" customWidth="1"/>
    <col min="4363" max="4363" width="12.28515625" style="2" customWidth="1"/>
    <col min="4364" max="4364" width="7.5703125" style="2" customWidth="1"/>
    <col min="4365" max="4365" width="7.85546875" style="2" customWidth="1"/>
    <col min="4366" max="4366" width="8.28515625" style="2" customWidth="1"/>
    <col min="4367" max="4367" width="9.140625" style="2"/>
    <col min="4368" max="4370" width="7.5703125" style="2" customWidth="1"/>
    <col min="4371" max="4371" width="10.28515625" style="2" customWidth="1"/>
    <col min="4372" max="4372" width="10.5703125" style="2" customWidth="1"/>
    <col min="4373" max="4373" width="11.140625" style="2" customWidth="1"/>
    <col min="4374" max="4374" width="10.42578125" style="2" customWidth="1"/>
    <col min="4375" max="4384" width="11" style="2" customWidth="1"/>
    <col min="4385" max="4385" width="9.140625" style="2" customWidth="1"/>
    <col min="4386" max="4386" width="6.85546875" style="2" customWidth="1"/>
    <col min="4387" max="4387" width="15" style="2" bestFit="1" customWidth="1"/>
    <col min="4388" max="4612" width="9.140625" style="2"/>
    <col min="4613" max="4613" width="4" style="2" customWidth="1"/>
    <col min="4614" max="4614" width="24.42578125" style="2" customWidth="1"/>
    <col min="4615" max="4615" width="19.85546875" style="2" customWidth="1"/>
    <col min="4616" max="4616" width="9.28515625" style="2" customWidth="1"/>
    <col min="4617" max="4617" width="10" style="2" customWidth="1"/>
    <col min="4618" max="4618" width="8.42578125" style="2" customWidth="1"/>
    <col min="4619" max="4619" width="12.28515625" style="2" customWidth="1"/>
    <col min="4620" max="4620" width="7.5703125" style="2" customWidth="1"/>
    <col min="4621" max="4621" width="7.85546875" style="2" customWidth="1"/>
    <col min="4622" max="4622" width="8.28515625" style="2" customWidth="1"/>
    <col min="4623" max="4623" width="9.140625" style="2"/>
    <col min="4624" max="4626" width="7.5703125" style="2" customWidth="1"/>
    <col min="4627" max="4627" width="10.28515625" style="2" customWidth="1"/>
    <col min="4628" max="4628" width="10.5703125" style="2" customWidth="1"/>
    <col min="4629" max="4629" width="11.140625" style="2" customWidth="1"/>
    <col min="4630" max="4630" width="10.42578125" style="2" customWidth="1"/>
    <col min="4631" max="4640" width="11" style="2" customWidth="1"/>
    <col min="4641" max="4641" width="9.140625" style="2" customWidth="1"/>
    <col min="4642" max="4642" width="6.85546875" style="2" customWidth="1"/>
    <col min="4643" max="4643" width="15" style="2" bestFit="1" customWidth="1"/>
    <col min="4644" max="4868" width="9.140625" style="2"/>
    <col min="4869" max="4869" width="4" style="2" customWidth="1"/>
    <col min="4870" max="4870" width="24.42578125" style="2" customWidth="1"/>
    <col min="4871" max="4871" width="19.85546875" style="2" customWidth="1"/>
    <col min="4872" max="4872" width="9.28515625" style="2" customWidth="1"/>
    <col min="4873" max="4873" width="10" style="2" customWidth="1"/>
    <col min="4874" max="4874" width="8.42578125" style="2" customWidth="1"/>
    <col min="4875" max="4875" width="12.28515625" style="2" customWidth="1"/>
    <col min="4876" max="4876" width="7.5703125" style="2" customWidth="1"/>
    <col min="4877" max="4877" width="7.85546875" style="2" customWidth="1"/>
    <col min="4878" max="4878" width="8.28515625" style="2" customWidth="1"/>
    <col min="4879" max="4879" width="9.140625" style="2"/>
    <col min="4880" max="4882" width="7.5703125" style="2" customWidth="1"/>
    <col min="4883" max="4883" width="10.28515625" style="2" customWidth="1"/>
    <col min="4884" max="4884" width="10.5703125" style="2" customWidth="1"/>
    <col min="4885" max="4885" width="11.140625" style="2" customWidth="1"/>
    <col min="4886" max="4886" width="10.42578125" style="2" customWidth="1"/>
    <col min="4887" max="4896" width="11" style="2" customWidth="1"/>
    <col min="4897" max="4897" width="9.140625" style="2" customWidth="1"/>
    <col min="4898" max="4898" width="6.85546875" style="2" customWidth="1"/>
    <col min="4899" max="4899" width="15" style="2" bestFit="1" customWidth="1"/>
    <col min="4900" max="5124" width="9.140625" style="2"/>
    <col min="5125" max="5125" width="4" style="2" customWidth="1"/>
    <col min="5126" max="5126" width="24.42578125" style="2" customWidth="1"/>
    <col min="5127" max="5127" width="19.85546875" style="2" customWidth="1"/>
    <col min="5128" max="5128" width="9.28515625" style="2" customWidth="1"/>
    <col min="5129" max="5129" width="10" style="2" customWidth="1"/>
    <col min="5130" max="5130" width="8.42578125" style="2" customWidth="1"/>
    <col min="5131" max="5131" width="12.28515625" style="2" customWidth="1"/>
    <col min="5132" max="5132" width="7.5703125" style="2" customWidth="1"/>
    <col min="5133" max="5133" width="7.85546875" style="2" customWidth="1"/>
    <col min="5134" max="5134" width="8.28515625" style="2" customWidth="1"/>
    <col min="5135" max="5135" width="9.140625" style="2"/>
    <col min="5136" max="5138" width="7.5703125" style="2" customWidth="1"/>
    <col min="5139" max="5139" width="10.28515625" style="2" customWidth="1"/>
    <col min="5140" max="5140" width="10.5703125" style="2" customWidth="1"/>
    <col min="5141" max="5141" width="11.140625" style="2" customWidth="1"/>
    <col min="5142" max="5142" width="10.42578125" style="2" customWidth="1"/>
    <col min="5143" max="5152" width="11" style="2" customWidth="1"/>
    <col min="5153" max="5153" width="9.140625" style="2" customWidth="1"/>
    <col min="5154" max="5154" width="6.85546875" style="2" customWidth="1"/>
    <col min="5155" max="5155" width="15" style="2" bestFit="1" customWidth="1"/>
    <col min="5156" max="5380" width="9.140625" style="2"/>
    <col min="5381" max="5381" width="4" style="2" customWidth="1"/>
    <col min="5382" max="5382" width="24.42578125" style="2" customWidth="1"/>
    <col min="5383" max="5383" width="19.85546875" style="2" customWidth="1"/>
    <col min="5384" max="5384" width="9.28515625" style="2" customWidth="1"/>
    <col min="5385" max="5385" width="10" style="2" customWidth="1"/>
    <col min="5386" max="5386" width="8.42578125" style="2" customWidth="1"/>
    <col min="5387" max="5387" width="12.28515625" style="2" customWidth="1"/>
    <col min="5388" max="5388" width="7.5703125" style="2" customWidth="1"/>
    <col min="5389" max="5389" width="7.85546875" style="2" customWidth="1"/>
    <col min="5390" max="5390" width="8.28515625" style="2" customWidth="1"/>
    <col min="5391" max="5391" width="9.140625" style="2"/>
    <col min="5392" max="5394" width="7.5703125" style="2" customWidth="1"/>
    <col min="5395" max="5395" width="10.28515625" style="2" customWidth="1"/>
    <col min="5396" max="5396" width="10.5703125" style="2" customWidth="1"/>
    <col min="5397" max="5397" width="11.140625" style="2" customWidth="1"/>
    <col min="5398" max="5398" width="10.42578125" style="2" customWidth="1"/>
    <col min="5399" max="5408" width="11" style="2" customWidth="1"/>
    <col min="5409" max="5409" width="9.140625" style="2" customWidth="1"/>
    <col min="5410" max="5410" width="6.85546875" style="2" customWidth="1"/>
    <col min="5411" max="5411" width="15" style="2" bestFit="1" customWidth="1"/>
    <col min="5412" max="5636" width="9.140625" style="2"/>
    <col min="5637" max="5637" width="4" style="2" customWidth="1"/>
    <col min="5638" max="5638" width="24.42578125" style="2" customWidth="1"/>
    <col min="5639" max="5639" width="19.85546875" style="2" customWidth="1"/>
    <col min="5640" max="5640" width="9.28515625" style="2" customWidth="1"/>
    <col min="5641" max="5641" width="10" style="2" customWidth="1"/>
    <col min="5642" max="5642" width="8.42578125" style="2" customWidth="1"/>
    <col min="5643" max="5643" width="12.28515625" style="2" customWidth="1"/>
    <col min="5644" max="5644" width="7.5703125" style="2" customWidth="1"/>
    <col min="5645" max="5645" width="7.85546875" style="2" customWidth="1"/>
    <col min="5646" max="5646" width="8.28515625" style="2" customWidth="1"/>
    <col min="5647" max="5647" width="9.140625" style="2"/>
    <col min="5648" max="5650" width="7.5703125" style="2" customWidth="1"/>
    <col min="5651" max="5651" width="10.28515625" style="2" customWidth="1"/>
    <col min="5652" max="5652" width="10.5703125" style="2" customWidth="1"/>
    <col min="5653" max="5653" width="11.140625" style="2" customWidth="1"/>
    <col min="5654" max="5654" width="10.42578125" style="2" customWidth="1"/>
    <col min="5655" max="5664" width="11" style="2" customWidth="1"/>
    <col min="5665" max="5665" width="9.140625" style="2" customWidth="1"/>
    <col min="5666" max="5666" width="6.85546875" style="2" customWidth="1"/>
    <col min="5667" max="5667" width="15" style="2" bestFit="1" customWidth="1"/>
    <col min="5668" max="5892" width="9.140625" style="2"/>
    <col min="5893" max="5893" width="4" style="2" customWidth="1"/>
    <col min="5894" max="5894" width="24.42578125" style="2" customWidth="1"/>
    <col min="5895" max="5895" width="19.85546875" style="2" customWidth="1"/>
    <col min="5896" max="5896" width="9.28515625" style="2" customWidth="1"/>
    <col min="5897" max="5897" width="10" style="2" customWidth="1"/>
    <col min="5898" max="5898" width="8.42578125" style="2" customWidth="1"/>
    <col min="5899" max="5899" width="12.28515625" style="2" customWidth="1"/>
    <col min="5900" max="5900" width="7.5703125" style="2" customWidth="1"/>
    <col min="5901" max="5901" width="7.85546875" style="2" customWidth="1"/>
    <col min="5902" max="5902" width="8.28515625" style="2" customWidth="1"/>
    <col min="5903" max="5903" width="9.140625" style="2"/>
    <col min="5904" max="5906" width="7.5703125" style="2" customWidth="1"/>
    <col min="5907" max="5907" width="10.28515625" style="2" customWidth="1"/>
    <col min="5908" max="5908" width="10.5703125" style="2" customWidth="1"/>
    <col min="5909" max="5909" width="11.140625" style="2" customWidth="1"/>
    <col min="5910" max="5910" width="10.42578125" style="2" customWidth="1"/>
    <col min="5911" max="5920" width="11" style="2" customWidth="1"/>
    <col min="5921" max="5921" width="9.140625" style="2" customWidth="1"/>
    <col min="5922" max="5922" width="6.85546875" style="2" customWidth="1"/>
    <col min="5923" max="5923" width="15" style="2" bestFit="1" customWidth="1"/>
    <col min="5924" max="6148" width="9.140625" style="2"/>
    <col min="6149" max="6149" width="4" style="2" customWidth="1"/>
    <col min="6150" max="6150" width="24.42578125" style="2" customWidth="1"/>
    <col min="6151" max="6151" width="19.85546875" style="2" customWidth="1"/>
    <col min="6152" max="6152" width="9.28515625" style="2" customWidth="1"/>
    <col min="6153" max="6153" width="10" style="2" customWidth="1"/>
    <col min="6154" max="6154" width="8.42578125" style="2" customWidth="1"/>
    <col min="6155" max="6155" width="12.28515625" style="2" customWidth="1"/>
    <col min="6156" max="6156" width="7.5703125" style="2" customWidth="1"/>
    <col min="6157" max="6157" width="7.85546875" style="2" customWidth="1"/>
    <col min="6158" max="6158" width="8.28515625" style="2" customWidth="1"/>
    <col min="6159" max="6159" width="9.140625" style="2"/>
    <col min="6160" max="6162" width="7.5703125" style="2" customWidth="1"/>
    <col min="6163" max="6163" width="10.28515625" style="2" customWidth="1"/>
    <col min="6164" max="6164" width="10.5703125" style="2" customWidth="1"/>
    <col min="6165" max="6165" width="11.140625" style="2" customWidth="1"/>
    <col min="6166" max="6166" width="10.42578125" style="2" customWidth="1"/>
    <col min="6167" max="6176" width="11" style="2" customWidth="1"/>
    <col min="6177" max="6177" width="9.140625" style="2" customWidth="1"/>
    <col min="6178" max="6178" width="6.85546875" style="2" customWidth="1"/>
    <col min="6179" max="6179" width="15" style="2" bestFit="1" customWidth="1"/>
    <col min="6180" max="6404" width="9.140625" style="2"/>
    <col min="6405" max="6405" width="4" style="2" customWidth="1"/>
    <col min="6406" max="6406" width="24.42578125" style="2" customWidth="1"/>
    <col min="6407" max="6407" width="19.85546875" style="2" customWidth="1"/>
    <col min="6408" max="6408" width="9.28515625" style="2" customWidth="1"/>
    <col min="6409" max="6409" width="10" style="2" customWidth="1"/>
    <col min="6410" max="6410" width="8.42578125" style="2" customWidth="1"/>
    <col min="6411" max="6411" width="12.28515625" style="2" customWidth="1"/>
    <col min="6412" max="6412" width="7.5703125" style="2" customWidth="1"/>
    <col min="6413" max="6413" width="7.85546875" style="2" customWidth="1"/>
    <col min="6414" max="6414" width="8.28515625" style="2" customWidth="1"/>
    <col min="6415" max="6415" width="9.140625" style="2"/>
    <col min="6416" max="6418" width="7.5703125" style="2" customWidth="1"/>
    <col min="6419" max="6419" width="10.28515625" style="2" customWidth="1"/>
    <col min="6420" max="6420" width="10.5703125" style="2" customWidth="1"/>
    <col min="6421" max="6421" width="11.140625" style="2" customWidth="1"/>
    <col min="6422" max="6422" width="10.42578125" style="2" customWidth="1"/>
    <col min="6423" max="6432" width="11" style="2" customWidth="1"/>
    <col min="6433" max="6433" width="9.140625" style="2" customWidth="1"/>
    <col min="6434" max="6434" width="6.85546875" style="2" customWidth="1"/>
    <col min="6435" max="6435" width="15" style="2" bestFit="1" customWidth="1"/>
    <col min="6436" max="6660" width="9.140625" style="2"/>
    <col min="6661" max="6661" width="4" style="2" customWidth="1"/>
    <col min="6662" max="6662" width="24.42578125" style="2" customWidth="1"/>
    <col min="6663" max="6663" width="19.85546875" style="2" customWidth="1"/>
    <col min="6664" max="6664" width="9.28515625" style="2" customWidth="1"/>
    <col min="6665" max="6665" width="10" style="2" customWidth="1"/>
    <col min="6666" max="6666" width="8.42578125" style="2" customWidth="1"/>
    <col min="6667" max="6667" width="12.28515625" style="2" customWidth="1"/>
    <col min="6668" max="6668" width="7.5703125" style="2" customWidth="1"/>
    <col min="6669" max="6669" width="7.85546875" style="2" customWidth="1"/>
    <col min="6670" max="6670" width="8.28515625" style="2" customWidth="1"/>
    <col min="6671" max="6671" width="9.140625" style="2"/>
    <col min="6672" max="6674" width="7.5703125" style="2" customWidth="1"/>
    <col min="6675" max="6675" width="10.28515625" style="2" customWidth="1"/>
    <col min="6676" max="6676" width="10.5703125" style="2" customWidth="1"/>
    <col min="6677" max="6677" width="11.140625" style="2" customWidth="1"/>
    <col min="6678" max="6678" width="10.42578125" style="2" customWidth="1"/>
    <col min="6679" max="6688" width="11" style="2" customWidth="1"/>
    <col min="6689" max="6689" width="9.140625" style="2" customWidth="1"/>
    <col min="6690" max="6690" width="6.85546875" style="2" customWidth="1"/>
    <col min="6691" max="6691" width="15" style="2" bestFit="1" customWidth="1"/>
    <col min="6692" max="6916" width="9.140625" style="2"/>
    <col min="6917" max="6917" width="4" style="2" customWidth="1"/>
    <col min="6918" max="6918" width="24.42578125" style="2" customWidth="1"/>
    <col min="6919" max="6919" width="19.85546875" style="2" customWidth="1"/>
    <col min="6920" max="6920" width="9.28515625" style="2" customWidth="1"/>
    <col min="6921" max="6921" width="10" style="2" customWidth="1"/>
    <col min="6922" max="6922" width="8.42578125" style="2" customWidth="1"/>
    <col min="6923" max="6923" width="12.28515625" style="2" customWidth="1"/>
    <col min="6924" max="6924" width="7.5703125" style="2" customWidth="1"/>
    <col min="6925" max="6925" width="7.85546875" style="2" customWidth="1"/>
    <col min="6926" max="6926" width="8.28515625" style="2" customWidth="1"/>
    <col min="6927" max="6927" width="9.140625" style="2"/>
    <col min="6928" max="6930" width="7.5703125" style="2" customWidth="1"/>
    <col min="6931" max="6931" width="10.28515625" style="2" customWidth="1"/>
    <col min="6932" max="6932" width="10.5703125" style="2" customWidth="1"/>
    <col min="6933" max="6933" width="11.140625" style="2" customWidth="1"/>
    <col min="6934" max="6934" width="10.42578125" style="2" customWidth="1"/>
    <col min="6935" max="6944" width="11" style="2" customWidth="1"/>
    <col min="6945" max="6945" width="9.140625" style="2" customWidth="1"/>
    <col min="6946" max="6946" width="6.85546875" style="2" customWidth="1"/>
    <col min="6947" max="6947" width="15" style="2" bestFit="1" customWidth="1"/>
    <col min="6948" max="7172" width="9.140625" style="2"/>
    <col min="7173" max="7173" width="4" style="2" customWidth="1"/>
    <col min="7174" max="7174" width="24.42578125" style="2" customWidth="1"/>
    <col min="7175" max="7175" width="19.85546875" style="2" customWidth="1"/>
    <col min="7176" max="7176" width="9.28515625" style="2" customWidth="1"/>
    <col min="7177" max="7177" width="10" style="2" customWidth="1"/>
    <col min="7178" max="7178" width="8.42578125" style="2" customWidth="1"/>
    <col min="7179" max="7179" width="12.28515625" style="2" customWidth="1"/>
    <col min="7180" max="7180" width="7.5703125" style="2" customWidth="1"/>
    <col min="7181" max="7181" width="7.85546875" style="2" customWidth="1"/>
    <col min="7182" max="7182" width="8.28515625" style="2" customWidth="1"/>
    <col min="7183" max="7183" width="9.140625" style="2"/>
    <col min="7184" max="7186" width="7.5703125" style="2" customWidth="1"/>
    <col min="7187" max="7187" width="10.28515625" style="2" customWidth="1"/>
    <col min="7188" max="7188" width="10.5703125" style="2" customWidth="1"/>
    <col min="7189" max="7189" width="11.140625" style="2" customWidth="1"/>
    <col min="7190" max="7190" width="10.42578125" style="2" customWidth="1"/>
    <col min="7191" max="7200" width="11" style="2" customWidth="1"/>
    <col min="7201" max="7201" width="9.140625" style="2" customWidth="1"/>
    <col min="7202" max="7202" width="6.85546875" style="2" customWidth="1"/>
    <col min="7203" max="7203" width="15" style="2" bestFit="1" customWidth="1"/>
    <col min="7204" max="7428" width="9.140625" style="2"/>
    <col min="7429" max="7429" width="4" style="2" customWidth="1"/>
    <col min="7430" max="7430" width="24.42578125" style="2" customWidth="1"/>
    <col min="7431" max="7431" width="19.85546875" style="2" customWidth="1"/>
    <col min="7432" max="7432" width="9.28515625" style="2" customWidth="1"/>
    <col min="7433" max="7433" width="10" style="2" customWidth="1"/>
    <col min="7434" max="7434" width="8.42578125" style="2" customWidth="1"/>
    <col min="7435" max="7435" width="12.28515625" style="2" customWidth="1"/>
    <col min="7436" max="7436" width="7.5703125" style="2" customWidth="1"/>
    <col min="7437" max="7437" width="7.85546875" style="2" customWidth="1"/>
    <col min="7438" max="7438" width="8.28515625" style="2" customWidth="1"/>
    <col min="7439" max="7439" width="9.140625" style="2"/>
    <col min="7440" max="7442" width="7.5703125" style="2" customWidth="1"/>
    <col min="7443" max="7443" width="10.28515625" style="2" customWidth="1"/>
    <col min="7444" max="7444" width="10.5703125" style="2" customWidth="1"/>
    <col min="7445" max="7445" width="11.140625" style="2" customWidth="1"/>
    <col min="7446" max="7446" width="10.42578125" style="2" customWidth="1"/>
    <col min="7447" max="7456" width="11" style="2" customWidth="1"/>
    <col min="7457" max="7457" width="9.140625" style="2" customWidth="1"/>
    <col min="7458" max="7458" width="6.85546875" style="2" customWidth="1"/>
    <col min="7459" max="7459" width="15" style="2" bestFit="1" customWidth="1"/>
    <col min="7460" max="7684" width="9.140625" style="2"/>
    <col min="7685" max="7685" width="4" style="2" customWidth="1"/>
    <col min="7686" max="7686" width="24.42578125" style="2" customWidth="1"/>
    <col min="7687" max="7687" width="19.85546875" style="2" customWidth="1"/>
    <col min="7688" max="7688" width="9.28515625" style="2" customWidth="1"/>
    <col min="7689" max="7689" width="10" style="2" customWidth="1"/>
    <col min="7690" max="7690" width="8.42578125" style="2" customWidth="1"/>
    <col min="7691" max="7691" width="12.28515625" style="2" customWidth="1"/>
    <col min="7692" max="7692" width="7.5703125" style="2" customWidth="1"/>
    <col min="7693" max="7693" width="7.85546875" style="2" customWidth="1"/>
    <col min="7694" max="7694" width="8.28515625" style="2" customWidth="1"/>
    <col min="7695" max="7695" width="9.140625" style="2"/>
    <col min="7696" max="7698" width="7.5703125" style="2" customWidth="1"/>
    <col min="7699" max="7699" width="10.28515625" style="2" customWidth="1"/>
    <col min="7700" max="7700" width="10.5703125" style="2" customWidth="1"/>
    <col min="7701" max="7701" width="11.140625" style="2" customWidth="1"/>
    <col min="7702" max="7702" width="10.42578125" style="2" customWidth="1"/>
    <col min="7703" max="7712" width="11" style="2" customWidth="1"/>
    <col min="7713" max="7713" width="9.140625" style="2" customWidth="1"/>
    <col min="7714" max="7714" width="6.85546875" style="2" customWidth="1"/>
    <col min="7715" max="7715" width="15" style="2" bestFit="1" customWidth="1"/>
    <col min="7716" max="7940" width="9.140625" style="2"/>
    <col min="7941" max="7941" width="4" style="2" customWidth="1"/>
    <col min="7942" max="7942" width="24.42578125" style="2" customWidth="1"/>
    <col min="7943" max="7943" width="19.85546875" style="2" customWidth="1"/>
    <col min="7944" max="7944" width="9.28515625" style="2" customWidth="1"/>
    <col min="7945" max="7945" width="10" style="2" customWidth="1"/>
    <col min="7946" max="7946" width="8.42578125" style="2" customWidth="1"/>
    <col min="7947" max="7947" width="12.28515625" style="2" customWidth="1"/>
    <col min="7948" max="7948" width="7.5703125" style="2" customWidth="1"/>
    <col min="7949" max="7949" width="7.85546875" style="2" customWidth="1"/>
    <col min="7950" max="7950" width="8.28515625" style="2" customWidth="1"/>
    <col min="7951" max="7951" width="9.140625" style="2"/>
    <col min="7952" max="7954" width="7.5703125" style="2" customWidth="1"/>
    <col min="7955" max="7955" width="10.28515625" style="2" customWidth="1"/>
    <col min="7956" max="7956" width="10.5703125" style="2" customWidth="1"/>
    <col min="7957" max="7957" width="11.140625" style="2" customWidth="1"/>
    <col min="7958" max="7958" width="10.42578125" style="2" customWidth="1"/>
    <col min="7959" max="7968" width="11" style="2" customWidth="1"/>
    <col min="7969" max="7969" width="9.140625" style="2" customWidth="1"/>
    <col min="7970" max="7970" width="6.85546875" style="2" customWidth="1"/>
    <col min="7971" max="7971" width="15" style="2" bestFit="1" customWidth="1"/>
    <col min="7972" max="8196" width="9.140625" style="2"/>
    <col min="8197" max="8197" width="4" style="2" customWidth="1"/>
    <col min="8198" max="8198" width="24.42578125" style="2" customWidth="1"/>
    <col min="8199" max="8199" width="19.85546875" style="2" customWidth="1"/>
    <col min="8200" max="8200" width="9.28515625" style="2" customWidth="1"/>
    <col min="8201" max="8201" width="10" style="2" customWidth="1"/>
    <col min="8202" max="8202" width="8.42578125" style="2" customWidth="1"/>
    <col min="8203" max="8203" width="12.28515625" style="2" customWidth="1"/>
    <col min="8204" max="8204" width="7.5703125" style="2" customWidth="1"/>
    <col min="8205" max="8205" width="7.85546875" style="2" customWidth="1"/>
    <col min="8206" max="8206" width="8.28515625" style="2" customWidth="1"/>
    <col min="8207" max="8207" width="9.140625" style="2"/>
    <col min="8208" max="8210" width="7.5703125" style="2" customWidth="1"/>
    <col min="8211" max="8211" width="10.28515625" style="2" customWidth="1"/>
    <col min="8212" max="8212" width="10.5703125" style="2" customWidth="1"/>
    <col min="8213" max="8213" width="11.140625" style="2" customWidth="1"/>
    <col min="8214" max="8214" width="10.42578125" style="2" customWidth="1"/>
    <col min="8215" max="8224" width="11" style="2" customWidth="1"/>
    <col min="8225" max="8225" width="9.140625" style="2" customWidth="1"/>
    <col min="8226" max="8226" width="6.85546875" style="2" customWidth="1"/>
    <col min="8227" max="8227" width="15" style="2" bestFit="1" customWidth="1"/>
    <col min="8228" max="8452" width="9.140625" style="2"/>
    <col min="8453" max="8453" width="4" style="2" customWidth="1"/>
    <col min="8454" max="8454" width="24.42578125" style="2" customWidth="1"/>
    <col min="8455" max="8455" width="19.85546875" style="2" customWidth="1"/>
    <col min="8456" max="8456" width="9.28515625" style="2" customWidth="1"/>
    <col min="8457" max="8457" width="10" style="2" customWidth="1"/>
    <col min="8458" max="8458" width="8.42578125" style="2" customWidth="1"/>
    <col min="8459" max="8459" width="12.28515625" style="2" customWidth="1"/>
    <col min="8460" max="8460" width="7.5703125" style="2" customWidth="1"/>
    <col min="8461" max="8461" width="7.85546875" style="2" customWidth="1"/>
    <col min="8462" max="8462" width="8.28515625" style="2" customWidth="1"/>
    <col min="8463" max="8463" width="9.140625" style="2"/>
    <col min="8464" max="8466" width="7.5703125" style="2" customWidth="1"/>
    <col min="8467" max="8467" width="10.28515625" style="2" customWidth="1"/>
    <col min="8468" max="8468" width="10.5703125" style="2" customWidth="1"/>
    <col min="8469" max="8469" width="11.140625" style="2" customWidth="1"/>
    <col min="8470" max="8470" width="10.42578125" style="2" customWidth="1"/>
    <col min="8471" max="8480" width="11" style="2" customWidth="1"/>
    <col min="8481" max="8481" width="9.140625" style="2" customWidth="1"/>
    <col min="8482" max="8482" width="6.85546875" style="2" customWidth="1"/>
    <col min="8483" max="8483" width="15" style="2" bestFit="1" customWidth="1"/>
    <col min="8484" max="8708" width="9.140625" style="2"/>
    <col min="8709" max="8709" width="4" style="2" customWidth="1"/>
    <col min="8710" max="8710" width="24.42578125" style="2" customWidth="1"/>
    <col min="8711" max="8711" width="19.85546875" style="2" customWidth="1"/>
    <col min="8712" max="8712" width="9.28515625" style="2" customWidth="1"/>
    <col min="8713" max="8713" width="10" style="2" customWidth="1"/>
    <col min="8714" max="8714" width="8.42578125" style="2" customWidth="1"/>
    <col min="8715" max="8715" width="12.28515625" style="2" customWidth="1"/>
    <col min="8716" max="8716" width="7.5703125" style="2" customWidth="1"/>
    <col min="8717" max="8717" width="7.85546875" style="2" customWidth="1"/>
    <col min="8718" max="8718" width="8.28515625" style="2" customWidth="1"/>
    <col min="8719" max="8719" width="9.140625" style="2"/>
    <col min="8720" max="8722" width="7.5703125" style="2" customWidth="1"/>
    <col min="8723" max="8723" width="10.28515625" style="2" customWidth="1"/>
    <col min="8724" max="8724" width="10.5703125" style="2" customWidth="1"/>
    <col min="8725" max="8725" width="11.140625" style="2" customWidth="1"/>
    <col min="8726" max="8726" width="10.42578125" style="2" customWidth="1"/>
    <col min="8727" max="8736" width="11" style="2" customWidth="1"/>
    <col min="8737" max="8737" width="9.140625" style="2" customWidth="1"/>
    <col min="8738" max="8738" width="6.85546875" style="2" customWidth="1"/>
    <col min="8739" max="8739" width="15" style="2" bestFit="1" customWidth="1"/>
    <col min="8740" max="8964" width="9.140625" style="2"/>
    <col min="8965" max="8965" width="4" style="2" customWidth="1"/>
    <col min="8966" max="8966" width="24.42578125" style="2" customWidth="1"/>
    <col min="8967" max="8967" width="19.85546875" style="2" customWidth="1"/>
    <col min="8968" max="8968" width="9.28515625" style="2" customWidth="1"/>
    <col min="8969" max="8969" width="10" style="2" customWidth="1"/>
    <col min="8970" max="8970" width="8.42578125" style="2" customWidth="1"/>
    <col min="8971" max="8971" width="12.28515625" style="2" customWidth="1"/>
    <col min="8972" max="8972" width="7.5703125" style="2" customWidth="1"/>
    <col min="8973" max="8973" width="7.85546875" style="2" customWidth="1"/>
    <col min="8974" max="8974" width="8.28515625" style="2" customWidth="1"/>
    <col min="8975" max="8975" width="9.140625" style="2"/>
    <col min="8976" max="8978" width="7.5703125" style="2" customWidth="1"/>
    <col min="8979" max="8979" width="10.28515625" style="2" customWidth="1"/>
    <col min="8980" max="8980" width="10.5703125" style="2" customWidth="1"/>
    <col min="8981" max="8981" width="11.140625" style="2" customWidth="1"/>
    <col min="8982" max="8982" width="10.42578125" style="2" customWidth="1"/>
    <col min="8983" max="8992" width="11" style="2" customWidth="1"/>
    <col min="8993" max="8993" width="9.140625" style="2" customWidth="1"/>
    <col min="8994" max="8994" width="6.85546875" style="2" customWidth="1"/>
    <col min="8995" max="8995" width="15" style="2" bestFit="1" customWidth="1"/>
    <col min="8996" max="9220" width="9.140625" style="2"/>
    <col min="9221" max="9221" width="4" style="2" customWidth="1"/>
    <col min="9222" max="9222" width="24.42578125" style="2" customWidth="1"/>
    <col min="9223" max="9223" width="19.85546875" style="2" customWidth="1"/>
    <col min="9224" max="9224" width="9.28515625" style="2" customWidth="1"/>
    <col min="9225" max="9225" width="10" style="2" customWidth="1"/>
    <col min="9226" max="9226" width="8.42578125" style="2" customWidth="1"/>
    <col min="9227" max="9227" width="12.28515625" style="2" customWidth="1"/>
    <col min="9228" max="9228" width="7.5703125" style="2" customWidth="1"/>
    <col min="9229" max="9229" width="7.85546875" style="2" customWidth="1"/>
    <col min="9230" max="9230" width="8.28515625" style="2" customWidth="1"/>
    <col min="9231" max="9231" width="9.140625" style="2"/>
    <col min="9232" max="9234" width="7.5703125" style="2" customWidth="1"/>
    <col min="9235" max="9235" width="10.28515625" style="2" customWidth="1"/>
    <col min="9236" max="9236" width="10.5703125" style="2" customWidth="1"/>
    <col min="9237" max="9237" width="11.140625" style="2" customWidth="1"/>
    <col min="9238" max="9238" width="10.42578125" style="2" customWidth="1"/>
    <col min="9239" max="9248" width="11" style="2" customWidth="1"/>
    <col min="9249" max="9249" width="9.140625" style="2" customWidth="1"/>
    <col min="9250" max="9250" width="6.85546875" style="2" customWidth="1"/>
    <col min="9251" max="9251" width="15" style="2" bestFit="1" customWidth="1"/>
    <col min="9252" max="9476" width="9.140625" style="2"/>
    <col min="9477" max="9477" width="4" style="2" customWidth="1"/>
    <col min="9478" max="9478" width="24.42578125" style="2" customWidth="1"/>
    <col min="9479" max="9479" width="19.85546875" style="2" customWidth="1"/>
    <col min="9480" max="9480" width="9.28515625" style="2" customWidth="1"/>
    <col min="9481" max="9481" width="10" style="2" customWidth="1"/>
    <col min="9482" max="9482" width="8.42578125" style="2" customWidth="1"/>
    <col min="9483" max="9483" width="12.28515625" style="2" customWidth="1"/>
    <col min="9484" max="9484" width="7.5703125" style="2" customWidth="1"/>
    <col min="9485" max="9485" width="7.85546875" style="2" customWidth="1"/>
    <col min="9486" max="9486" width="8.28515625" style="2" customWidth="1"/>
    <col min="9487" max="9487" width="9.140625" style="2"/>
    <col min="9488" max="9490" width="7.5703125" style="2" customWidth="1"/>
    <col min="9491" max="9491" width="10.28515625" style="2" customWidth="1"/>
    <col min="9492" max="9492" width="10.5703125" style="2" customWidth="1"/>
    <col min="9493" max="9493" width="11.140625" style="2" customWidth="1"/>
    <col min="9494" max="9494" width="10.42578125" style="2" customWidth="1"/>
    <col min="9495" max="9504" width="11" style="2" customWidth="1"/>
    <col min="9505" max="9505" width="9.140625" style="2" customWidth="1"/>
    <col min="9506" max="9506" width="6.85546875" style="2" customWidth="1"/>
    <col min="9507" max="9507" width="15" style="2" bestFit="1" customWidth="1"/>
    <col min="9508" max="9732" width="9.140625" style="2"/>
    <col min="9733" max="9733" width="4" style="2" customWidth="1"/>
    <col min="9734" max="9734" width="24.42578125" style="2" customWidth="1"/>
    <col min="9735" max="9735" width="19.85546875" style="2" customWidth="1"/>
    <col min="9736" max="9736" width="9.28515625" style="2" customWidth="1"/>
    <col min="9737" max="9737" width="10" style="2" customWidth="1"/>
    <col min="9738" max="9738" width="8.42578125" style="2" customWidth="1"/>
    <col min="9739" max="9739" width="12.28515625" style="2" customWidth="1"/>
    <col min="9740" max="9740" width="7.5703125" style="2" customWidth="1"/>
    <col min="9741" max="9741" width="7.85546875" style="2" customWidth="1"/>
    <col min="9742" max="9742" width="8.28515625" style="2" customWidth="1"/>
    <col min="9743" max="9743" width="9.140625" style="2"/>
    <col min="9744" max="9746" width="7.5703125" style="2" customWidth="1"/>
    <col min="9747" max="9747" width="10.28515625" style="2" customWidth="1"/>
    <col min="9748" max="9748" width="10.5703125" style="2" customWidth="1"/>
    <col min="9749" max="9749" width="11.140625" style="2" customWidth="1"/>
    <col min="9750" max="9750" width="10.42578125" style="2" customWidth="1"/>
    <col min="9751" max="9760" width="11" style="2" customWidth="1"/>
    <col min="9761" max="9761" width="9.140625" style="2" customWidth="1"/>
    <col min="9762" max="9762" width="6.85546875" style="2" customWidth="1"/>
    <col min="9763" max="9763" width="15" style="2" bestFit="1" customWidth="1"/>
    <col min="9764" max="9988" width="9.140625" style="2"/>
    <col min="9989" max="9989" width="4" style="2" customWidth="1"/>
    <col min="9990" max="9990" width="24.42578125" style="2" customWidth="1"/>
    <col min="9991" max="9991" width="19.85546875" style="2" customWidth="1"/>
    <col min="9992" max="9992" width="9.28515625" style="2" customWidth="1"/>
    <col min="9993" max="9993" width="10" style="2" customWidth="1"/>
    <col min="9994" max="9994" width="8.42578125" style="2" customWidth="1"/>
    <col min="9995" max="9995" width="12.28515625" style="2" customWidth="1"/>
    <col min="9996" max="9996" width="7.5703125" style="2" customWidth="1"/>
    <col min="9997" max="9997" width="7.85546875" style="2" customWidth="1"/>
    <col min="9998" max="9998" width="8.28515625" style="2" customWidth="1"/>
    <col min="9999" max="9999" width="9.140625" style="2"/>
    <col min="10000" max="10002" width="7.5703125" style="2" customWidth="1"/>
    <col min="10003" max="10003" width="10.28515625" style="2" customWidth="1"/>
    <col min="10004" max="10004" width="10.5703125" style="2" customWidth="1"/>
    <col min="10005" max="10005" width="11.140625" style="2" customWidth="1"/>
    <col min="10006" max="10006" width="10.42578125" style="2" customWidth="1"/>
    <col min="10007" max="10016" width="11" style="2" customWidth="1"/>
    <col min="10017" max="10017" width="9.140625" style="2" customWidth="1"/>
    <col min="10018" max="10018" width="6.85546875" style="2" customWidth="1"/>
    <col min="10019" max="10019" width="15" style="2" bestFit="1" customWidth="1"/>
    <col min="10020" max="10244" width="9.140625" style="2"/>
    <col min="10245" max="10245" width="4" style="2" customWidth="1"/>
    <col min="10246" max="10246" width="24.42578125" style="2" customWidth="1"/>
    <col min="10247" max="10247" width="19.85546875" style="2" customWidth="1"/>
    <col min="10248" max="10248" width="9.28515625" style="2" customWidth="1"/>
    <col min="10249" max="10249" width="10" style="2" customWidth="1"/>
    <col min="10250" max="10250" width="8.42578125" style="2" customWidth="1"/>
    <col min="10251" max="10251" width="12.28515625" style="2" customWidth="1"/>
    <col min="10252" max="10252" width="7.5703125" style="2" customWidth="1"/>
    <col min="10253" max="10253" width="7.85546875" style="2" customWidth="1"/>
    <col min="10254" max="10254" width="8.28515625" style="2" customWidth="1"/>
    <col min="10255" max="10255" width="9.140625" style="2"/>
    <col min="10256" max="10258" width="7.5703125" style="2" customWidth="1"/>
    <col min="10259" max="10259" width="10.28515625" style="2" customWidth="1"/>
    <col min="10260" max="10260" width="10.5703125" style="2" customWidth="1"/>
    <col min="10261" max="10261" width="11.140625" style="2" customWidth="1"/>
    <col min="10262" max="10262" width="10.42578125" style="2" customWidth="1"/>
    <col min="10263" max="10272" width="11" style="2" customWidth="1"/>
    <col min="10273" max="10273" width="9.140625" style="2" customWidth="1"/>
    <col min="10274" max="10274" width="6.85546875" style="2" customWidth="1"/>
    <col min="10275" max="10275" width="15" style="2" bestFit="1" customWidth="1"/>
    <col min="10276" max="10500" width="9.140625" style="2"/>
    <col min="10501" max="10501" width="4" style="2" customWidth="1"/>
    <col min="10502" max="10502" width="24.42578125" style="2" customWidth="1"/>
    <col min="10503" max="10503" width="19.85546875" style="2" customWidth="1"/>
    <col min="10504" max="10504" width="9.28515625" style="2" customWidth="1"/>
    <col min="10505" max="10505" width="10" style="2" customWidth="1"/>
    <col min="10506" max="10506" width="8.42578125" style="2" customWidth="1"/>
    <col min="10507" max="10507" width="12.28515625" style="2" customWidth="1"/>
    <col min="10508" max="10508" width="7.5703125" style="2" customWidth="1"/>
    <col min="10509" max="10509" width="7.85546875" style="2" customWidth="1"/>
    <col min="10510" max="10510" width="8.28515625" style="2" customWidth="1"/>
    <col min="10511" max="10511" width="9.140625" style="2"/>
    <col min="10512" max="10514" width="7.5703125" style="2" customWidth="1"/>
    <col min="10515" max="10515" width="10.28515625" style="2" customWidth="1"/>
    <col min="10516" max="10516" width="10.5703125" style="2" customWidth="1"/>
    <col min="10517" max="10517" width="11.140625" style="2" customWidth="1"/>
    <col min="10518" max="10518" width="10.42578125" style="2" customWidth="1"/>
    <col min="10519" max="10528" width="11" style="2" customWidth="1"/>
    <col min="10529" max="10529" width="9.140625" style="2" customWidth="1"/>
    <col min="10530" max="10530" width="6.85546875" style="2" customWidth="1"/>
    <col min="10531" max="10531" width="15" style="2" bestFit="1" customWidth="1"/>
    <col min="10532" max="10756" width="9.140625" style="2"/>
    <col min="10757" max="10757" width="4" style="2" customWidth="1"/>
    <col min="10758" max="10758" width="24.42578125" style="2" customWidth="1"/>
    <col min="10759" max="10759" width="19.85546875" style="2" customWidth="1"/>
    <col min="10760" max="10760" width="9.28515625" style="2" customWidth="1"/>
    <col min="10761" max="10761" width="10" style="2" customWidth="1"/>
    <col min="10762" max="10762" width="8.42578125" style="2" customWidth="1"/>
    <col min="10763" max="10763" width="12.28515625" style="2" customWidth="1"/>
    <col min="10764" max="10764" width="7.5703125" style="2" customWidth="1"/>
    <col min="10765" max="10765" width="7.85546875" style="2" customWidth="1"/>
    <col min="10766" max="10766" width="8.28515625" style="2" customWidth="1"/>
    <col min="10767" max="10767" width="9.140625" style="2"/>
    <col min="10768" max="10770" width="7.5703125" style="2" customWidth="1"/>
    <col min="10771" max="10771" width="10.28515625" style="2" customWidth="1"/>
    <col min="10772" max="10772" width="10.5703125" style="2" customWidth="1"/>
    <col min="10773" max="10773" width="11.140625" style="2" customWidth="1"/>
    <col min="10774" max="10774" width="10.42578125" style="2" customWidth="1"/>
    <col min="10775" max="10784" width="11" style="2" customWidth="1"/>
    <col min="10785" max="10785" width="9.140625" style="2" customWidth="1"/>
    <col min="10786" max="10786" width="6.85546875" style="2" customWidth="1"/>
    <col min="10787" max="10787" width="15" style="2" bestFit="1" customWidth="1"/>
    <col min="10788" max="11012" width="9.140625" style="2"/>
    <col min="11013" max="11013" width="4" style="2" customWidth="1"/>
    <col min="11014" max="11014" width="24.42578125" style="2" customWidth="1"/>
    <col min="11015" max="11015" width="19.85546875" style="2" customWidth="1"/>
    <col min="11016" max="11016" width="9.28515625" style="2" customWidth="1"/>
    <col min="11017" max="11017" width="10" style="2" customWidth="1"/>
    <col min="11018" max="11018" width="8.42578125" style="2" customWidth="1"/>
    <col min="11019" max="11019" width="12.28515625" style="2" customWidth="1"/>
    <col min="11020" max="11020" width="7.5703125" style="2" customWidth="1"/>
    <col min="11021" max="11021" width="7.85546875" style="2" customWidth="1"/>
    <col min="11022" max="11022" width="8.28515625" style="2" customWidth="1"/>
    <col min="11023" max="11023" width="9.140625" style="2"/>
    <col min="11024" max="11026" width="7.5703125" style="2" customWidth="1"/>
    <col min="11027" max="11027" width="10.28515625" style="2" customWidth="1"/>
    <col min="11028" max="11028" width="10.5703125" style="2" customWidth="1"/>
    <col min="11029" max="11029" width="11.140625" style="2" customWidth="1"/>
    <col min="11030" max="11030" width="10.42578125" style="2" customWidth="1"/>
    <col min="11031" max="11040" width="11" style="2" customWidth="1"/>
    <col min="11041" max="11041" width="9.140625" style="2" customWidth="1"/>
    <col min="11042" max="11042" width="6.85546875" style="2" customWidth="1"/>
    <col min="11043" max="11043" width="15" style="2" bestFit="1" customWidth="1"/>
    <col min="11044" max="11268" width="9.140625" style="2"/>
    <col min="11269" max="11269" width="4" style="2" customWidth="1"/>
    <col min="11270" max="11270" width="24.42578125" style="2" customWidth="1"/>
    <col min="11271" max="11271" width="19.85546875" style="2" customWidth="1"/>
    <col min="11272" max="11272" width="9.28515625" style="2" customWidth="1"/>
    <col min="11273" max="11273" width="10" style="2" customWidth="1"/>
    <col min="11274" max="11274" width="8.42578125" style="2" customWidth="1"/>
    <col min="11275" max="11275" width="12.28515625" style="2" customWidth="1"/>
    <col min="11276" max="11276" width="7.5703125" style="2" customWidth="1"/>
    <col min="11277" max="11277" width="7.85546875" style="2" customWidth="1"/>
    <col min="11278" max="11278" width="8.28515625" style="2" customWidth="1"/>
    <col min="11279" max="11279" width="9.140625" style="2"/>
    <col min="11280" max="11282" width="7.5703125" style="2" customWidth="1"/>
    <col min="11283" max="11283" width="10.28515625" style="2" customWidth="1"/>
    <col min="11284" max="11284" width="10.5703125" style="2" customWidth="1"/>
    <col min="11285" max="11285" width="11.140625" style="2" customWidth="1"/>
    <col min="11286" max="11286" width="10.42578125" style="2" customWidth="1"/>
    <col min="11287" max="11296" width="11" style="2" customWidth="1"/>
    <col min="11297" max="11297" width="9.140625" style="2" customWidth="1"/>
    <col min="11298" max="11298" width="6.85546875" style="2" customWidth="1"/>
    <col min="11299" max="11299" width="15" style="2" bestFit="1" customWidth="1"/>
    <col min="11300" max="11524" width="9.140625" style="2"/>
    <col min="11525" max="11525" width="4" style="2" customWidth="1"/>
    <col min="11526" max="11526" width="24.42578125" style="2" customWidth="1"/>
    <col min="11527" max="11527" width="19.85546875" style="2" customWidth="1"/>
    <col min="11528" max="11528" width="9.28515625" style="2" customWidth="1"/>
    <col min="11529" max="11529" width="10" style="2" customWidth="1"/>
    <col min="11530" max="11530" width="8.42578125" style="2" customWidth="1"/>
    <col min="11531" max="11531" width="12.28515625" style="2" customWidth="1"/>
    <col min="11532" max="11532" width="7.5703125" style="2" customWidth="1"/>
    <col min="11533" max="11533" width="7.85546875" style="2" customWidth="1"/>
    <col min="11534" max="11534" width="8.28515625" style="2" customWidth="1"/>
    <col min="11535" max="11535" width="9.140625" style="2"/>
    <col min="11536" max="11538" width="7.5703125" style="2" customWidth="1"/>
    <col min="11539" max="11539" width="10.28515625" style="2" customWidth="1"/>
    <col min="11540" max="11540" width="10.5703125" style="2" customWidth="1"/>
    <col min="11541" max="11541" width="11.140625" style="2" customWidth="1"/>
    <col min="11542" max="11542" width="10.42578125" style="2" customWidth="1"/>
    <col min="11543" max="11552" width="11" style="2" customWidth="1"/>
    <col min="11553" max="11553" width="9.140625" style="2" customWidth="1"/>
    <col min="11554" max="11554" width="6.85546875" style="2" customWidth="1"/>
    <col min="11555" max="11555" width="15" style="2" bestFit="1" customWidth="1"/>
    <col min="11556" max="11780" width="9.140625" style="2"/>
    <col min="11781" max="11781" width="4" style="2" customWidth="1"/>
    <col min="11782" max="11782" width="24.42578125" style="2" customWidth="1"/>
    <col min="11783" max="11783" width="19.85546875" style="2" customWidth="1"/>
    <col min="11784" max="11784" width="9.28515625" style="2" customWidth="1"/>
    <col min="11785" max="11785" width="10" style="2" customWidth="1"/>
    <col min="11786" max="11786" width="8.42578125" style="2" customWidth="1"/>
    <col min="11787" max="11787" width="12.28515625" style="2" customWidth="1"/>
    <col min="11788" max="11788" width="7.5703125" style="2" customWidth="1"/>
    <col min="11789" max="11789" width="7.85546875" style="2" customWidth="1"/>
    <col min="11790" max="11790" width="8.28515625" style="2" customWidth="1"/>
    <col min="11791" max="11791" width="9.140625" style="2"/>
    <col min="11792" max="11794" width="7.5703125" style="2" customWidth="1"/>
    <col min="11795" max="11795" width="10.28515625" style="2" customWidth="1"/>
    <col min="11796" max="11796" width="10.5703125" style="2" customWidth="1"/>
    <col min="11797" max="11797" width="11.140625" style="2" customWidth="1"/>
    <col min="11798" max="11798" width="10.42578125" style="2" customWidth="1"/>
    <col min="11799" max="11808" width="11" style="2" customWidth="1"/>
    <col min="11809" max="11809" width="9.140625" style="2" customWidth="1"/>
    <col min="11810" max="11810" width="6.85546875" style="2" customWidth="1"/>
    <col min="11811" max="11811" width="15" style="2" bestFit="1" customWidth="1"/>
    <col min="11812" max="12036" width="9.140625" style="2"/>
    <col min="12037" max="12037" width="4" style="2" customWidth="1"/>
    <col min="12038" max="12038" width="24.42578125" style="2" customWidth="1"/>
    <col min="12039" max="12039" width="19.85546875" style="2" customWidth="1"/>
    <col min="12040" max="12040" width="9.28515625" style="2" customWidth="1"/>
    <col min="12041" max="12041" width="10" style="2" customWidth="1"/>
    <col min="12042" max="12042" width="8.42578125" style="2" customWidth="1"/>
    <col min="12043" max="12043" width="12.28515625" style="2" customWidth="1"/>
    <col min="12044" max="12044" width="7.5703125" style="2" customWidth="1"/>
    <col min="12045" max="12045" width="7.85546875" style="2" customWidth="1"/>
    <col min="12046" max="12046" width="8.28515625" style="2" customWidth="1"/>
    <col min="12047" max="12047" width="9.140625" style="2"/>
    <col min="12048" max="12050" width="7.5703125" style="2" customWidth="1"/>
    <col min="12051" max="12051" width="10.28515625" style="2" customWidth="1"/>
    <col min="12052" max="12052" width="10.5703125" style="2" customWidth="1"/>
    <col min="12053" max="12053" width="11.140625" style="2" customWidth="1"/>
    <col min="12054" max="12054" width="10.42578125" style="2" customWidth="1"/>
    <col min="12055" max="12064" width="11" style="2" customWidth="1"/>
    <col min="12065" max="12065" width="9.140625" style="2" customWidth="1"/>
    <col min="12066" max="12066" width="6.85546875" style="2" customWidth="1"/>
    <col min="12067" max="12067" width="15" style="2" bestFit="1" customWidth="1"/>
    <col min="12068" max="12292" width="9.140625" style="2"/>
    <col min="12293" max="12293" width="4" style="2" customWidth="1"/>
    <col min="12294" max="12294" width="24.42578125" style="2" customWidth="1"/>
    <col min="12295" max="12295" width="19.85546875" style="2" customWidth="1"/>
    <col min="12296" max="12296" width="9.28515625" style="2" customWidth="1"/>
    <col min="12297" max="12297" width="10" style="2" customWidth="1"/>
    <col min="12298" max="12298" width="8.42578125" style="2" customWidth="1"/>
    <col min="12299" max="12299" width="12.28515625" style="2" customWidth="1"/>
    <col min="12300" max="12300" width="7.5703125" style="2" customWidth="1"/>
    <col min="12301" max="12301" width="7.85546875" style="2" customWidth="1"/>
    <col min="12302" max="12302" width="8.28515625" style="2" customWidth="1"/>
    <col min="12303" max="12303" width="9.140625" style="2"/>
    <col min="12304" max="12306" width="7.5703125" style="2" customWidth="1"/>
    <col min="12307" max="12307" width="10.28515625" style="2" customWidth="1"/>
    <col min="12308" max="12308" width="10.5703125" style="2" customWidth="1"/>
    <col min="12309" max="12309" width="11.140625" style="2" customWidth="1"/>
    <col min="12310" max="12310" width="10.42578125" style="2" customWidth="1"/>
    <col min="12311" max="12320" width="11" style="2" customWidth="1"/>
    <col min="12321" max="12321" width="9.140625" style="2" customWidth="1"/>
    <col min="12322" max="12322" width="6.85546875" style="2" customWidth="1"/>
    <col min="12323" max="12323" width="15" style="2" bestFit="1" customWidth="1"/>
    <col min="12324" max="12548" width="9.140625" style="2"/>
    <col min="12549" max="12549" width="4" style="2" customWidth="1"/>
    <col min="12550" max="12550" width="24.42578125" style="2" customWidth="1"/>
    <col min="12551" max="12551" width="19.85546875" style="2" customWidth="1"/>
    <col min="12552" max="12552" width="9.28515625" style="2" customWidth="1"/>
    <col min="12553" max="12553" width="10" style="2" customWidth="1"/>
    <col min="12554" max="12554" width="8.42578125" style="2" customWidth="1"/>
    <col min="12555" max="12555" width="12.28515625" style="2" customWidth="1"/>
    <col min="12556" max="12556" width="7.5703125" style="2" customWidth="1"/>
    <col min="12557" max="12557" width="7.85546875" style="2" customWidth="1"/>
    <col min="12558" max="12558" width="8.28515625" style="2" customWidth="1"/>
    <col min="12559" max="12559" width="9.140625" style="2"/>
    <col min="12560" max="12562" width="7.5703125" style="2" customWidth="1"/>
    <col min="12563" max="12563" width="10.28515625" style="2" customWidth="1"/>
    <col min="12564" max="12564" width="10.5703125" style="2" customWidth="1"/>
    <col min="12565" max="12565" width="11.140625" style="2" customWidth="1"/>
    <col min="12566" max="12566" width="10.42578125" style="2" customWidth="1"/>
    <col min="12567" max="12576" width="11" style="2" customWidth="1"/>
    <col min="12577" max="12577" width="9.140625" style="2" customWidth="1"/>
    <col min="12578" max="12578" width="6.85546875" style="2" customWidth="1"/>
    <col min="12579" max="12579" width="15" style="2" bestFit="1" customWidth="1"/>
    <col min="12580" max="12804" width="9.140625" style="2"/>
    <col min="12805" max="12805" width="4" style="2" customWidth="1"/>
    <col min="12806" max="12806" width="24.42578125" style="2" customWidth="1"/>
    <col min="12807" max="12807" width="19.85546875" style="2" customWidth="1"/>
    <col min="12808" max="12808" width="9.28515625" style="2" customWidth="1"/>
    <col min="12809" max="12809" width="10" style="2" customWidth="1"/>
    <col min="12810" max="12810" width="8.42578125" style="2" customWidth="1"/>
    <col min="12811" max="12811" width="12.28515625" style="2" customWidth="1"/>
    <col min="12812" max="12812" width="7.5703125" style="2" customWidth="1"/>
    <col min="12813" max="12813" width="7.85546875" style="2" customWidth="1"/>
    <col min="12814" max="12814" width="8.28515625" style="2" customWidth="1"/>
    <col min="12815" max="12815" width="9.140625" style="2"/>
    <col min="12816" max="12818" width="7.5703125" style="2" customWidth="1"/>
    <col min="12819" max="12819" width="10.28515625" style="2" customWidth="1"/>
    <col min="12820" max="12820" width="10.5703125" style="2" customWidth="1"/>
    <col min="12821" max="12821" width="11.140625" style="2" customWidth="1"/>
    <col min="12822" max="12822" width="10.42578125" style="2" customWidth="1"/>
    <col min="12823" max="12832" width="11" style="2" customWidth="1"/>
    <col min="12833" max="12833" width="9.140625" style="2" customWidth="1"/>
    <col min="12834" max="12834" width="6.85546875" style="2" customWidth="1"/>
    <col min="12835" max="12835" width="15" style="2" bestFit="1" customWidth="1"/>
    <col min="12836" max="13060" width="9.140625" style="2"/>
    <col min="13061" max="13061" width="4" style="2" customWidth="1"/>
    <col min="13062" max="13062" width="24.42578125" style="2" customWidth="1"/>
    <col min="13063" max="13063" width="19.85546875" style="2" customWidth="1"/>
    <col min="13064" max="13064" width="9.28515625" style="2" customWidth="1"/>
    <col min="13065" max="13065" width="10" style="2" customWidth="1"/>
    <col min="13066" max="13066" width="8.42578125" style="2" customWidth="1"/>
    <col min="13067" max="13067" width="12.28515625" style="2" customWidth="1"/>
    <col min="13068" max="13068" width="7.5703125" style="2" customWidth="1"/>
    <col min="13069" max="13069" width="7.85546875" style="2" customWidth="1"/>
    <col min="13070" max="13070" width="8.28515625" style="2" customWidth="1"/>
    <col min="13071" max="13071" width="9.140625" style="2"/>
    <col min="13072" max="13074" width="7.5703125" style="2" customWidth="1"/>
    <col min="13075" max="13075" width="10.28515625" style="2" customWidth="1"/>
    <col min="13076" max="13076" width="10.5703125" style="2" customWidth="1"/>
    <col min="13077" max="13077" width="11.140625" style="2" customWidth="1"/>
    <col min="13078" max="13078" width="10.42578125" style="2" customWidth="1"/>
    <col min="13079" max="13088" width="11" style="2" customWidth="1"/>
    <col min="13089" max="13089" width="9.140625" style="2" customWidth="1"/>
    <col min="13090" max="13090" width="6.85546875" style="2" customWidth="1"/>
    <col min="13091" max="13091" width="15" style="2" bestFit="1" customWidth="1"/>
    <col min="13092" max="13316" width="9.140625" style="2"/>
    <col min="13317" max="13317" width="4" style="2" customWidth="1"/>
    <col min="13318" max="13318" width="24.42578125" style="2" customWidth="1"/>
    <col min="13319" max="13319" width="19.85546875" style="2" customWidth="1"/>
    <col min="13320" max="13320" width="9.28515625" style="2" customWidth="1"/>
    <col min="13321" max="13321" width="10" style="2" customWidth="1"/>
    <col min="13322" max="13322" width="8.42578125" style="2" customWidth="1"/>
    <col min="13323" max="13323" width="12.28515625" style="2" customWidth="1"/>
    <col min="13324" max="13324" width="7.5703125" style="2" customWidth="1"/>
    <col min="13325" max="13325" width="7.85546875" style="2" customWidth="1"/>
    <col min="13326" max="13326" width="8.28515625" style="2" customWidth="1"/>
    <col min="13327" max="13327" width="9.140625" style="2"/>
    <col min="13328" max="13330" width="7.5703125" style="2" customWidth="1"/>
    <col min="13331" max="13331" width="10.28515625" style="2" customWidth="1"/>
    <col min="13332" max="13332" width="10.5703125" style="2" customWidth="1"/>
    <col min="13333" max="13333" width="11.140625" style="2" customWidth="1"/>
    <col min="13334" max="13334" width="10.42578125" style="2" customWidth="1"/>
    <col min="13335" max="13344" width="11" style="2" customWidth="1"/>
    <col min="13345" max="13345" width="9.140625" style="2" customWidth="1"/>
    <col min="13346" max="13346" width="6.85546875" style="2" customWidth="1"/>
    <col min="13347" max="13347" width="15" style="2" bestFit="1" customWidth="1"/>
    <col min="13348" max="13572" width="9.140625" style="2"/>
    <col min="13573" max="13573" width="4" style="2" customWidth="1"/>
    <col min="13574" max="13574" width="24.42578125" style="2" customWidth="1"/>
    <col min="13575" max="13575" width="19.85546875" style="2" customWidth="1"/>
    <col min="13576" max="13576" width="9.28515625" style="2" customWidth="1"/>
    <col min="13577" max="13577" width="10" style="2" customWidth="1"/>
    <col min="13578" max="13578" width="8.42578125" style="2" customWidth="1"/>
    <col min="13579" max="13579" width="12.28515625" style="2" customWidth="1"/>
    <col min="13580" max="13580" width="7.5703125" style="2" customWidth="1"/>
    <col min="13581" max="13581" width="7.85546875" style="2" customWidth="1"/>
    <col min="13582" max="13582" width="8.28515625" style="2" customWidth="1"/>
    <col min="13583" max="13583" width="9.140625" style="2"/>
    <col min="13584" max="13586" width="7.5703125" style="2" customWidth="1"/>
    <col min="13587" max="13587" width="10.28515625" style="2" customWidth="1"/>
    <col min="13588" max="13588" width="10.5703125" style="2" customWidth="1"/>
    <col min="13589" max="13589" width="11.140625" style="2" customWidth="1"/>
    <col min="13590" max="13590" width="10.42578125" style="2" customWidth="1"/>
    <col min="13591" max="13600" width="11" style="2" customWidth="1"/>
    <col min="13601" max="13601" width="9.140625" style="2" customWidth="1"/>
    <col min="13602" max="13602" width="6.85546875" style="2" customWidth="1"/>
    <col min="13603" max="13603" width="15" style="2" bestFit="1" customWidth="1"/>
    <col min="13604" max="13828" width="9.140625" style="2"/>
    <col min="13829" max="13829" width="4" style="2" customWidth="1"/>
    <col min="13830" max="13830" width="24.42578125" style="2" customWidth="1"/>
    <col min="13831" max="13831" width="19.85546875" style="2" customWidth="1"/>
    <col min="13832" max="13832" width="9.28515625" style="2" customWidth="1"/>
    <col min="13833" max="13833" width="10" style="2" customWidth="1"/>
    <col min="13834" max="13834" width="8.42578125" style="2" customWidth="1"/>
    <col min="13835" max="13835" width="12.28515625" style="2" customWidth="1"/>
    <col min="13836" max="13836" width="7.5703125" style="2" customWidth="1"/>
    <col min="13837" max="13837" width="7.85546875" style="2" customWidth="1"/>
    <col min="13838" max="13838" width="8.28515625" style="2" customWidth="1"/>
    <col min="13839" max="13839" width="9.140625" style="2"/>
    <col min="13840" max="13842" width="7.5703125" style="2" customWidth="1"/>
    <col min="13843" max="13843" width="10.28515625" style="2" customWidth="1"/>
    <col min="13844" max="13844" width="10.5703125" style="2" customWidth="1"/>
    <col min="13845" max="13845" width="11.140625" style="2" customWidth="1"/>
    <col min="13846" max="13846" width="10.42578125" style="2" customWidth="1"/>
    <col min="13847" max="13856" width="11" style="2" customWidth="1"/>
    <col min="13857" max="13857" width="9.140625" style="2" customWidth="1"/>
    <col min="13858" max="13858" width="6.85546875" style="2" customWidth="1"/>
    <col min="13859" max="13859" width="15" style="2" bestFit="1" customWidth="1"/>
    <col min="13860" max="14084" width="9.140625" style="2"/>
    <col min="14085" max="14085" width="4" style="2" customWidth="1"/>
    <col min="14086" max="14086" width="24.42578125" style="2" customWidth="1"/>
    <col min="14087" max="14087" width="19.85546875" style="2" customWidth="1"/>
    <col min="14088" max="14088" width="9.28515625" style="2" customWidth="1"/>
    <col min="14089" max="14089" width="10" style="2" customWidth="1"/>
    <col min="14090" max="14090" width="8.42578125" style="2" customWidth="1"/>
    <col min="14091" max="14091" width="12.28515625" style="2" customWidth="1"/>
    <col min="14092" max="14092" width="7.5703125" style="2" customWidth="1"/>
    <col min="14093" max="14093" width="7.85546875" style="2" customWidth="1"/>
    <col min="14094" max="14094" width="8.28515625" style="2" customWidth="1"/>
    <col min="14095" max="14095" width="9.140625" style="2"/>
    <col min="14096" max="14098" width="7.5703125" style="2" customWidth="1"/>
    <col min="14099" max="14099" width="10.28515625" style="2" customWidth="1"/>
    <col min="14100" max="14100" width="10.5703125" style="2" customWidth="1"/>
    <col min="14101" max="14101" width="11.140625" style="2" customWidth="1"/>
    <col min="14102" max="14102" width="10.42578125" style="2" customWidth="1"/>
    <col min="14103" max="14112" width="11" style="2" customWidth="1"/>
    <col min="14113" max="14113" width="9.140625" style="2" customWidth="1"/>
    <col min="14114" max="14114" width="6.85546875" style="2" customWidth="1"/>
    <col min="14115" max="14115" width="15" style="2" bestFit="1" customWidth="1"/>
    <col min="14116" max="14340" width="9.140625" style="2"/>
    <col min="14341" max="14341" width="4" style="2" customWidth="1"/>
    <col min="14342" max="14342" width="24.42578125" style="2" customWidth="1"/>
    <col min="14343" max="14343" width="19.85546875" style="2" customWidth="1"/>
    <col min="14344" max="14344" width="9.28515625" style="2" customWidth="1"/>
    <col min="14345" max="14345" width="10" style="2" customWidth="1"/>
    <col min="14346" max="14346" width="8.42578125" style="2" customWidth="1"/>
    <col min="14347" max="14347" width="12.28515625" style="2" customWidth="1"/>
    <col min="14348" max="14348" width="7.5703125" style="2" customWidth="1"/>
    <col min="14349" max="14349" width="7.85546875" style="2" customWidth="1"/>
    <col min="14350" max="14350" width="8.28515625" style="2" customWidth="1"/>
    <col min="14351" max="14351" width="9.140625" style="2"/>
    <col min="14352" max="14354" width="7.5703125" style="2" customWidth="1"/>
    <col min="14355" max="14355" width="10.28515625" style="2" customWidth="1"/>
    <col min="14356" max="14356" width="10.5703125" style="2" customWidth="1"/>
    <col min="14357" max="14357" width="11.140625" style="2" customWidth="1"/>
    <col min="14358" max="14358" width="10.42578125" style="2" customWidth="1"/>
    <col min="14359" max="14368" width="11" style="2" customWidth="1"/>
    <col min="14369" max="14369" width="9.140625" style="2" customWidth="1"/>
    <col min="14370" max="14370" width="6.85546875" style="2" customWidth="1"/>
    <col min="14371" max="14371" width="15" style="2" bestFit="1" customWidth="1"/>
    <col min="14372" max="14596" width="9.140625" style="2"/>
    <col min="14597" max="14597" width="4" style="2" customWidth="1"/>
    <col min="14598" max="14598" width="24.42578125" style="2" customWidth="1"/>
    <col min="14599" max="14599" width="19.85546875" style="2" customWidth="1"/>
    <col min="14600" max="14600" width="9.28515625" style="2" customWidth="1"/>
    <col min="14601" max="14601" width="10" style="2" customWidth="1"/>
    <col min="14602" max="14602" width="8.42578125" style="2" customWidth="1"/>
    <col min="14603" max="14603" width="12.28515625" style="2" customWidth="1"/>
    <col min="14604" max="14604" width="7.5703125" style="2" customWidth="1"/>
    <col min="14605" max="14605" width="7.85546875" style="2" customWidth="1"/>
    <col min="14606" max="14606" width="8.28515625" style="2" customWidth="1"/>
    <col min="14607" max="14607" width="9.140625" style="2"/>
    <col min="14608" max="14610" width="7.5703125" style="2" customWidth="1"/>
    <col min="14611" max="14611" width="10.28515625" style="2" customWidth="1"/>
    <col min="14612" max="14612" width="10.5703125" style="2" customWidth="1"/>
    <col min="14613" max="14613" width="11.140625" style="2" customWidth="1"/>
    <col min="14614" max="14614" width="10.42578125" style="2" customWidth="1"/>
    <col min="14615" max="14624" width="11" style="2" customWidth="1"/>
    <col min="14625" max="14625" width="9.140625" style="2" customWidth="1"/>
    <col min="14626" max="14626" width="6.85546875" style="2" customWidth="1"/>
    <col min="14627" max="14627" width="15" style="2" bestFit="1" customWidth="1"/>
    <col min="14628" max="14852" width="9.140625" style="2"/>
    <col min="14853" max="14853" width="4" style="2" customWidth="1"/>
    <col min="14854" max="14854" width="24.42578125" style="2" customWidth="1"/>
    <col min="14855" max="14855" width="19.85546875" style="2" customWidth="1"/>
    <col min="14856" max="14856" width="9.28515625" style="2" customWidth="1"/>
    <col min="14857" max="14857" width="10" style="2" customWidth="1"/>
    <col min="14858" max="14858" width="8.42578125" style="2" customWidth="1"/>
    <col min="14859" max="14859" width="12.28515625" style="2" customWidth="1"/>
    <col min="14860" max="14860" width="7.5703125" style="2" customWidth="1"/>
    <col min="14861" max="14861" width="7.85546875" style="2" customWidth="1"/>
    <col min="14862" max="14862" width="8.28515625" style="2" customWidth="1"/>
    <col min="14863" max="14863" width="9.140625" style="2"/>
    <col min="14864" max="14866" width="7.5703125" style="2" customWidth="1"/>
    <col min="14867" max="14867" width="10.28515625" style="2" customWidth="1"/>
    <col min="14868" max="14868" width="10.5703125" style="2" customWidth="1"/>
    <col min="14869" max="14869" width="11.140625" style="2" customWidth="1"/>
    <col min="14870" max="14870" width="10.42578125" style="2" customWidth="1"/>
    <col min="14871" max="14880" width="11" style="2" customWidth="1"/>
    <col min="14881" max="14881" width="9.140625" style="2" customWidth="1"/>
    <col min="14882" max="14882" width="6.85546875" style="2" customWidth="1"/>
    <col min="14883" max="14883" width="15" style="2" bestFit="1" customWidth="1"/>
    <col min="14884" max="15108" width="9.140625" style="2"/>
    <col min="15109" max="15109" width="4" style="2" customWidth="1"/>
    <col min="15110" max="15110" width="24.42578125" style="2" customWidth="1"/>
    <col min="15111" max="15111" width="19.85546875" style="2" customWidth="1"/>
    <col min="15112" max="15112" width="9.28515625" style="2" customWidth="1"/>
    <col min="15113" max="15113" width="10" style="2" customWidth="1"/>
    <col min="15114" max="15114" width="8.42578125" style="2" customWidth="1"/>
    <col min="15115" max="15115" width="12.28515625" style="2" customWidth="1"/>
    <col min="15116" max="15116" width="7.5703125" style="2" customWidth="1"/>
    <col min="15117" max="15117" width="7.85546875" style="2" customWidth="1"/>
    <col min="15118" max="15118" width="8.28515625" style="2" customWidth="1"/>
    <col min="15119" max="15119" width="9.140625" style="2"/>
    <col min="15120" max="15122" width="7.5703125" style="2" customWidth="1"/>
    <col min="15123" max="15123" width="10.28515625" style="2" customWidth="1"/>
    <col min="15124" max="15124" width="10.5703125" style="2" customWidth="1"/>
    <col min="15125" max="15125" width="11.140625" style="2" customWidth="1"/>
    <col min="15126" max="15126" width="10.42578125" style="2" customWidth="1"/>
    <col min="15127" max="15136" width="11" style="2" customWidth="1"/>
    <col min="15137" max="15137" width="9.140625" style="2" customWidth="1"/>
    <col min="15138" max="15138" width="6.85546875" style="2" customWidth="1"/>
    <col min="15139" max="15139" width="15" style="2" bestFit="1" customWidth="1"/>
    <col min="15140" max="15364" width="9.140625" style="2"/>
    <col min="15365" max="15365" width="4" style="2" customWidth="1"/>
    <col min="15366" max="15366" width="24.42578125" style="2" customWidth="1"/>
    <col min="15367" max="15367" width="19.85546875" style="2" customWidth="1"/>
    <col min="15368" max="15368" width="9.28515625" style="2" customWidth="1"/>
    <col min="15369" max="15369" width="10" style="2" customWidth="1"/>
    <col min="15370" max="15370" width="8.42578125" style="2" customWidth="1"/>
    <col min="15371" max="15371" width="12.28515625" style="2" customWidth="1"/>
    <col min="15372" max="15372" width="7.5703125" style="2" customWidth="1"/>
    <col min="15373" max="15373" width="7.85546875" style="2" customWidth="1"/>
    <col min="15374" max="15374" width="8.28515625" style="2" customWidth="1"/>
    <col min="15375" max="15375" width="9.140625" style="2"/>
    <col min="15376" max="15378" width="7.5703125" style="2" customWidth="1"/>
    <col min="15379" max="15379" width="10.28515625" style="2" customWidth="1"/>
    <col min="15380" max="15380" width="10.5703125" style="2" customWidth="1"/>
    <col min="15381" max="15381" width="11.140625" style="2" customWidth="1"/>
    <col min="15382" max="15382" width="10.42578125" style="2" customWidth="1"/>
    <col min="15383" max="15392" width="11" style="2" customWidth="1"/>
    <col min="15393" max="15393" width="9.140625" style="2" customWidth="1"/>
    <col min="15394" max="15394" width="6.85546875" style="2" customWidth="1"/>
    <col min="15395" max="15395" width="15" style="2" bestFit="1" customWidth="1"/>
    <col min="15396" max="15620" width="9.140625" style="2"/>
    <col min="15621" max="15621" width="4" style="2" customWidth="1"/>
    <col min="15622" max="15622" width="24.42578125" style="2" customWidth="1"/>
    <col min="15623" max="15623" width="19.85546875" style="2" customWidth="1"/>
    <col min="15624" max="15624" width="9.28515625" style="2" customWidth="1"/>
    <col min="15625" max="15625" width="10" style="2" customWidth="1"/>
    <col min="15626" max="15626" width="8.42578125" style="2" customWidth="1"/>
    <col min="15627" max="15627" width="12.28515625" style="2" customWidth="1"/>
    <col min="15628" max="15628" width="7.5703125" style="2" customWidth="1"/>
    <col min="15629" max="15629" width="7.85546875" style="2" customWidth="1"/>
    <col min="15630" max="15630" width="8.28515625" style="2" customWidth="1"/>
    <col min="15631" max="15631" width="9.140625" style="2"/>
    <col min="15632" max="15634" width="7.5703125" style="2" customWidth="1"/>
    <col min="15635" max="15635" width="10.28515625" style="2" customWidth="1"/>
    <col min="15636" max="15636" width="10.5703125" style="2" customWidth="1"/>
    <col min="15637" max="15637" width="11.140625" style="2" customWidth="1"/>
    <col min="15638" max="15638" width="10.42578125" style="2" customWidth="1"/>
    <col min="15639" max="15648" width="11" style="2" customWidth="1"/>
    <col min="15649" max="15649" width="9.140625" style="2" customWidth="1"/>
    <col min="15650" max="15650" width="6.85546875" style="2" customWidth="1"/>
    <col min="15651" max="15651" width="15" style="2" bestFit="1" customWidth="1"/>
    <col min="15652" max="15876" width="9.140625" style="2"/>
    <col min="15877" max="15877" width="4" style="2" customWidth="1"/>
    <col min="15878" max="15878" width="24.42578125" style="2" customWidth="1"/>
    <col min="15879" max="15879" width="19.85546875" style="2" customWidth="1"/>
    <col min="15880" max="15880" width="9.28515625" style="2" customWidth="1"/>
    <col min="15881" max="15881" width="10" style="2" customWidth="1"/>
    <col min="15882" max="15882" width="8.42578125" style="2" customWidth="1"/>
    <col min="15883" max="15883" width="12.28515625" style="2" customWidth="1"/>
    <col min="15884" max="15884" width="7.5703125" style="2" customWidth="1"/>
    <col min="15885" max="15885" width="7.85546875" style="2" customWidth="1"/>
    <col min="15886" max="15886" width="8.28515625" style="2" customWidth="1"/>
    <col min="15887" max="15887" width="9.140625" style="2"/>
    <col min="15888" max="15890" width="7.5703125" style="2" customWidth="1"/>
    <col min="15891" max="15891" width="10.28515625" style="2" customWidth="1"/>
    <col min="15892" max="15892" width="10.5703125" style="2" customWidth="1"/>
    <col min="15893" max="15893" width="11.140625" style="2" customWidth="1"/>
    <col min="15894" max="15894" width="10.42578125" style="2" customWidth="1"/>
    <col min="15895" max="15904" width="11" style="2" customWidth="1"/>
    <col min="15905" max="15905" width="9.140625" style="2" customWidth="1"/>
    <col min="15906" max="15906" width="6.85546875" style="2" customWidth="1"/>
    <col min="15907" max="15907" width="15" style="2" bestFit="1" customWidth="1"/>
    <col min="15908" max="16132" width="9.140625" style="2"/>
    <col min="16133" max="16133" width="4" style="2" customWidth="1"/>
    <col min="16134" max="16134" width="24.42578125" style="2" customWidth="1"/>
    <col min="16135" max="16135" width="19.85546875" style="2" customWidth="1"/>
    <col min="16136" max="16136" width="9.28515625" style="2" customWidth="1"/>
    <col min="16137" max="16137" width="10" style="2" customWidth="1"/>
    <col min="16138" max="16138" width="8.42578125" style="2" customWidth="1"/>
    <col min="16139" max="16139" width="12.28515625" style="2" customWidth="1"/>
    <col min="16140" max="16140" width="7.5703125" style="2" customWidth="1"/>
    <col min="16141" max="16141" width="7.85546875" style="2" customWidth="1"/>
    <col min="16142" max="16142" width="8.28515625" style="2" customWidth="1"/>
    <col min="16143" max="16143" width="9.140625" style="2"/>
    <col min="16144" max="16146" width="7.5703125" style="2" customWidth="1"/>
    <col min="16147" max="16147" width="10.28515625" style="2" customWidth="1"/>
    <col min="16148" max="16148" width="10.5703125" style="2" customWidth="1"/>
    <col min="16149" max="16149" width="11.140625" style="2" customWidth="1"/>
    <col min="16150" max="16150" width="10.42578125" style="2" customWidth="1"/>
    <col min="16151" max="16160" width="11" style="2" customWidth="1"/>
    <col min="16161" max="16161" width="9.140625" style="2" customWidth="1"/>
    <col min="16162" max="16162" width="6.85546875" style="2" customWidth="1"/>
    <col min="16163" max="16163" width="15" style="2" bestFit="1" customWidth="1"/>
    <col min="16164" max="16384" width="9.140625" style="2"/>
  </cols>
  <sheetData>
    <row r="1" spans="1:48" ht="125.25">
      <c r="A1" s="10" t="s">
        <v>17</v>
      </c>
      <c r="B1" s="11" t="s">
        <v>18</v>
      </c>
      <c r="C1" s="11" t="s">
        <v>19</v>
      </c>
      <c r="D1" s="12" t="s">
        <v>20</v>
      </c>
      <c r="E1" s="81">
        <v>2017</v>
      </c>
      <c r="F1" s="77" t="s">
        <v>194</v>
      </c>
      <c r="G1" s="77" t="s">
        <v>195</v>
      </c>
      <c r="H1" s="81">
        <v>2019</v>
      </c>
      <c r="I1" s="13" t="s">
        <v>21</v>
      </c>
      <c r="J1" s="4" t="s">
        <v>22</v>
      </c>
      <c r="K1" s="4" t="s">
        <v>23</v>
      </c>
      <c r="L1" s="4" t="s">
        <v>24</v>
      </c>
      <c r="M1" s="4" t="s">
        <v>25</v>
      </c>
      <c r="N1" s="4" t="s">
        <v>26</v>
      </c>
      <c r="O1" s="4" t="s">
        <v>27</v>
      </c>
      <c r="P1" s="4" t="s">
        <v>28</v>
      </c>
      <c r="Q1" s="4" t="s">
        <v>29</v>
      </c>
      <c r="R1" s="4" t="s">
        <v>30</v>
      </c>
      <c r="S1" s="4" t="s">
        <v>31</v>
      </c>
      <c r="T1" s="4" t="s">
        <v>32</v>
      </c>
      <c r="U1" s="4" t="s">
        <v>33</v>
      </c>
      <c r="V1" s="4" t="s">
        <v>34</v>
      </c>
      <c r="W1" s="4" t="s">
        <v>35</v>
      </c>
      <c r="X1" s="4" t="s">
        <v>36</v>
      </c>
      <c r="Y1" s="4" t="s">
        <v>37</v>
      </c>
      <c r="Z1" s="5" t="s">
        <v>38</v>
      </c>
      <c r="AA1" s="5" t="s">
        <v>39</v>
      </c>
      <c r="AB1" s="26" t="s">
        <v>151</v>
      </c>
      <c r="AC1" s="26" t="s">
        <v>152</v>
      </c>
      <c r="AD1" s="26" t="s">
        <v>153</v>
      </c>
      <c r="AG1" s="34" t="s">
        <v>154</v>
      </c>
      <c r="AH1" s="46" t="s">
        <v>155</v>
      </c>
      <c r="AN1" s="47" t="s">
        <v>156</v>
      </c>
      <c r="AP1" s="73" t="s">
        <v>15</v>
      </c>
      <c r="AS1" s="2">
        <v>4</v>
      </c>
      <c r="AT1" s="2">
        <v>12</v>
      </c>
    </row>
    <row r="2" spans="1:48" ht="23.25" customHeight="1">
      <c r="A2" s="90">
        <v>1</v>
      </c>
      <c r="B2" s="14" t="s">
        <v>40</v>
      </c>
      <c r="C2" s="14" t="s">
        <v>40</v>
      </c>
      <c r="D2" s="15" t="s">
        <v>41</v>
      </c>
      <c r="E2" s="78">
        <f t="shared" ref="E2:E14" si="0">AVERAGE(J2:N2)</f>
        <v>43003</v>
      </c>
      <c r="F2" s="78">
        <f t="shared" ref="F2:F14" si="1">AVERAGE(O2:V2)</f>
        <v>46327.875</v>
      </c>
      <c r="G2" s="78">
        <f>AVERAGE(W2:Z2)</f>
        <v>78850.5</v>
      </c>
      <c r="H2" s="78">
        <f>AVERAGE(AA2:AD2)</f>
        <v>68161.5</v>
      </c>
      <c r="I2" s="6">
        <v>115454</v>
      </c>
      <c r="J2" s="6">
        <f>20953+34257</f>
        <v>55210</v>
      </c>
      <c r="K2" s="6">
        <f>11506+18872</f>
        <v>30378</v>
      </c>
      <c r="L2" s="6">
        <f>15483+33338</f>
        <v>48821</v>
      </c>
      <c r="M2" s="6">
        <v>46267</v>
      </c>
      <c r="N2" s="6">
        <f>11097+23242</f>
        <v>34339</v>
      </c>
      <c r="O2" s="6">
        <v>45068</v>
      </c>
      <c r="P2" s="6">
        <v>48843</v>
      </c>
      <c r="Q2" s="6">
        <v>42904</v>
      </c>
      <c r="R2" s="6">
        <v>47723</v>
      </c>
      <c r="S2" s="6">
        <v>55332</v>
      </c>
      <c r="T2" s="6">
        <v>37415</v>
      </c>
      <c r="U2" s="6">
        <v>47983</v>
      </c>
      <c r="V2" s="6">
        <v>45355</v>
      </c>
      <c r="W2" s="6">
        <v>67196</v>
      </c>
      <c r="X2" s="6">
        <v>82706</v>
      </c>
      <c r="Y2" s="6">
        <v>78158</v>
      </c>
      <c r="Z2" s="6">
        <v>87342</v>
      </c>
      <c r="AA2" s="6">
        <v>85341</v>
      </c>
      <c r="AB2" s="27">
        <v>76252</v>
      </c>
      <c r="AC2" s="27">
        <v>70654</v>
      </c>
      <c r="AD2" s="27">
        <v>40399</v>
      </c>
      <c r="AE2" s="33">
        <f>SUM(I2:AD2)</f>
        <v>1289140</v>
      </c>
      <c r="AF2" s="33"/>
      <c r="AG2" s="35">
        <v>5.8500000000000003E-2</v>
      </c>
      <c r="AH2" s="33">
        <f>AE2*AG2</f>
        <v>75414.69</v>
      </c>
      <c r="AI2" s="46" t="e">
        <f>AH2/#REF!*100</f>
        <v>#REF!</v>
      </c>
      <c r="AJ2" s="46" t="e">
        <f>AI2*#REF!/100</f>
        <v>#REF!</v>
      </c>
      <c r="AK2" s="46" t="e">
        <f>AJ2/AG2</f>
        <v>#REF!</v>
      </c>
      <c r="AL2" s="46" t="e">
        <f t="shared" ref="AL2:AL17" si="2">AK2/AS2</f>
        <v>#REF!</v>
      </c>
      <c r="AM2" s="46" t="e">
        <f>AK2/AT2</f>
        <v>#REF!</v>
      </c>
      <c r="AN2" s="48">
        <v>12852</v>
      </c>
      <c r="AP2" s="74">
        <f>საპენსიო!D2</f>
        <v>92.063670411985015</v>
      </c>
      <c r="AQ2" s="74">
        <f>შშმპ!D2</f>
        <v>78.595238095238102</v>
      </c>
      <c r="AR2" s="9">
        <f>AVERAGE(AP2:AQ2)</f>
        <v>85.329454253611559</v>
      </c>
      <c r="AS2" s="9">
        <f>AR2/$AS$1</f>
        <v>21.33236356340289</v>
      </c>
      <c r="AT2" s="9">
        <f>AS2*$AT$1</f>
        <v>255.98836276083466</v>
      </c>
      <c r="AU2" s="76">
        <f t="shared" ref="AU2:AU17" si="3">AN2/AR2</f>
        <v>150.61622170700852</v>
      </c>
      <c r="AV2" s="76">
        <f>AN2/AS2</f>
        <v>602.46488682803408</v>
      </c>
    </row>
    <row r="3" spans="1:48">
      <c r="A3" s="90"/>
      <c r="B3" s="16" t="s">
        <v>42</v>
      </c>
      <c r="C3" s="16" t="s">
        <v>43</v>
      </c>
      <c r="D3" s="15" t="s">
        <v>44</v>
      </c>
      <c r="E3" s="78">
        <f t="shared" si="0"/>
        <v>62600.6</v>
      </c>
      <c r="F3" s="78">
        <f t="shared" si="1"/>
        <v>82328.125</v>
      </c>
      <c r="G3" s="78">
        <f t="shared" ref="G3:G23" si="4">AVERAGE(W3:Z3)</f>
        <v>138558</v>
      </c>
      <c r="H3" s="78">
        <f t="shared" ref="H3:H23" si="5">AVERAGE(AA3:AD3)</f>
        <v>136314</v>
      </c>
      <c r="I3" s="6">
        <v>128708</v>
      </c>
      <c r="J3" s="6">
        <f>68841</f>
        <v>68841</v>
      </c>
      <c r="K3" s="6">
        <f>41674</f>
        <v>41674</v>
      </c>
      <c r="L3" s="6">
        <f>77476</f>
        <v>77476</v>
      </c>
      <c r="M3" s="6">
        <v>71438</v>
      </c>
      <c r="N3" s="6">
        <f>180+53394</f>
        <v>53574</v>
      </c>
      <c r="O3" s="6">
        <v>68830</v>
      </c>
      <c r="P3" s="6">
        <v>87699</v>
      </c>
      <c r="Q3" s="6">
        <v>79766</v>
      </c>
      <c r="R3" s="6">
        <v>76260</v>
      </c>
      <c r="S3" s="6">
        <v>95079</v>
      </c>
      <c r="T3" s="6">
        <v>75991</v>
      </c>
      <c r="U3" s="6">
        <v>86045</v>
      </c>
      <c r="V3" s="6">
        <v>88955</v>
      </c>
      <c r="W3" s="6">
        <v>117285</v>
      </c>
      <c r="X3" s="6">
        <v>156780</v>
      </c>
      <c r="Y3" s="6">
        <v>143245</v>
      </c>
      <c r="Z3" s="6">
        <v>136922</v>
      </c>
      <c r="AA3" s="6">
        <v>138365</v>
      </c>
      <c r="AB3" s="27">
        <v>134077</v>
      </c>
      <c r="AC3" s="27">
        <v>133218</v>
      </c>
      <c r="AD3" s="27">
        <v>139596</v>
      </c>
      <c r="AE3" s="33">
        <f t="shared" ref="AE3:AE23" si="6">SUM(I3:AD3)</f>
        <v>2199824</v>
      </c>
      <c r="AF3" s="33"/>
      <c r="AG3" s="36">
        <v>6.4500000000000002E-2</v>
      </c>
      <c r="AH3" s="33">
        <f t="shared" ref="AH3:AH23" si="7">AE3*AG3</f>
        <v>141888.64800000002</v>
      </c>
      <c r="AI3" s="46" t="e">
        <f>AH3/#REF!*100</f>
        <v>#REF!</v>
      </c>
      <c r="AJ3" s="46" t="e">
        <f>AI3*#REF!/100</f>
        <v>#REF!</v>
      </c>
      <c r="AK3" s="46" t="e">
        <f t="shared" ref="AK3:AK23" si="8">AJ3/AG3</f>
        <v>#REF!</v>
      </c>
      <c r="AL3" s="46" t="e">
        <f t="shared" si="2"/>
        <v>#REF!</v>
      </c>
      <c r="AM3" s="46" t="e">
        <f t="shared" ref="AM3:AM23" si="9">AK3/AT3</f>
        <v>#REF!</v>
      </c>
      <c r="AN3" s="48">
        <v>970805</v>
      </c>
      <c r="AP3" s="74">
        <f>საპენსიო!D3</f>
        <v>87.473209249858996</v>
      </c>
      <c r="AQ3" s="74">
        <f>შშმპ!D3</f>
        <v>96.1875</v>
      </c>
      <c r="AR3" s="9">
        <f t="shared" ref="AR3:AR23" si="10">AVERAGE(AP3:AQ3)</f>
        <v>91.830354624929498</v>
      </c>
      <c r="AS3" s="9">
        <f t="shared" ref="AS3:AS23" si="11">AR3/$AS$1</f>
        <v>22.957588656232375</v>
      </c>
      <c r="AT3" s="9">
        <f t="shared" ref="AT3:AT23" si="12">AS3*$AT$1</f>
        <v>275.49106387478849</v>
      </c>
      <c r="AU3" s="76">
        <f t="shared" si="3"/>
        <v>10571.722215003319</v>
      </c>
      <c r="AV3" s="76">
        <f t="shared" ref="AV3:AV17" si="13">AN3/AS3</f>
        <v>42286.888860013278</v>
      </c>
    </row>
    <row r="4" spans="1:48">
      <c r="A4" s="16">
        <v>2</v>
      </c>
      <c r="B4" s="16" t="s">
        <v>45</v>
      </c>
      <c r="C4" s="16" t="s">
        <v>46</v>
      </c>
      <c r="D4" s="17" t="s">
        <v>47</v>
      </c>
      <c r="E4" s="78">
        <f t="shared" si="0"/>
        <v>44461.8</v>
      </c>
      <c r="F4" s="78">
        <f t="shared" si="1"/>
        <v>62495.625</v>
      </c>
      <c r="G4" s="78">
        <f t="shared" si="4"/>
        <v>127965.25</v>
      </c>
      <c r="H4" s="78">
        <f t="shared" si="5"/>
        <v>92294.25</v>
      </c>
      <c r="I4" s="6">
        <v>74656</v>
      </c>
      <c r="J4" s="6">
        <f>894+48877</f>
        <v>49771</v>
      </c>
      <c r="K4" s="6">
        <f>304+29577</f>
        <v>29881</v>
      </c>
      <c r="L4" s="6">
        <f>49670</f>
        <v>49670</v>
      </c>
      <c r="M4" s="6">
        <v>52667</v>
      </c>
      <c r="N4" s="6">
        <f>92+40228</f>
        <v>40320</v>
      </c>
      <c r="O4" s="6">
        <v>51024</v>
      </c>
      <c r="P4" s="6">
        <v>63258</v>
      </c>
      <c r="Q4" s="6">
        <v>59752</v>
      </c>
      <c r="R4" s="6">
        <v>57385</v>
      </c>
      <c r="S4" s="6">
        <v>78187</v>
      </c>
      <c r="T4" s="6">
        <v>57063</v>
      </c>
      <c r="U4" s="6">
        <v>65543</v>
      </c>
      <c r="V4" s="6">
        <v>67753</v>
      </c>
      <c r="W4" s="6">
        <v>107766</v>
      </c>
      <c r="X4" s="6">
        <v>143166</v>
      </c>
      <c r="Y4" s="6">
        <v>134239</v>
      </c>
      <c r="Z4" s="6">
        <v>126690</v>
      </c>
      <c r="AA4" s="6">
        <v>118049</v>
      </c>
      <c r="AB4" s="28">
        <f>2143+6105+111108</f>
        <v>119356</v>
      </c>
      <c r="AC4" s="28">
        <v>102458</v>
      </c>
      <c r="AD4" s="28">
        <v>29314</v>
      </c>
      <c r="AE4" s="33">
        <f t="shared" si="6"/>
        <v>1677968</v>
      </c>
      <c r="AF4" s="33"/>
      <c r="AG4" s="36">
        <v>0.21840000000000001</v>
      </c>
      <c r="AH4" s="33">
        <f t="shared" si="7"/>
        <v>366468.21120000002</v>
      </c>
      <c r="AI4" s="46" t="e">
        <f>AH4/#REF!*100</f>
        <v>#REF!</v>
      </c>
      <c r="AJ4" s="46" t="e">
        <f>AI4*#REF!/100</f>
        <v>#REF!</v>
      </c>
      <c r="AK4" s="46" t="e">
        <f t="shared" si="8"/>
        <v>#REF!</v>
      </c>
      <c r="AL4" s="46" t="e">
        <f t="shared" si="2"/>
        <v>#REF!</v>
      </c>
      <c r="AM4" s="46" t="e">
        <f t="shared" si="9"/>
        <v>#REF!</v>
      </c>
      <c r="AN4" s="48">
        <v>160907</v>
      </c>
      <c r="AP4" s="74">
        <f>საპენსიო!D4</f>
        <v>66.601855287569578</v>
      </c>
      <c r="AQ4" s="74">
        <f>შშმპ!D9</f>
        <v>58.153153153153156</v>
      </c>
      <c r="AR4" s="9">
        <f t="shared" si="10"/>
        <v>62.377504220361367</v>
      </c>
      <c r="AS4" s="9">
        <f t="shared" si="11"/>
        <v>15.594376055090342</v>
      </c>
      <c r="AT4" s="9">
        <f t="shared" si="12"/>
        <v>187.13251266108409</v>
      </c>
      <c r="AU4" s="76">
        <f t="shared" si="3"/>
        <v>2579.5677786588403</v>
      </c>
      <c r="AV4" s="76">
        <f t="shared" si="13"/>
        <v>10318.271114635361</v>
      </c>
    </row>
    <row r="5" spans="1:48">
      <c r="A5" s="16">
        <v>3</v>
      </c>
      <c r="B5" s="16" t="s">
        <v>48</v>
      </c>
      <c r="C5" s="16" t="s">
        <v>48</v>
      </c>
      <c r="D5" s="18" t="s">
        <v>49</v>
      </c>
      <c r="E5" s="78">
        <f t="shared" si="0"/>
        <v>55445</v>
      </c>
      <c r="F5" s="78">
        <f t="shared" si="1"/>
        <v>108836.625</v>
      </c>
      <c r="G5" s="78">
        <f t="shared" si="4"/>
        <v>216440.25</v>
      </c>
      <c r="H5" s="78">
        <f t="shared" si="5"/>
        <v>227824</v>
      </c>
      <c r="I5" s="6">
        <v>0</v>
      </c>
      <c r="J5" s="6">
        <v>0</v>
      </c>
      <c r="K5" s="6">
        <v>11654</v>
      </c>
      <c r="L5" s="6">
        <f>125527</f>
        <v>125527</v>
      </c>
      <c r="M5" s="6">
        <v>76906</v>
      </c>
      <c r="N5" s="6">
        <f>63138</f>
        <v>63138</v>
      </c>
      <c r="O5" s="6">
        <v>94802</v>
      </c>
      <c r="P5" s="6">
        <v>103039</v>
      </c>
      <c r="Q5" s="6">
        <v>106262</v>
      </c>
      <c r="R5" s="6">
        <v>109933</v>
      </c>
      <c r="S5" s="6">
        <v>124788</v>
      </c>
      <c r="T5" s="6">
        <v>101734</v>
      </c>
      <c r="U5" s="6">
        <v>117850</v>
      </c>
      <c r="V5" s="6">
        <v>112285</v>
      </c>
      <c r="W5" s="6">
        <v>174735</v>
      </c>
      <c r="X5" s="6">
        <v>241015</v>
      </c>
      <c r="Y5" s="6">
        <v>224504</v>
      </c>
      <c r="Z5" s="6">
        <v>225507</v>
      </c>
      <c r="AA5" s="6">
        <v>231313</v>
      </c>
      <c r="AB5" s="27">
        <v>231431</v>
      </c>
      <c r="AC5" s="27">
        <v>237975</v>
      </c>
      <c r="AD5" s="27">
        <v>210577</v>
      </c>
      <c r="AE5" s="33">
        <f t="shared" si="6"/>
        <v>2924975</v>
      </c>
      <c r="AF5" s="33"/>
      <c r="AG5" s="37">
        <v>4.1000000000000002E-2</v>
      </c>
      <c r="AH5" s="33">
        <f t="shared" si="7"/>
        <v>119923.97500000001</v>
      </c>
      <c r="AI5" s="46" t="e">
        <f>AH5/#REF!*100</f>
        <v>#REF!</v>
      </c>
      <c r="AJ5" s="46" t="e">
        <f>AI5*#REF!/100</f>
        <v>#REF!</v>
      </c>
      <c r="AK5" s="46" t="e">
        <f t="shared" si="8"/>
        <v>#REF!</v>
      </c>
      <c r="AL5" s="46" t="e">
        <f t="shared" si="2"/>
        <v>#REF!</v>
      </c>
      <c r="AM5" s="46" t="e">
        <f t="shared" si="9"/>
        <v>#REF!</v>
      </c>
      <c r="AN5" s="48">
        <v>1304050</v>
      </c>
      <c r="AP5" s="74">
        <f>საპენსიო!D17</f>
        <v>110.81858766233766</v>
      </c>
      <c r="AQ5" s="74">
        <f>შშმპ!D16</f>
        <v>117.43010752688173</v>
      </c>
      <c r="AR5" s="9">
        <f t="shared" si="10"/>
        <v>114.1243475946097</v>
      </c>
      <c r="AS5" s="9">
        <f t="shared" si="11"/>
        <v>28.531086898652426</v>
      </c>
      <c r="AT5" s="9">
        <f t="shared" si="12"/>
        <v>342.37304278382908</v>
      </c>
      <c r="AU5" s="76">
        <f t="shared" si="3"/>
        <v>11426.571345075472</v>
      </c>
      <c r="AV5" s="76">
        <f t="shared" si="13"/>
        <v>45706.285380301888</v>
      </c>
    </row>
    <row r="6" spans="1:48" ht="27" customHeight="1">
      <c r="A6" s="16">
        <v>4</v>
      </c>
      <c r="B6" s="16" t="s">
        <v>50</v>
      </c>
      <c r="C6" s="16" t="s">
        <v>51</v>
      </c>
      <c r="D6" s="19" t="s">
        <v>52</v>
      </c>
      <c r="E6" s="78">
        <f t="shared" si="0"/>
        <v>28665.599999999999</v>
      </c>
      <c r="F6" s="78">
        <f t="shared" si="1"/>
        <v>37865.25</v>
      </c>
      <c r="G6" s="78">
        <f t="shared" si="4"/>
        <v>71543.75</v>
      </c>
      <c r="H6" s="78">
        <f t="shared" si="5"/>
        <v>58414</v>
      </c>
      <c r="I6" s="6">
        <v>71359</v>
      </c>
      <c r="J6" s="6">
        <f>103+23+219+92+90+92+5463+17825+10070</f>
        <v>33977</v>
      </c>
      <c r="K6" s="6">
        <f>71+46+91+92+2667+9088+6961</f>
        <v>19016</v>
      </c>
      <c r="L6" s="6">
        <f>90+230+5697+14666+13155</f>
        <v>33838</v>
      </c>
      <c r="M6" s="6">
        <v>31458</v>
      </c>
      <c r="N6" s="6">
        <f>1+138+115+2448+8277+14060</f>
        <v>25039</v>
      </c>
      <c r="O6" s="6">
        <v>32180</v>
      </c>
      <c r="P6" s="6">
        <v>40242</v>
      </c>
      <c r="Q6" s="6">
        <v>34672</v>
      </c>
      <c r="R6" s="6">
        <v>37150</v>
      </c>
      <c r="S6" s="6">
        <v>44130</v>
      </c>
      <c r="T6" s="6">
        <v>33373</v>
      </c>
      <c r="U6" s="6">
        <v>39863</v>
      </c>
      <c r="V6" s="6">
        <v>41312</v>
      </c>
      <c r="W6" s="6">
        <v>62328</v>
      </c>
      <c r="X6" s="6">
        <v>81237</v>
      </c>
      <c r="Y6" s="6">
        <v>72170</v>
      </c>
      <c r="Z6" s="6">
        <v>70440</v>
      </c>
      <c r="AA6" s="6">
        <v>70692</v>
      </c>
      <c r="AB6" s="27">
        <v>71155</v>
      </c>
      <c r="AC6" s="27">
        <v>64086</v>
      </c>
      <c r="AD6" s="27">
        <v>27723</v>
      </c>
      <c r="AE6" s="33">
        <f t="shared" si="6"/>
        <v>1037440</v>
      </c>
      <c r="AF6" s="33"/>
      <c r="AG6" s="37">
        <v>4.7500000000000001E-2</v>
      </c>
      <c r="AH6" s="33">
        <f t="shared" si="7"/>
        <v>49278.400000000001</v>
      </c>
      <c r="AI6" s="46" t="e">
        <f>AH6/#REF!*100</f>
        <v>#REF!</v>
      </c>
      <c r="AJ6" s="46" t="e">
        <f>AI6*#REF!/100</f>
        <v>#REF!</v>
      </c>
      <c r="AK6" s="46" t="e">
        <f t="shared" si="8"/>
        <v>#REF!</v>
      </c>
      <c r="AL6" s="46" t="e">
        <f t="shared" si="2"/>
        <v>#REF!</v>
      </c>
      <c r="AM6" s="46" t="e">
        <f t="shared" si="9"/>
        <v>#REF!</v>
      </c>
      <c r="AN6" s="48">
        <v>6776</v>
      </c>
      <c r="AP6" s="74">
        <f>საპენსიო!D6</f>
        <v>57.986040609137056</v>
      </c>
      <c r="AQ6" s="74">
        <f>შშმპ!D4</f>
        <v>62</v>
      </c>
      <c r="AR6" s="9">
        <f t="shared" si="10"/>
        <v>59.993020304568532</v>
      </c>
      <c r="AS6" s="9">
        <f t="shared" si="11"/>
        <v>14.998255076142133</v>
      </c>
      <c r="AT6" s="9">
        <f t="shared" si="12"/>
        <v>179.97906091370561</v>
      </c>
      <c r="AU6" s="76">
        <f t="shared" si="3"/>
        <v>112.94647219960019</v>
      </c>
      <c r="AV6" s="76">
        <f t="shared" si="13"/>
        <v>451.78588879840078</v>
      </c>
    </row>
    <row r="7" spans="1:48" ht="30" customHeight="1">
      <c r="A7" s="16">
        <v>5</v>
      </c>
      <c r="B7" s="14" t="s">
        <v>53</v>
      </c>
      <c r="C7" s="16" t="s">
        <v>54</v>
      </c>
      <c r="D7" s="18" t="s">
        <v>55</v>
      </c>
      <c r="E7" s="78">
        <f t="shared" si="0"/>
        <v>12809.8</v>
      </c>
      <c r="F7" s="78">
        <f t="shared" si="1"/>
        <v>16399.375</v>
      </c>
      <c r="G7" s="78">
        <f t="shared" si="4"/>
        <v>36643.75</v>
      </c>
      <c r="H7" s="78">
        <f t="shared" si="5"/>
        <v>40709</v>
      </c>
      <c r="I7" s="6">
        <v>35172</v>
      </c>
      <c r="J7" s="6">
        <f>14677+300</f>
        <v>14977</v>
      </c>
      <c r="K7" s="6">
        <f>7169</f>
        <v>7169</v>
      </c>
      <c r="L7" s="6">
        <f>16509</f>
        <v>16509</v>
      </c>
      <c r="M7" s="6">
        <v>14056</v>
      </c>
      <c r="N7" s="6">
        <f>11338</f>
        <v>11338</v>
      </c>
      <c r="O7" s="6">
        <v>15140</v>
      </c>
      <c r="P7" s="6">
        <v>16835</v>
      </c>
      <c r="Q7" s="6">
        <v>15104</v>
      </c>
      <c r="R7" s="6">
        <v>15293</v>
      </c>
      <c r="S7" s="6">
        <v>18158</v>
      </c>
      <c r="T7" s="6">
        <v>14011</v>
      </c>
      <c r="U7" s="6">
        <v>19170</v>
      </c>
      <c r="V7" s="6">
        <v>17484</v>
      </c>
      <c r="W7" s="6">
        <v>31052</v>
      </c>
      <c r="X7" s="6">
        <v>40073</v>
      </c>
      <c r="Y7" s="6">
        <v>38322</v>
      </c>
      <c r="Z7" s="6">
        <v>37128</v>
      </c>
      <c r="AA7" s="6">
        <v>38507</v>
      </c>
      <c r="AB7" s="27">
        <v>37090</v>
      </c>
      <c r="AC7" s="27">
        <v>43811</v>
      </c>
      <c r="AD7" s="27">
        <v>43428</v>
      </c>
      <c r="AE7" s="33">
        <f t="shared" si="6"/>
        <v>539827</v>
      </c>
      <c r="AF7" s="33"/>
      <c r="AG7" s="38">
        <v>0.1034559</v>
      </c>
      <c r="AH7" s="33">
        <f t="shared" si="7"/>
        <v>55848.288129300003</v>
      </c>
      <c r="AI7" s="46" t="e">
        <f>AH7/#REF!*100</f>
        <v>#REF!</v>
      </c>
      <c r="AJ7" s="46" t="e">
        <f>AI7*#REF!/100</f>
        <v>#REF!</v>
      </c>
      <c r="AK7" s="46" t="e">
        <f t="shared" si="8"/>
        <v>#REF!</v>
      </c>
      <c r="AL7" s="46" t="e">
        <f t="shared" si="2"/>
        <v>#REF!</v>
      </c>
      <c r="AM7" s="46" t="e">
        <f t="shared" si="9"/>
        <v>#REF!</v>
      </c>
      <c r="AN7" s="48">
        <v>516988</v>
      </c>
      <c r="AP7" s="74">
        <f>საპენსიო!D7</f>
        <v>84.567441860465109</v>
      </c>
      <c r="AQ7" s="74">
        <f>შშმპ!D5</f>
        <v>87.5</v>
      </c>
      <c r="AR7" s="9">
        <f t="shared" si="10"/>
        <v>86.033720930232562</v>
      </c>
      <c r="AS7" s="9">
        <f t="shared" si="11"/>
        <v>21.50843023255814</v>
      </c>
      <c r="AT7" s="9">
        <f t="shared" si="12"/>
        <v>258.10116279069769</v>
      </c>
      <c r="AU7" s="76">
        <f t="shared" si="3"/>
        <v>6009.1321682952866</v>
      </c>
      <c r="AV7" s="76">
        <f t="shared" si="13"/>
        <v>24036.528673181147</v>
      </c>
    </row>
    <row r="8" spans="1:48" ht="25.5" customHeight="1">
      <c r="A8" s="16">
        <v>6</v>
      </c>
      <c r="B8" s="16" t="s">
        <v>56</v>
      </c>
      <c r="C8" s="16" t="s">
        <v>57</v>
      </c>
      <c r="D8" s="19" t="s">
        <v>52</v>
      </c>
      <c r="E8" s="78">
        <f t="shared" si="0"/>
        <v>3011.4</v>
      </c>
      <c r="F8" s="78">
        <f t="shared" si="1"/>
        <v>3165.375</v>
      </c>
      <c r="G8" s="78">
        <f t="shared" si="4"/>
        <v>8302.5</v>
      </c>
      <c r="H8" s="78">
        <f t="shared" si="5"/>
        <v>10258.5</v>
      </c>
      <c r="I8" s="6">
        <v>0</v>
      </c>
      <c r="J8" s="6">
        <v>2759</v>
      </c>
      <c r="K8" s="6">
        <v>3999</v>
      </c>
      <c r="L8" s="6">
        <f>2385</f>
        <v>2385</v>
      </c>
      <c r="M8" s="6">
        <v>2844</v>
      </c>
      <c r="N8" s="6">
        <f>3070</f>
        <v>3070</v>
      </c>
      <c r="O8" s="6">
        <v>2441</v>
      </c>
      <c r="P8" s="6">
        <v>2913</v>
      </c>
      <c r="Q8" s="6">
        <v>3614</v>
      </c>
      <c r="R8" s="6">
        <v>3529</v>
      </c>
      <c r="S8" s="6">
        <v>3254</v>
      </c>
      <c r="T8" s="6">
        <v>3147</v>
      </c>
      <c r="U8" s="6">
        <v>3592</v>
      </c>
      <c r="V8" s="6">
        <v>2833</v>
      </c>
      <c r="W8" s="6">
        <v>8669</v>
      </c>
      <c r="X8" s="6">
        <v>7654</v>
      </c>
      <c r="Y8" s="6">
        <v>7780</v>
      </c>
      <c r="Z8" s="6">
        <v>9107</v>
      </c>
      <c r="AA8" s="6">
        <v>9951</v>
      </c>
      <c r="AB8" s="27">
        <v>10209</v>
      </c>
      <c r="AC8" s="27">
        <v>10994</v>
      </c>
      <c r="AD8" s="27">
        <v>9880</v>
      </c>
      <c r="AE8" s="33">
        <f t="shared" si="6"/>
        <v>114624</v>
      </c>
      <c r="AF8" s="33"/>
      <c r="AG8" s="37">
        <v>0.188</v>
      </c>
      <c r="AH8" s="33">
        <f t="shared" si="7"/>
        <v>21549.312000000002</v>
      </c>
      <c r="AI8" s="46" t="e">
        <f>AH8/#REF!*100</f>
        <v>#REF!</v>
      </c>
      <c r="AJ8" s="46" t="e">
        <f>AI8*#REF!/100</f>
        <v>#REF!</v>
      </c>
      <c r="AK8" s="46" t="e">
        <f t="shared" si="8"/>
        <v>#REF!</v>
      </c>
      <c r="AL8" s="46" t="e">
        <f t="shared" si="2"/>
        <v>#REF!</v>
      </c>
      <c r="AM8" s="46" t="e">
        <f t="shared" si="9"/>
        <v>#REF!</v>
      </c>
      <c r="AN8" s="48">
        <v>27649</v>
      </c>
      <c r="AP8" s="74">
        <f>საპენსიო!D15</f>
        <v>77.575757575757578</v>
      </c>
      <c r="AQ8" s="74">
        <f>შშმპ!D15</f>
        <v>115.875</v>
      </c>
      <c r="AR8" s="9">
        <f t="shared" si="10"/>
        <v>96.725378787878782</v>
      </c>
      <c r="AS8" s="9">
        <f t="shared" si="11"/>
        <v>24.181344696969695</v>
      </c>
      <c r="AT8" s="9">
        <f t="shared" si="12"/>
        <v>290.17613636363637</v>
      </c>
      <c r="AU8" s="76">
        <f t="shared" si="3"/>
        <v>285.85052182256078</v>
      </c>
      <c r="AV8" s="76">
        <f t="shared" si="13"/>
        <v>1143.4020872902431</v>
      </c>
    </row>
    <row r="9" spans="1:48" ht="24.75" customHeight="1">
      <c r="A9" s="16">
        <v>7</v>
      </c>
      <c r="B9" s="16" t="s">
        <v>58</v>
      </c>
      <c r="C9" s="16" t="s">
        <v>59</v>
      </c>
      <c r="D9" s="19" t="s">
        <v>60</v>
      </c>
      <c r="E9" s="78">
        <f t="shared" si="0"/>
        <v>20840.8</v>
      </c>
      <c r="F9" s="78">
        <f t="shared" si="1"/>
        <v>29990.375</v>
      </c>
      <c r="G9" s="78">
        <f t="shared" si="4"/>
        <v>66727.75</v>
      </c>
      <c r="H9" s="78">
        <f t="shared" si="5"/>
        <v>75478</v>
      </c>
      <c r="I9" s="6">
        <v>56943</v>
      </c>
      <c r="J9" s="6">
        <v>22075</v>
      </c>
      <c r="K9" s="6">
        <v>12111</v>
      </c>
      <c r="L9" s="6">
        <f>26890</f>
        <v>26890</v>
      </c>
      <c r="M9" s="6">
        <v>24446</v>
      </c>
      <c r="N9" s="6">
        <f>18682</f>
        <v>18682</v>
      </c>
      <c r="O9" s="6">
        <v>27577</v>
      </c>
      <c r="P9" s="6">
        <v>31298</v>
      </c>
      <c r="Q9" s="6">
        <v>24233</v>
      </c>
      <c r="R9" s="6">
        <v>30732</v>
      </c>
      <c r="S9" s="6">
        <v>32988</v>
      </c>
      <c r="T9" s="6">
        <v>26408</v>
      </c>
      <c r="U9" s="6">
        <v>34308</v>
      </c>
      <c r="V9" s="6">
        <v>32379</v>
      </c>
      <c r="W9" s="6">
        <v>57431</v>
      </c>
      <c r="X9" s="6">
        <v>72802</v>
      </c>
      <c r="Y9" s="6">
        <v>68970</v>
      </c>
      <c r="Z9" s="6">
        <v>67708</v>
      </c>
      <c r="AA9" s="6">
        <v>74700</v>
      </c>
      <c r="AB9" s="28">
        <v>74139</v>
      </c>
      <c r="AC9" s="28">
        <v>76518</v>
      </c>
      <c r="AD9" s="28">
        <v>76555</v>
      </c>
      <c r="AE9" s="33">
        <f t="shared" si="6"/>
        <v>969893</v>
      </c>
      <c r="AF9" s="33"/>
      <c r="AG9" s="37">
        <v>6.6000000000000003E-2</v>
      </c>
      <c r="AH9" s="33">
        <f t="shared" si="7"/>
        <v>64012.938000000002</v>
      </c>
      <c r="AI9" s="46" t="e">
        <f>AH9/#REF!*100</f>
        <v>#REF!</v>
      </c>
      <c r="AJ9" s="46" t="e">
        <f>AI9*#REF!/100</f>
        <v>#REF!</v>
      </c>
      <c r="AK9" s="46" t="e">
        <f t="shared" si="8"/>
        <v>#REF!</v>
      </c>
      <c r="AL9" s="46" t="e">
        <f t="shared" si="2"/>
        <v>#REF!</v>
      </c>
      <c r="AM9" s="46" t="e">
        <f t="shared" si="9"/>
        <v>#REF!</v>
      </c>
      <c r="AN9" s="48">
        <v>1682441</v>
      </c>
      <c r="AP9" s="74">
        <f>საპენსიო!D8</f>
        <v>117.69565217391305</v>
      </c>
      <c r="AQ9" s="74">
        <f>შშმპ!D11</f>
        <v>127.57627118644068</v>
      </c>
      <c r="AR9" s="9">
        <f t="shared" si="10"/>
        <v>122.63596168017686</v>
      </c>
      <c r="AS9" s="9">
        <f t="shared" si="11"/>
        <v>30.658990420044216</v>
      </c>
      <c r="AT9" s="9">
        <f t="shared" si="12"/>
        <v>367.90788504053057</v>
      </c>
      <c r="AU9" s="76">
        <f t="shared" si="3"/>
        <v>13718.985662522458</v>
      </c>
      <c r="AV9" s="76">
        <f t="shared" si="13"/>
        <v>54875.942650089833</v>
      </c>
    </row>
    <row r="10" spans="1:48" ht="25.5" customHeight="1">
      <c r="A10" s="16">
        <v>8</v>
      </c>
      <c r="B10" s="16" t="s">
        <v>61</v>
      </c>
      <c r="C10" s="16" t="s">
        <v>62</v>
      </c>
      <c r="D10" s="20" t="s">
        <v>63</v>
      </c>
      <c r="E10" s="78">
        <f t="shared" si="0"/>
        <v>32143.4</v>
      </c>
      <c r="F10" s="78">
        <f t="shared" si="1"/>
        <v>38286.375</v>
      </c>
      <c r="G10" s="78">
        <f t="shared" si="4"/>
        <v>70734.5</v>
      </c>
      <c r="H10" s="78">
        <f t="shared" si="5"/>
        <v>79779</v>
      </c>
      <c r="I10" s="6">
        <v>37254</v>
      </c>
      <c r="J10" s="6">
        <v>49150</v>
      </c>
      <c r="K10" s="6">
        <f>668+13686+92+5642</f>
        <v>20088</v>
      </c>
      <c r="L10" s="6">
        <f>1102+11045+1028+18908</f>
        <v>32083</v>
      </c>
      <c r="M10" s="6">
        <v>34438</v>
      </c>
      <c r="N10" s="6">
        <f>1174+18698+5086</f>
        <v>24958</v>
      </c>
      <c r="O10" s="6">
        <v>30837</v>
      </c>
      <c r="P10" s="6">
        <v>39593</v>
      </c>
      <c r="Q10" s="6">
        <v>35795</v>
      </c>
      <c r="R10" s="6">
        <v>32955</v>
      </c>
      <c r="S10" s="6">
        <v>48160</v>
      </c>
      <c r="T10" s="6">
        <v>37230</v>
      </c>
      <c r="U10" s="6">
        <v>39410</v>
      </c>
      <c r="V10" s="6">
        <v>42311</v>
      </c>
      <c r="W10" s="6">
        <v>66372</v>
      </c>
      <c r="X10" s="6">
        <v>80964</v>
      </c>
      <c r="Y10" s="6">
        <v>75701</v>
      </c>
      <c r="Z10" s="6">
        <v>59901</v>
      </c>
      <c r="AA10" s="6">
        <v>72905</v>
      </c>
      <c r="AB10" s="27">
        <v>81999</v>
      </c>
      <c r="AC10" s="27">
        <v>83146</v>
      </c>
      <c r="AD10" s="27">
        <v>81066</v>
      </c>
      <c r="AE10" s="33">
        <f t="shared" si="6"/>
        <v>1106316</v>
      </c>
      <c r="AF10" s="33"/>
      <c r="AG10" s="37">
        <v>0.155</v>
      </c>
      <c r="AH10" s="33">
        <f t="shared" si="7"/>
        <v>171478.98</v>
      </c>
      <c r="AI10" s="46" t="e">
        <f>AH10/#REF!*100</f>
        <v>#REF!</v>
      </c>
      <c r="AJ10" s="46" t="e">
        <f>AI10*#REF!/100</f>
        <v>#REF!</v>
      </c>
      <c r="AK10" s="46" t="e">
        <f t="shared" si="8"/>
        <v>#REF!</v>
      </c>
      <c r="AL10" s="46" t="e">
        <f t="shared" si="2"/>
        <v>#REF!</v>
      </c>
      <c r="AM10" s="46" t="e">
        <f t="shared" si="9"/>
        <v>#REF!</v>
      </c>
      <c r="AN10" s="48">
        <v>124143</v>
      </c>
      <c r="AP10" s="74">
        <f>საპენსიო!D14</f>
        <v>77.405156537753228</v>
      </c>
      <c r="AQ10" s="74">
        <f>შშმპ!D14</f>
        <v>82.042857142857144</v>
      </c>
      <c r="AR10" s="9">
        <f t="shared" si="10"/>
        <v>79.724006840305179</v>
      </c>
      <c r="AS10" s="9">
        <f t="shared" si="11"/>
        <v>19.931001710076295</v>
      </c>
      <c r="AT10" s="9">
        <f t="shared" si="12"/>
        <v>239.17202052091554</v>
      </c>
      <c r="AU10" s="76">
        <f t="shared" si="3"/>
        <v>1557.1595673643237</v>
      </c>
      <c r="AV10" s="76">
        <f t="shared" si="13"/>
        <v>6228.6382694572949</v>
      </c>
    </row>
    <row r="11" spans="1:48" ht="40.5" customHeight="1">
      <c r="A11" s="16">
        <v>9</v>
      </c>
      <c r="B11" s="16" t="s">
        <v>64</v>
      </c>
      <c r="C11" s="16" t="s">
        <v>65</v>
      </c>
      <c r="D11" s="20" t="s">
        <v>66</v>
      </c>
      <c r="E11" s="78">
        <f t="shared" si="0"/>
        <v>15407.6</v>
      </c>
      <c r="F11" s="78">
        <f t="shared" si="1"/>
        <v>17747.875</v>
      </c>
      <c r="G11" s="78">
        <f t="shared" si="4"/>
        <v>32779.25</v>
      </c>
      <c r="H11" s="78">
        <f t="shared" si="5"/>
        <v>34241.25</v>
      </c>
      <c r="I11" s="6">
        <v>39979</v>
      </c>
      <c r="J11" s="6">
        <f>2529+14404+837+2536</f>
        <v>20306</v>
      </c>
      <c r="K11" s="6">
        <f>1774+7298+1212+1147</f>
        <v>11431</v>
      </c>
      <c r="L11" s="6">
        <f>2120+11319+1962+1944</f>
        <v>17345</v>
      </c>
      <c r="M11" s="6">
        <v>15502</v>
      </c>
      <c r="N11" s="6">
        <f>1800+7254+2436+964</f>
        <v>12454</v>
      </c>
      <c r="O11" s="6">
        <v>17248</v>
      </c>
      <c r="P11" s="6">
        <v>20487</v>
      </c>
      <c r="Q11" s="6">
        <v>14079</v>
      </c>
      <c r="R11" s="6">
        <v>18864</v>
      </c>
      <c r="S11" s="6">
        <v>19832</v>
      </c>
      <c r="T11" s="6">
        <v>13412</v>
      </c>
      <c r="U11" s="6">
        <v>19005</v>
      </c>
      <c r="V11" s="6">
        <v>19056</v>
      </c>
      <c r="W11" s="6">
        <v>32198</v>
      </c>
      <c r="X11" s="6">
        <v>38592</v>
      </c>
      <c r="Y11" s="6">
        <v>33194</v>
      </c>
      <c r="Z11" s="6">
        <v>27133</v>
      </c>
      <c r="AA11" s="6">
        <v>34869</v>
      </c>
      <c r="AB11" s="27">
        <v>37403</v>
      </c>
      <c r="AC11" s="27">
        <v>32044</v>
      </c>
      <c r="AD11" s="27">
        <v>32649</v>
      </c>
      <c r="AE11" s="33">
        <f t="shared" si="6"/>
        <v>527082</v>
      </c>
      <c r="AF11" s="33"/>
      <c r="AG11" s="37">
        <v>2.9399999999999999E-2</v>
      </c>
      <c r="AH11" s="33">
        <f t="shared" si="7"/>
        <v>15496.210799999999</v>
      </c>
      <c r="AI11" s="46" t="e">
        <f>AH11/#REF!*100</f>
        <v>#REF!</v>
      </c>
      <c r="AJ11" s="46" t="e">
        <f>AI11*#REF!/100</f>
        <v>#REF!</v>
      </c>
      <c r="AK11" s="46" t="e">
        <f t="shared" si="8"/>
        <v>#REF!</v>
      </c>
      <c r="AL11" s="46" t="e">
        <f t="shared" si="2"/>
        <v>#REF!</v>
      </c>
      <c r="AM11" s="46" t="e">
        <f t="shared" si="9"/>
        <v>#REF!</v>
      </c>
      <c r="AN11" s="48">
        <v>121039</v>
      </c>
      <c r="AP11" s="74">
        <f>საპენსიო!D9</f>
        <v>70.788461538461533</v>
      </c>
      <c r="AQ11" s="74">
        <f>შშმპ!D17</f>
        <v>80.355555555555554</v>
      </c>
      <c r="AR11" s="9">
        <f t="shared" si="10"/>
        <v>75.572008547008551</v>
      </c>
      <c r="AS11" s="9">
        <f t="shared" si="11"/>
        <v>18.893002136752138</v>
      </c>
      <c r="AT11" s="9">
        <f t="shared" si="12"/>
        <v>226.71602564102565</v>
      </c>
      <c r="AU11" s="76">
        <f t="shared" si="3"/>
        <v>1601.6379917269146</v>
      </c>
      <c r="AV11" s="76">
        <f t="shared" si="13"/>
        <v>6406.5519669076584</v>
      </c>
    </row>
    <row r="12" spans="1:48" ht="37.5" customHeight="1">
      <c r="A12" s="16">
        <v>10</v>
      </c>
      <c r="B12" s="16" t="s">
        <v>67</v>
      </c>
      <c r="C12" s="16" t="s">
        <v>67</v>
      </c>
      <c r="D12" s="15" t="s">
        <v>68</v>
      </c>
      <c r="E12" s="78">
        <f t="shared" si="0"/>
        <v>8689.4</v>
      </c>
      <c r="F12" s="78">
        <f t="shared" si="1"/>
        <v>13555.5</v>
      </c>
      <c r="G12" s="78">
        <f t="shared" si="4"/>
        <v>24737.25</v>
      </c>
      <c r="H12" s="78">
        <f t="shared" si="5"/>
        <v>28414</v>
      </c>
      <c r="I12" s="6">
        <v>0</v>
      </c>
      <c r="J12" s="6">
        <v>0</v>
      </c>
      <c r="K12" s="6">
        <v>7868</v>
      </c>
      <c r="L12" s="6">
        <f>14375</f>
        <v>14375</v>
      </c>
      <c r="M12" s="6">
        <v>11156</v>
      </c>
      <c r="N12" s="6">
        <f>10048</f>
        <v>10048</v>
      </c>
      <c r="O12" s="6">
        <v>12392</v>
      </c>
      <c r="P12" s="6">
        <v>14103</v>
      </c>
      <c r="Q12" s="6">
        <v>13297</v>
      </c>
      <c r="R12" s="6">
        <v>12604</v>
      </c>
      <c r="S12" s="6">
        <v>14359</v>
      </c>
      <c r="T12" s="6">
        <v>12716</v>
      </c>
      <c r="U12" s="6">
        <v>14051</v>
      </c>
      <c r="V12" s="6">
        <v>14922</v>
      </c>
      <c r="W12" s="6">
        <v>22164</v>
      </c>
      <c r="X12" s="6">
        <v>27374</v>
      </c>
      <c r="Y12" s="6">
        <v>25245</v>
      </c>
      <c r="Z12" s="6">
        <v>24166</v>
      </c>
      <c r="AA12" s="6">
        <v>27361</v>
      </c>
      <c r="AB12" s="27">
        <v>28311</v>
      </c>
      <c r="AC12" s="27">
        <v>29744</v>
      </c>
      <c r="AD12" s="27">
        <v>28240</v>
      </c>
      <c r="AE12" s="33">
        <f t="shared" si="6"/>
        <v>364496</v>
      </c>
      <c r="AF12" s="33"/>
      <c r="AG12" s="36">
        <v>6.1499999999999999E-2</v>
      </c>
      <c r="AH12" s="33">
        <f t="shared" si="7"/>
        <v>22416.504000000001</v>
      </c>
      <c r="AI12" s="46" t="e">
        <f>AH12/#REF!*100</f>
        <v>#REF!</v>
      </c>
      <c r="AJ12" s="46" t="e">
        <f>AI12*#REF!/100</f>
        <v>#REF!</v>
      </c>
      <c r="AK12" s="46" t="e">
        <f t="shared" si="8"/>
        <v>#REF!</v>
      </c>
      <c r="AL12" s="46" t="e">
        <f t="shared" si="2"/>
        <v>#REF!</v>
      </c>
      <c r="AM12" s="46" t="e">
        <f t="shared" si="9"/>
        <v>#REF!</v>
      </c>
      <c r="AN12" s="48">
        <v>845871</v>
      </c>
      <c r="AP12" s="74">
        <f>საპენსიო!D16</f>
        <v>39.715504978662871</v>
      </c>
      <c r="AQ12" s="74">
        <f>შშმპ!D13</f>
        <v>39.30952380952381</v>
      </c>
      <c r="AR12" s="9">
        <f t="shared" si="10"/>
        <v>39.512514394093344</v>
      </c>
      <c r="AS12" s="9">
        <f t="shared" si="11"/>
        <v>9.878128598523336</v>
      </c>
      <c r="AT12" s="9">
        <f t="shared" si="12"/>
        <v>118.53754318228003</v>
      </c>
      <c r="AU12" s="76">
        <f t="shared" si="3"/>
        <v>21407.673314924443</v>
      </c>
      <c r="AV12" s="76">
        <f t="shared" si="13"/>
        <v>85630.693259697771</v>
      </c>
    </row>
    <row r="13" spans="1:48" ht="51" customHeight="1">
      <c r="A13" s="16">
        <v>11</v>
      </c>
      <c r="B13" s="16" t="s">
        <v>69</v>
      </c>
      <c r="C13" s="16" t="s">
        <v>70</v>
      </c>
      <c r="D13" s="15" t="s">
        <v>71</v>
      </c>
      <c r="E13" s="78">
        <f t="shared" si="0"/>
        <v>44384.4</v>
      </c>
      <c r="F13" s="78">
        <f t="shared" si="1"/>
        <v>58376</v>
      </c>
      <c r="G13" s="78">
        <f t="shared" si="4"/>
        <v>107546.25</v>
      </c>
      <c r="H13" s="78">
        <f t="shared" si="5"/>
        <v>119633.25</v>
      </c>
      <c r="I13" s="6">
        <v>116872</v>
      </c>
      <c r="J13" s="6">
        <v>54518</v>
      </c>
      <c r="K13" s="6">
        <f>368+9138+18725</f>
        <v>28231</v>
      </c>
      <c r="L13" s="6">
        <f>504+13261+39087</f>
        <v>52852</v>
      </c>
      <c r="M13" s="6">
        <v>49931</v>
      </c>
      <c r="N13" s="6">
        <f>10476+25914</f>
        <v>36390</v>
      </c>
      <c r="O13" s="6">
        <v>53175</v>
      </c>
      <c r="P13" s="6">
        <v>16046</v>
      </c>
      <c r="Q13" s="6">
        <v>97151</v>
      </c>
      <c r="R13" s="6">
        <v>57469</v>
      </c>
      <c r="S13" s="6">
        <v>66296</v>
      </c>
      <c r="T13" s="6">
        <v>51563</v>
      </c>
      <c r="U13" s="6">
        <v>64649</v>
      </c>
      <c r="V13" s="6">
        <v>60659</v>
      </c>
      <c r="W13" s="6">
        <v>97657</v>
      </c>
      <c r="X13" s="6">
        <v>118246</v>
      </c>
      <c r="Y13" s="6">
        <v>107252</v>
      </c>
      <c r="Z13" s="6">
        <v>107030</v>
      </c>
      <c r="AA13" s="6">
        <v>117604</v>
      </c>
      <c r="AB13" s="27">
        <v>114148</v>
      </c>
      <c r="AC13" s="27">
        <v>124387</v>
      </c>
      <c r="AD13" s="27">
        <v>122394</v>
      </c>
      <c r="AE13" s="33">
        <f t="shared" si="6"/>
        <v>1714520</v>
      </c>
      <c r="AF13" s="33"/>
      <c r="AG13" s="36">
        <v>0.1205</v>
      </c>
      <c r="AH13" s="33">
        <f t="shared" si="7"/>
        <v>206599.66</v>
      </c>
      <c r="AI13" s="46" t="e">
        <f>AH13/#REF!*100</f>
        <v>#REF!</v>
      </c>
      <c r="AJ13" s="46" t="e">
        <f>AI13*#REF!/100</f>
        <v>#REF!</v>
      </c>
      <c r="AK13" s="46" t="e">
        <f t="shared" si="8"/>
        <v>#REF!</v>
      </c>
      <c r="AL13" s="46" t="e">
        <f t="shared" si="2"/>
        <v>#REF!</v>
      </c>
      <c r="AM13" s="46" t="e">
        <f t="shared" si="9"/>
        <v>#REF!</v>
      </c>
      <c r="AN13" s="48">
        <v>759525</v>
      </c>
      <c r="AP13" s="74">
        <f>საპენსიო!D10</f>
        <v>93.378066378066379</v>
      </c>
      <c r="AQ13" s="74">
        <f>შშმპ!D12</f>
        <v>103.70238095238095</v>
      </c>
      <c r="AR13" s="9">
        <f t="shared" si="10"/>
        <v>98.540223665223664</v>
      </c>
      <c r="AS13" s="9">
        <f t="shared" si="11"/>
        <v>24.635055916305916</v>
      </c>
      <c r="AT13" s="9">
        <f t="shared" si="12"/>
        <v>295.62067099567099</v>
      </c>
      <c r="AU13" s="76">
        <f t="shared" si="3"/>
        <v>7707.7661461412727</v>
      </c>
      <c r="AV13" s="76">
        <f t="shared" si="13"/>
        <v>30831.064584565091</v>
      </c>
    </row>
    <row r="14" spans="1:48" ht="46.5" customHeight="1">
      <c r="A14" s="16">
        <v>12</v>
      </c>
      <c r="B14" s="16" t="s">
        <v>72</v>
      </c>
      <c r="C14" s="16" t="s">
        <v>73</v>
      </c>
      <c r="D14" s="20" t="s">
        <v>74</v>
      </c>
      <c r="E14" s="78">
        <f t="shared" si="0"/>
        <v>48634.2</v>
      </c>
      <c r="F14" s="78">
        <f t="shared" si="1"/>
        <v>66894.25</v>
      </c>
      <c r="G14" s="78">
        <f t="shared" si="4"/>
        <v>100176.75</v>
      </c>
      <c r="H14" s="78">
        <f t="shared" si="5"/>
        <v>128898.75</v>
      </c>
      <c r="I14" s="6">
        <v>70352</v>
      </c>
      <c r="J14" s="6">
        <f>57648</f>
        <v>57648</v>
      </c>
      <c r="K14" s="6">
        <f>32988</f>
        <v>32988</v>
      </c>
      <c r="L14" s="6">
        <f>52491</f>
        <v>52491</v>
      </c>
      <c r="M14" s="6">
        <v>57398</v>
      </c>
      <c r="N14" s="6">
        <f>42646</f>
        <v>42646</v>
      </c>
      <c r="O14" s="6">
        <v>55777</v>
      </c>
      <c r="P14" s="6">
        <v>67473</v>
      </c>
      <c r="Q14" s="6">
        <v>63449</v>
      </c>
      <c r="R14" s="6">
        <v>61564</v>
      </c>
      <c r="S14" s="6">
        <v>82603</v>
      </c>
      <c r="T14" s="6">
        <v>62189</v>
      </c>
      <c r="U14" s="6">
        <v>68137</v>
      </c>
      <c r="V14" s="6">
        <v>73962</v>
      </c>
      <c r="W14" s="6">
        <v>131382</v>
      </c>
      <c r="X14" s="6">
        <v>164451</v>
      </c>
      <c r="Y14" s="6">
        <v>89377</v>
      </c>
      <c r="Z14" s="6">
        <v>15497</v>
      </c>
      <c r="AA14" s="6">
        <v>88710</v>
      </c>
      <c r="AB14" s="27">
        <v>128733</v>
      </c>
      <c r="AC14" s="27">
        <v>149378</v>
      </c>
      <c r="AD14" s="27">
        <v>148774</v>
      </c>
      <c r="AE14" s="33">
        <f t="shared" si="6"/>
        <v>1764979</v>
      </c>
      <c r="AF14" s="33"/>
      <c r="AG14" s="39">
        <v>0.09</v>
      </c>
      <c r="AH14" s="33">
        <f t="shared" si="7"/>
        <v>158848.10999999999</v>
      </c>
      <c r="AI14" s="46" t="e">
        <f>AH14/#REF!*100</f>
        <v>#REF!</v>
      </c>
      <c r="AJ14" s="46" t="e">
        <f>AI14*#REF!/100</f>
        <v>#REF!</v>
      </c>
      <c r="AK14" s="46" t="e">
        <f t="shared" si="8"/>
        <v>#REF!</v>
      </c>
      <c r="AL14" s="46" t="e">
        <f t="shared" si="2"/>
        <v>#REF!</v>
      </c>
      <c r="AM14" s="46" t="e">
        <f t="shared" si="9"/>
        <v>#REF!</v>
      </c>
      <c r="AN14" s="48">
        <v>156923</v>
      </c>
      <c r="AP14" s="74">
        <f>საპენსიო!D12</f>
        <v>70.693345742205679</v>
      </c>
      <c r="AQ14" s="74">
        <f>შშმპ!D7</f>
        <v>74.837837837837839</v>
      </c>
      <c r="AR14" s="9">
        <f t="shared" si="10"/>
        <v>72.765591790021759</v>
      </c>
      <c r="AS14" s="9">
        <f t="shared" si="11"/>
        <v>18.19139794750544</v>
      </c>
      <c r="AT14" s="9">
        <f t="shared" si="12"/>
        <v>218.29677537006529</v>
      </c>
      <c r="AU14" s="76">
        <f t="shared" si="3"/>
        <v>2156.5549889682698</v>
      </c>
      <c r="AV14" s="76">
        <f t="shared" si="13"/>
        <v>8626.219955873079</v>
      </c>
    </row>
    <row r="15" spans="1:48" ht="46.5" customHeight="1">
      <c r="A15" s="16">
        <v>13</v>
      </c>
      <c r="B15" s="16" t="s">
        <v>75</v>
      </c>
      <c r="C15" s="16" t="s">
        <v>75</v>
      </c>
      <c r="D15" s="20" t="s">
        <v>76</v>
      </c>
      <c r="E15" s="78"/>
      <c r="F15" s="78"/>
      <c r="G15" s="78">
        <f t="shared" si="4"/>
        <v>99656.5</v>
      </c>
      <c r="H15" s="78">
        <f t="shared" si="5"/>
        <v>67065.75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>
        <v>0</v>
      </c>
      <c r="Z15" s="6">
        <v>199313</v>
      </c>
      <c r="AA15" s="6">
        <v>138489</v>
      </c>
      <c r="AB15" s="27">
        <v>43957</v>
      </c>
      <c r="AC15" s="27">
        <v>53947</v>
      </c>
      <c r="AD15" s="27">
        <v>31870</v>
      </c>
      <c r="AE15" s="33">
        <f t="shared" si="6"/>
        <v>467576</v>
      </c>
      <c r="AF15" s="33"/>
      <c r="AG15" s="39">
        <v>0.105</v>
      </c>
      <c r="AH15" s="33">
        <f t="shared" si="7"/>
        <v>49095.479999999996</v>
      </c>
      <c r="AI15" s="46" t="e">
        <f>AH15/#REF!*100</f>
        <v>#REF!</v>
      </c>
      <c r="AJ15" s="46" t="e">
        <f>AI15*#REF!/100</f>
        <v>#REF!</v>
      </c>
      <c r="AK15" s="46" t="e">
        <f t="shared" si="8"/>
        <v>#REF!</v>
      </c>
      <c r="AL15" s="46" t="e">
        <f t="shared" si="2"/>
        <v>#REF!</v>
      </c>
      <c r="AM15" s="46" t="e">
        <f t="shared" si="9"/>
        <v>#REF!</v>
      </c>
      <c r="AN15" s="48">
        <v>1735389</v>
      </c>
      <c r="AP15" s="74">
        <f>საპენსიო!D11</f>
        <v>97.300604229607245</v>
      </c>
      <c r="AQ15" s="74">
        <f>შშმპ!D6</f>
        <v>99.151515151515156</v>
      </c>
      <c r="AR15" s="9">
        <f t="shared" si="10"/>
        <v>98.2260596905612</v>
      </c>
      <c r="AS15" s="9">
        <f t="shared" si="11"/>
        <v>24.5565149226403</v>
      </c>
      <c r="AT15" s="9">
        <f t="shared" si="12"/>
        <v>294.67817907168359</v>
      </c>
      <c r="AU15" s="76">
        <f t="shared" si="3"/>
        <v>17667.297308544668</v>
      </c>
      <c r="AV15" s="76">
        <f t="shared" si="13"/>
        <v>70669.189234178673</v>
      </c>
    </row>
    <row r="16" spans="1:48" ht="46.5" customHeight="1">
      <c r="A16" s="16">
        <v>14</v>
      </c>
      <c r="B16" s="16" t="s">
        <v>77</v>
      </c>
      <c r="C16" s="16" t="s">
        <v>78</v>
      </c>
      <c r="D16" s="20" t="s">
        <v>79</v>
      </c>
      <c r="E16" s="78"/>
      <c r="F16" s="78"/>
      <c r="G16" s="78">
        <f t="shared" si="4"/>
        <v>5203.5</v>
      </c>
      <c r="H16" s="78">
        <f t="shared" si="5"/>
        <v>13615.75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>
        <v>0</v>
      </c>
      <c r="Z16" s="6">
        <v>10407</v>
      </c>
      <c r="AA16" s="6">
        <v>11936</v>
      </c>
      <c r="AB16" s="27">
        <v>13690</v>
      </c>
      <c r="AC16" s="27">
        <v>14570</v>
      </c>
      <c r="AD16" s="27">
        <v>14267</v>
      </c>
      <c r="AE16" s="33">
        <f t="shared" si="6"/>
        <v>64870</v>
      </c>
      <c r="AF16" s="33"/>
      <c r="AG16" s="40">
        <v>0.23400000000000001</v>
      </c>
      <c r="AH16" s="33">
        <f t="shared" si="7"/>
        <v>15179.580000000002</v>
      </c>
      <c r="AI16" s="46" t="e">
        <f>AH16/#REF!*100</f>
        <v>#REF!</v>
      </c>
      <c r="AJ16" s="46" t="e">
        <f>AI16*#REF!/100</f>
        <v>#REF!</v>
      </c>
      <c r="AK16" s="46" t="e">
        <f t="shared" si="8"/>
        <v>#REF!</v>
      </c>
      <c r="AL16" s="46" t="e">
        <f t="shared" si="2"/>
        <v>#REF!</v>
      </c>
      <c r="AM16" s="46" t="e">
        <f t="shared" si="9"/>
        <v>#REF!</v>
      </c>
      <c r="AN16" s="48">
        <v>408402</v>
      </c>
      <c r="AP16" s="74">
        <f>საპენსიო!D13</f>
        <v>37.95945945945946</v>
      </c>
      <c r="AQ16" s="74">
        <f>შშმპ!D8</f>
        <v>32.18181818181818</v>
      </c>
      <c r="AR16" s="9">
        <f t="shared" si="10"/>
        <v>35.07063882063882</v>
      </c>
      <c r="AS16" s="9">
        <f t="shared" si="11"/>
        <v>8.7676597051597049</v>
      </c>
      <c r="AT16" s="9">
        <f t="shared" si="12"/>
        <v>105.21191646191646</v>
      </c>
      <c r="AU16" s="76">
        <f t="shared" si="3"/>
        <v>11645.12577283475</v>
      </c>
      <c r="AV16" s="76">
        <f t="shared" si="13"/>
        <v>46580.503091339</v>
      </c>
    </row>
    <row r="17" spans="1:48" ht="46.5" customHeight="1">
      <c r="A17" s="16">
        <v>15</v>
      </c>
      <c r="B17" s="21" t="s">
        <v>80</v>
      </c>
      <c r="C17" s="16" t="s">
        <v>81</v>
      </c>
      <c r="D17" s="20" t="s">
        <v>68</v>
      </c>
      <c r="E17" s="78"/>
      <c r="F17" s="78"/>
      <c r="G17" s="78">
        <f t="shared" si="4"/>
        <v>0</v>
      </c>
      <c r="H17" s="78">
        <f t="shared" si="5"/>
        <v>22701.5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>
        <v>0</v>
      </c>
      <c r="AA17" s="6">
        <v>9963</v>
      </c>
      <c r="AB17" s="27">
        <v>21402</v>
      </c>
      <c r="AC17" s="27">
        <v>23577</v>
      </c>
      <c r="AD17" s="27">
        <v>35864</v>
      </c>
      <c r="AE17" s="33">
        <f t="shared" si="6"/>
        <v>90806</v>
      </c>
      <c r="AF17" s="33"/>
      <c r="AG17" s="39">
        <v>0.316</v>
      </c>
      <c r="AH17" s="33">
        <f t="shared" si="7"/>
        <v>28694.696</v>
      </c>
      <c r="AI17" s="46" t="e">
        <f>AH17/#REF!*100</f>
        <v>#REF!</v>
      </c>
      <c r="AJ17" s="46" t="e">
        <f>AI17*#REF!/100</f>
        <v>#REF!</v>
      </c>
      <c r="AK17" s="46" t="e">
        <f t="shared" si="8"/>
        <v>#REF!</v>
      </c>
      <c r="AL17" s="46" t="e">
        <f t="shared" si="2"/>
        <v>#REF!</v>
      </c>
      <c r="AM17" s="46" t="e">
        <f t="shared" si="9"/>
        <v>#REF!</v>
      </c>
      <c r="AN17" s="48">
        <v>743338</v>
      </c>
      <c r="AP17" s="74"/>
      <c r="AQ17" s="74">
        <f>შშმპ!D28</f>
        <v>30</v>
      </c>
      <c r="AR17" s="9">
        <f t="shared" si="10"/>
        <v>30</v>
      </c>
      <c r="AS17" s="9">
        <f t="shared" si="11"/>
        <v>7.5</v>
      </c>
      <c r="AT17" s="9">
        <f t="shared" si="12"/>
        <v>90</v>
      </c>
      <c r="AU17" s="76">
        <f t="shared" si="3"/>
        <v>24777.933333333334</v>
      </c>
      <c r="AV17" s="76">
        <f t="shared" si="13"/>
        <v>99111.733333333337</v>
      </c>
    </row>
    <row r="18" spans="1:48" ht="46.5" customHeight="1">
      <c r="A18" s="16">
        <v>16</v>
      </c>
      <c r="B18" s="21" t="s">
        <v>82</v>
      </c>
      <c r="C18" s="16" t="s">
        <v>83</v>
      </c>
      <c r="D18" s="20" t="s">
        <v>68</v>
      </c>
      <c r="E18" s="78"/>
      <c r="F18" s="78"/>
      <c r="G18" s="78">
        <f t="shared" si="4"/>
        <v>92</v>
      </c>
      <c r="H18" s="78">
        <f t="shared" si="5"/>
        <v>41466.75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>
        <v>92</v>
      </c>
      <c r="AA18" s="6">
        <v>18621</v>
      </c>
      <c r="AB18" s="27">
        <v>37794</v>
      </c>
      <c r="AC18" s="27">
        <v>50309</v>
      </c>
      <c r="AD18" s="27">
        <v>59143</v>
      </c>
      <c r="AE18" s="33">
        <f t="shared" si="6"/>
        <v>165959</v>
      </c>
      <c r="AF18" s="33"/>
      <c r="AG18" s="39">
        <v>0.38</v>
      </c>
      <c r="AH18" s="33">
        <f t="shared" si="7"/>
        <v>63064.42</v>
      </c>
      <c r="AI18" s="46" t="e">
        <f>AH18/#REF!*100</f>
        <v>#REF!</v>
      </c>
      <c r="AJ18" s="46" t="e">
        <f>AI18*#REF!/100</f>
        <v>#REF!</v>
      </c>
      <c r="AK18" s="46" t="e">
        <f t="shared" si="8"/>
        <v>#REF!</v>
      </c>
      <c r="AN18" s="48">
        <v>851106</v>
      </c>
      <c r="AP18" s="74"/>
      <c r="AQ18" s="74"/>
      <c r="AR18" s="9"/>
      <c r="AS18" s="9">
        <f t="shared" si="11"/>
        <v>0</v>
      </c>
      <c r="AT18" s="9">
        <f t="shared" si="12"/>
        <v>0</v>
      </c>
      <c r="AU18" s="76"/>
    </row>
    <row r="19" spans="1:48" ht="46.5" customHeight="1">
      <c r="A19" s="16">
        <v>17</v>
      </c>
      <c r="B19" s="21" t="s">
        <v>84</v>
      </c>
      <c r="C19" s="16" t="s">
        <v>85</v>
      </c>
      <c r="D19" s="20" t="s">
        <v>86</v>
      </c>
      <c r="E19" s="78"/>
      <c r="F19" s="78"/>
      <c r="G19" s="78">
        <f t="shared" si="4"/>
        <v>14476</v>
      </c>
      <c r="H19" s="78">
        <f t="shared" si="5"/>
        <v>83265.75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>
        <v>14476</v>
      </c>
      <c r="AA19" s="6">
        <v>64466</v>
      </c>
      <c r="AB19" s="27">
        <v>102410</v>
      </c>
      <c r="AC19" s="27">
        <v>128627</v>
      </c>
      <c r="AD19" s="27">
        <v>37560</v>
      </c>
      <c r="AE19" s="33">
        <f t="shared" si="6"/>
        <v>347539</v>
      </c>
      <c r="AF19" s="33"/>
      <c r="AG19" s="36">
        <v>6.7500000000000004E-2</v>
      </c>
      <c r="AH19" s="33">
        <f t="shared" si="7"/>
        <v>23458.882500000003</v>
      </c>
      <c r="AI19" s="46" t="e">
        <f>AH19/#REF!*100</f>
        <v>#REF!</v>
      </c>
      <c r="AJ19" s="46" t="e">
        <f>AI19*#REF!/100</f>
        <v>#REF!</v>
      </c>
      <c r="AK19" s="46" t="e">
        <f t="shared" si="8"/>
        <v>#REF!</v>
      </c>
      <c r="AN19" s="48">
        <v>1812679</v>
      </c>
      <c r="AP19" s="74"/>
      <c r="AQ19" s="74"/>
      <c r="AR19" s="9"/>
      <c r="AS19" s="9">
        <f t="shared" si="11"/>
        <v>0</v>
      </c>
      <c r="AT19" s="9">
        <f t="shared" si="12"/>
        <v>0</v>
      </c>
      <c r="AU19" s="76"/>
    </row>
    <row r="20" spans="1:48" ht="46.5" customHeight="1">
      <c r="A20" s="16">
        <v>18</v>
      </c>
      <c r="B20" s="21" t="s">
        <v>87</v>
      </c>
      <c r="C20" s="16" t="s">
        <v>88</v>
      </c>
      <c r="D20" s="20" t="s">
        <v>89</v>
      </c>
      <c r="E20" s="78"/>
      <c r="F20" s="78"/>
      <c r="G20" s="78">
        <f t="shared" si="4"/>
        <v>152</v>
      </c>
      <c r="H20" s="78">
        <f t="shared" si="5"/>
        <v>34770.75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>
        <v>152</v>
      </c>
      <c r="AA20" s="6">
        <v>19619</v>
      </c>
      <c r="AB20" s="27">
        <v>36603</v>
      </c>
      <c r="AC20" s="27">
        <v>40167</v>
      </c>
      <c r="AD20" s="27">
        <v>42694</v>
      </c>
      <c r="AE20" s="33">
        <f t="shared" si="6"/>
        <v>139235</v>
      </c>
      <c r="AF20" s="33"/>
      <c r="AG20" s="39">
        <v>0.06</v>
      </c>
      <c r="AH20" s="33">
        <f t="shared" si="7"/>
        <v>8354.1</v>
      </c>
      <c r="AI20" s="46" t="e">
        <f>AH20/#REF!*100</f>
        <v>#REF!</v>
      </c>
      <c r="AJ20" s="46" t="e">
        <f>AI20*#REF!/100</f>
        <v>#REF!</v>
      </c>
      <c r="AK20" s="46" t="e">
        <f t="shared" si="8"/>
        <v>#REF!</v>
      </c>
      <c r="AL20" s="46" t="e">
        <f>AK20/AS20</f>
        <v>#REF!</v>
      </c>
      <c r="AM20" s="46" t="e">
        <f t="shared" si="9"/>
        <v>#REF!</v>
      </c>
      <c r="AN20" s="48">
        <v>1501133</v>
      </c>
      <c r="AP20" s="74">
        <f>საპენსიო!D29</f>
        <v>61</v>
      </c>
      <c r="AQ20" s="74"/>
      <c r="AR20" s="9">
        <f t="shared" si="10"/>
        <v>61</v>
      </c>
      <c r="AS20" s="9">
        <f t="shared" si="11"/>
        <v>15.25</v>
      </c>
      <c r="AT20" s="9">
        <f t="shared" si="12"/>
        <v>183</v>
      </c>
      <c r="AU20" s="76">
        <f>AN20/AR20</f>
        <v>24608.737704918032</v>
      </c>
    </row>
    <row r="21" spans="1:48" ht="46.5" customHeight="1">
      <c r="A21" s="16">
        <v>19</v>
      </c>
      <c r="B21" s="21" t="s">
        <v>90</v>
      </c>
      <c r="C21" s="21" t="s">
        <v>91</v>
      </c>
      <c r="D21" s="20" t="s">
        <v>86</v>
      </c>
      <c r="E21" s="78"/>
      <c r="F21" s="78"/>
      <c r="G21" s="78">
        <f t="shared" si="4"/>
        <v>5620</v>
      </c>
      <c r="H21" s="78">
        <f t="shared" si="5"/>
        <v>35194.75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>
        <v>5620</v>
      </c>
      <c r="AA21" s="6">
        <v>23666</v>
      </c>
      <c r="AB21" s="27">
        <v>35141</v>
      </c>
      <c r="AC21" s="27">
        <v>40081</v>
      </c>
      <c r="AD21" s="27">
        <v>41891</v>
      </c>
      <c r="AE21" s="33">
        <f t="shared" si="6"/>
        <v>146399</v>
      </c>
      <c r="AF21" s="33"/>
      <c r="AG21" s="40">
        <v>0.14899999999999999</v>
      </c>
      <c r="AH21" s="33">
        <f t="shared" si="7"/>
        <v>21813.450999999997</v>
      </c>
      <c r="AI21" s="46" t="e">
        <f>AH21/#REF!*100</f>
        <v>#REF!</v>
      </c>
      <c r="AJ21" s="46" t="e">
        <f>AI21*#REF!/100</f>
        <v>#REF!</v>
      </c>
      <c r="AK21" s="46" t="e">
        <f t="shared" si="8"/>
        <v>#REF!</v>
      </c>
      <c r="AL21" s="46" t="e">
        <f>AK21/AS21</f>
        <v>#REF!</v>
      </c>
      <c r="AM21" s="46" t="e">
        <f t="shared" si="9"/>
        <v>#REF!</v>
      </c>
      <c r="AN21" s="48">
        <v>1800628</v>
      </c>
      <c r="AP21" s="74">
        <f>საპენსიო!D35</f>
        <v>54.692307692307693</v>
      </c>
      <c r="AQ21" s="74">
        <f>შშმპ!D36</f>
        <v>38</v>
      </c>
      <c r="AR21" s="9">
        <f t="shared" si="10"/>
        <v>46.346153846153847</v>
      </c>
      <c r="AS21" s="9">
        <f t="shared" si="11"/>
        <v>11.586538461538462</v>
      </c>
      <c r="AT21" s="9">
        <f t="shared" si="12"/>
        <v>139.03846153846155</v>
      </c>
      <c r="AU21" s="76">
        <f>AN21/AR21</f>
        <v>38851.724481327801</v>
      </c>
    </row>
    <row r="22" spans="1:48" ht="46.5" customHeight="1">
      <c r="A22" s="16">
        <v>20</v>
      </c>
      <c r="B22" s="21" t="s">
        <v>92</v>
      </c>
      <c r="C22" s="16" t="s">
        <v>93</v>
      </c>
      <c r="D22" s="20" t="s">
        <v>94</v>
      </c>
      <c r="E22" s="78"/>
      <c r="F22" s="78"/>
      <c r="G22" s="78">
        <f t="shared" si="4"/>
        <v>16901</v>
      </c>
      <c r="H22" s="78">
        <f t="shared" si="5"/>
        <v>132485.75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>
        <v>16901</v>
      </c>
      <c r="AA22" s="6">
        <v>84884</v>
      </c>
      <c r="AB22" s="27">
        <v>131581</v>
      </c>
      <c r="AC22" s="27">
        <v>153370</v>
      </c>
      <c r="AD22" s="27">
        <v>160108</v>
      </c>
      <c r="AE22" s="33">
        <f t="shared" si="6"/>
        <v>546844</v>
      </c>
      <c r="AF22" s="33"/>
      <c r="AG22" s="39">
        <v>7.2099999999999997E-2</v>
      </c>
      <c r="AH22" s="33">
        <f t="shared" si="7"/>
        <v>39427.452400000002</v>
      </c>
      <c r="AI22" s="46" t="e">
        <f>AH22/#REF!*100</f>
        <v>#REF!</v>
      </c>
      <c r="AJ22" s="46" t="e">
        <f>AI22*#REF!/100</f>
        <v>#REF!</v>
      </c>
      <c r="AK22" s="46" t="e">
        <f t="shared" si="8"/>
        <v>#REF!</v>
      </c>
      <c r="AL22" s="46" t="e">
        <f>AK22/AS22</f>
        <v>#REF!</v>
      </c>
      <c r="AM22" s="46" t="e">
        <f t="shared" si="9"/>
        <v>#REF!</v>
      </c>
      <c r="AN22" s="48">
        <v>20329792</v>
      </c>
      <c r="AP22" s="74">
        <f>საპენსიო!D31</f>
        <v>72.359649122807014</v>
      </c>
      <c r="AQ22" s="74">
        <f>შშმპ!D31</f>
        <v>65.428571428571431</v>
      </c>
      <c r="AR22" s="9">
        <f t="shared" si="10"/>
        <v>68.894110275689229</v>
      </c>
      <c r="AS22" s="9">
        <f t="shared" si="11"/>
        <v>17.223527568922307</v>
      </c>
      <c r="AT22" s="9">
        <f t="shared" si="12"/>
        <v>206.68233082706769</v>
      </c>
      <c r="AU22" s="76">
        <f>AN22/AR22</f>
        <v>295087.517911873</v>
      </c>
    </row>
    <row r="23" spans="1:48" ht="46.5" customHeight="1">
      <c r="A23" s="16">
        <v>21</v>
      </c>
      <c r="B23" s="21" t="s">
        <v>95</v>
      </c>
      <c r="C23" s="16" t="s">
        <v>96</v>
      </c>
      <c r="D23" s="20" t="s">
        <v>97</v>
      </c>
      <c r="E23" s="78"/>
      <c r="F23" s="78"/>
      <c r="G23" s="78">
        <f t="shared" si="4"/>
        <v>2114</v>
      </c>
      <c r="H23" s="78">
        <f t="shared" si="5"/>
        <v>21529.5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>
        <v>2114</v>
      </c>
      <c r="AA23" s="6">
        <v>15922</v>
      </c>
      <c r="AB23" s="27">
        <v>19185</v>
      </c>
      <c r="AC23" s="27">
        <v>23726</v>
      </c>
      <c r="AD23" s="27">
        <v>27285</v>
      </c>
      <c r="AE23" s="33">
        <f t="shared" si="6"/>
        <v>88232</v>
      </c>
      <c r="AF23" s="33"/>
      <c r="AG23" s="39">
        <v>0.08</v>
      </c>
      <c r="AH23" s="33">
        <f t="shared" si="7"/>
        <v>7058.56</v>
      </c>
      <c r="AI23" s="46" t="e">
        <f>AH23/#REF!*100</f>
        <v>#REF!</v>
      </c>
      <c r="AJ23" s="46" t="e">
        <f>AI23*#REF!/100</f>
        <v>#REF!</v>
      </c>
      <c r="AK23" s="46" t="e">
        <f t="shared" si="8"/>
        <v>#REF!</v>
      </c>
      <c r="AL23" s="46" t="e">
        <f>AK23/AS23</f>
        <v>#REF!</v>
      </c>
      <c r="AM23" s="46" t="e">
        <f t="shared" si="9"/>
        <v>#REF!</v>
      </c>
      <c r="AN23" s="48">
        <v>4642341</v>
      </c>
      <c r="AP23" s="74">
        <f>საპენსიო!D30</f>
        <v>59.736842105263158</v>
      </c>
      <c r="AQ23" s="74"/>
      <c r="AR23" s="9">
        <f t="shared" si="10"/>
        <v>59.736842105263158</v>
      </c>
      <c r="AS23" s="9">
        <f t="shared" si="11"/>
        <v>14.934210526315789</v>
      </c>
      <c r="AT23" s="9">
        <f t="shared" si="12"/>
        <v>179.21052631578948</v>
      </c>
      <c r="AU23" s="76">
        <f>AN23/AR23</f>
        <v>77713.197356828197</v>
      </c>
    </row>
  </sheetData>
  <mergeCells count="1">
    <mergeCell ref="A2:A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opLeftCell="A3" workbookViewId="0">
      <selection activeCell="B1" sqref="B1:H10"/>
    </sheetView>
  </sheetViews>
  <sheetFormatPr defaultRowHeight="15"/>
  <cols>
    <col min="1" max="1" width="4" style="2" customWidth="1"/>
    <col min="2" max="2" width="24.42578125" style="2" customWidth="1"/>
    <col min="3" max="3" width="19.85546875" style="2" hidden="1" customWidth="1"/>
    <col min="4" max="4" width="9.28515625" style="2" hidden="1" customWidth="1"/>
    <col min="5" max="6" width="11.85546875" style="79" hidden="1" customWidth="1"/>
    <col min="7" max="8" width="11.85546875" style="79" customWidth="1"/>
    <col min="9" max="9" width="8.28515625" style="2" hidden="1" customWidth="1"/>
    <col min="10" max="10" width="0" style="2" hidden="1" customWidth="1"/>
    <col min="11" max="13" width="7.5703125" style="2" hidden="1" customWidth="1"/>
    <col min="14" max="14" width="10.28515625" style="2" hidden="1" customWidth="1"/>
    <col min="15" max="15" width="10.5703125" style="2" hidden="1" customWidth="1"/>
    <col min="16" max="16" width="11.140625" style="2" hidden="1" customWidth="1"/>
    <col min="17" max="17" width="10.42578125" style="2" hidden="1" customWidth="1"/>
    <col min="18" max="25" width="11" style="2" hidden="1" customWidth="1"/>
    <col min="26" max="27" width="11" style="3" hidden="1" customWidth="1"/>
    <col min="28" max="28" width="8.28515625" style="31" hidden="1" customWidth="1"/>
    <col min="29" max="29" width="9.85546875" style="31" hidden="1" customWidth="1"/>
    <col min="30" max="30" width="9.28515625" style="31" hidden="1" customWidth="1"/>
    <col min="31" max="32" width="15.28515625" style="2" hidden="1" customWidth="1"/>
    <col min="33" max="33" width="12.5703125" style="45" hidden="1" customWidth="1"/>
    <col min="34" max="34" width="20.7109375" style="33" hidden="1" customWidth="1"/>
    <col min="35" max="39" width="20.7109375" style="46" hidden="1" customWidth="1"/>
    <col min="40" max="40" width="12.42578125" style="49" hidden="1" customWidth="1"/>
    <col min="41" max="41" width="38.5703125" style="2" hidden="1" customWidth="1"/>
    <col min="42" max="42" width="0" style="73" hidden="1" customWidth="1"/>
    <col min="43" max="46" width="0" style="2" hidden="1" customWidth="1"/>
    <col min="47" max="47" width="13.140625" style="2" hidden="1" customWidth="1"/>
    <col min="48" max="48" width="16.7109375" style="2" hidden="1" customWidth="1"/>
    <col min="49" max="66" width="0" style="2" hidden="1" customWidth="1"/>
    <col min="67" max="260" width="9.140625" style="2"/>
    <col min="261" max="261" width="4" style="2" customWidth="1"/>
    <col min="262" max="262" width="24.42578125" style="2" customWidth="1"/>
    <col min="263" max="263" width="19.85546875" style="2" customWidth="1"/>
    <col min="264" max="264" width="9.28515625" style="2" customWidth="1"/>
    <col min="265" max="265" width="10" style="2" customWidth="1"/>
    <col min="266" max="266" width="8.42578125" style="2" customWidth="1"/>
    <col min="267" max="267" width="12.28515625" style="2" customWidth="1"/>
    <col min="268" max="268" width="7.5703125" style="2" customWidth="1"/>
    <col min="269" max="269" width="7.85546875" style="2" customWidth="1"/>
    <col min="270" max="270" width="8.28515625" style="2" customWidth="1"/>
    <col min="271" max="271" width="9.140625" style="2"/>
    <col min="272" max="274" width="7.5703125" style="2" customWidth="1"/>
    <col min="275" max="275" width="10.28515625" style="2" customWidth="1"/>
    <col min="276" max="276" width="10.5703125" style="2" customWidth="1"/>
    <col min="277" max="277" width="11.140625" style="2" customWidth="1"/>
    <col min="278" max="278" width="10.42578125" style="2" customWidth="1"/>
    <col min="279" max="288" width="11" style="2" customWidth="1"/>
    <col min="289" max="289" width="9.140625" style="2" customWidth="1"/>
    <col min="290" max="290" width="6.85546875" style="2" customWidth="1"/>
    <col min="291" max="291" width="15" style="2" bestFit="1" customWidth="1"/>
    <col min="292" max="516" width="9.140625" style="2"/>
    <col min="517" max="517" width="4" style="2" customWidth="1"/>
    <col min="518" max="518" width="24.42578125" style="2" customWidth="1"/>
    <col min="519" max="519" width="19.85546875" style="2" customWidth="1"/>
    <col min="520" max="520" width="9.28515625" style="2" customWidth="1"/>
    <col min="521" max="521" width="10" style="2" customWidth="1"/>
    <col min="522" max="522" width="8.42578125" style="2" customWidth="1"/>
    <col min="523" max="523" width="12.28515625" style="2" customWidth="1"/>
    <col min="524" max="524" width="7.5703125" style="2" customWidth="1"/>
    <col min="525" max="525" width="7.85546875" style="2" customWidth="1"/>
    <col min="526" max="526" width="8.28515625" style="2" customWidth="1"/>
    <col min="527" max="527" width="9.140625" style="2"/>
    <col min="528" max="530" width="7.5703125" style="2" customWidth="1"/>
    <col min="531" max="531" width="10.28515625" style="2" customWidth="1"/>
    <col min="532" max="532" width="10.5703125" style="2" customWidth="1"/>
    <col min="533" max="533" width="11.140625" style="2" customWidth="1"/>
    <col min="534" max="534" width="10.42578125" style="2" customWidth="1"/>
    <col min="535" max="544" width="11" style="2" customWidth="1"/>
    <col min="545" max="545" width="9.140625" style="2" customWidth="1"/>
    <col min="546" max="546" width="6.85546875" style="2" customWidth="1"/>
    <col min="547" max="547" width="15" style="2" bestFit="1" customWidth="1"/>
    <col min="548" max="772" width="9.140625" style="2"/>
    <col min="773" max="773" width="4" style="2" customWidth="1"/>
    <col min="774" max="774" width="24.42578125" style="2" customWidth="1"/>
    <col min="775" max="775" width="19.85546875" style="2" customWidth="1"/>
    <col min="776" max="776" width="9.28515625" style="2" customWidth="1"/>
    <col min="777" max="777" width="10" style="2" customWidth="1"/>
    <col min="778" max="778" width="8.42578125" style="2" customWidth="1"/>
    <col min="779" max="779" width="12.28515625" style="2" customWidth="1"/>
    <col min="780" max="780" width="7.5703125" style="2" customWidth="1"/>
    <col min="781" max="781" width="7.85546875" style="2" customWidth="1"/>
    <col min="782" max="782" width="8.28515625" style="2" customWidth="1"/>
    <col min="783" max="783" width="9.140625" style="2"/>
    <col min="784" max="786" width="7.5703125" style="2" customWidth="1"/>
    <col min="787" max="787" width="10.28515625" style="2" customWidth="1"/>
    <col min="788" max="788" width="10.5703125" style="2" customWidth="1"/>
    <col min="789" max="789" width="11.140625" style="2" customWidth="1"/>
    <col min="790" max="790" width="10.42578125" style="2" customWidth="1"/>
    <col min="791" max="800" width="11" style="2" customWidth="1"/>
    <col min="801" max="801" width="9.140625" style="2" customWidth="1"/>
    <col min="802" max="802" width="6.85546875" style="2" customWidth="1"/>
    <col min="803" max="803" width="15" style="2" bestFit="1" customWidth="1"/>
    <col min="804" max="1028" width="9.140625" style="2"/>
    <col min="1029" max="1029" width="4" style="2" customWidth="1"/>
    <col min="1030" max="1030" width="24.42578125" style="2" customWidth="1"/>
    <col min="1031" max="1031" width="19.85546875" style="2" customWidth="1"/>
    <col min="1032" max="1032" width="9.28515625" style="2" customWidth="1"/>
    <col min="1033" max="1033" width="10" style="2" customWidth="1"/>
    <col min="1034" max="1034" width="8.42578125" style="2" customWidth="1"/>
    <col min="1035" max="1035" width="12.28515625" style="2" customWidth="1"/>
    <col min="1036" max="1036" width="7.5703125" style="2" customWidth="1"/>
    <col min="1037" max="1037" width="7.85546875" style="2" customWidth="1"/>
    <col min="1038" max="1038" width="8.28515625" style="2" customWidth="1"/>
    <col min="1039" max="1039" width="9.140625" style="2"/>
    <col min="1040" max="1042" width="7.5703125" style="2" customWidth="1"/>
    <col min="1043" max="1043" width="10.28515625" style="2" customWidth="1"/>
    <col min="1044" max="1044" width="10.5703125" style="2" customWidth="1"/>
    <col min="1045" max="1045" width="11.140625" style="2" customWidth="1"/>
    <col min="1046" max="1046" width="10.42578125" style="2" customWidth="1"/>
    <col min="1047" max="1056" width="11" style="2" customWidth="1"/>
    <col min="1057" max="1057" width="9.140625" style="2" customWidth="1"/>
    <col min="1058" max="1058" width="6.85546875" style="2" customWidth="1"/>
    <col min="1059" max="1059" width="15" style="2" bestFit="1" customWidth="1"/>
    <col min="1060" max="1284" width="9.140625" style="2"/>
    <col min="1285" max="1285" width="4" style="2" customWidth="1"/>
    <col min="1286" max="1286" width="24.42578125" style="2" customWidth="1"/>
    <col min="1287" max="1287" width="19.85546875" style="2" customWidth="1"/>
    <col min="1288" max="1288" width="9.28515625" style="2" customWidth="1"/>
    <col min="1289" max="1289" width="10" style="2" customWidth="1"/>
    <col min="1290" max="1290" width="8.42578125" style="2" customWidth="1"/>
    <col min="1291" max="1291" width="12.28515625" style="2" customWidth="1"/>
    <col min="1292" max="1292" width="7.5703125" style="2" customWidth="1"/>
    <col min="1293" max="1293" width="7.85546875" style="2" customWidth="1"/>
    <col min="1294" max="1294" width="8.28515625" style="2" customWidth="1"/>
    <col min="1295" max="1295" width="9.140625" style="2"/>
    <col min="1296" max="1298" width="7.5703125" style="2" customWidth="1"/>
    <col min="1299" max="1299" width="10.28515625" style="2" customWidth="1"/>
    <col min="1300" max="1300" width="10.5703125" style="2" customWidth="1"/>
    <col min="1301" max="1301" width="11.140625" style="2" customWidth="1"/>
    <col min="1302" max="1302" width="10.42578125" style="2" customWidth="1"/>
    <col min="1303" max="1312" width="11" style="2" customWidth="1"/>
    <col min="1313" max="1313" width="9.140625" style="2" customWidth="1"/>
    <col min="1314" max="1314" width="6.85546875" style="2" customWidth="1"/>
    <col min="1315" max="1315" width="15" style="2" bestFit="1" customWidth="1"/>
    <col min="1316" max="1540" width="9.140625" style="2"/>
    <col min="1541" max="1541" width="4" style="2" customWidth="1"/>
    <col min="1542" max="1542" width="24.42578125" style="2" customWidth="1"/>
    <col min="1543" max="1543" width="19.85546875" style="2" customWidth="1"/>
    <col min="1544" max="1544" width="9.28515625" style="2" customWidth="1"/>
    <col min="1545" max="1545" width="10" style="2" customWidth="1"/>
    <col min="1546" max="1546" width="8.42578125" style="2" customWidth="1"/>
    <col min="1547" max="1547" width="12.28515625" style="2" customWidth="1"/>
    <col min="1548" max="1548" width="7.5703125" style="2" customWidth="1"/>
    <col min="1549" max="1549" width="7.85546875" style="2" customWidth="1"/>
    <col min="1550" max="1550" width="8.28515625" style="2" customWidth="1"/>
    <col min="1551" max="1551" width="9.140625" style="2"/>
    <col min="1552" max="1554" width="7.5703125" style="2" customWidth="1"/>
    <col min="1555" max="1555" width="10.28515625" style="2" customWidth="1"/>
    <col min="1556" max="1556" width="10.5703125" style="2" customWidth="1"/>
    <col min="1557" max="1557" width="11.140625" style="2" customWidth="1"/>
    <col min="1558" max="1558" width="10.42578125" style="2" customWidth="1"/>
    <col min="1559" max="1568" width="11" style="2" customWidth="1"/>
    <col min="1569" max="1569" width="9.140625" style="2" customWidth="1"/>
    <col min="1570" max="1570" width="6.85546875" style="2" customWidth="1"/>
    <col min="1571" max="1571" width="15" style="2" bestFit="1" customWidth="1"/>
    <col min="1572" max="1796" width="9.140625" style="2"/>
    <col min="1797" max="1797" width="4" style="2" customWidth="1"/>
    <col min="1798" max="1798" width="24.42578125" style="2" customWidth="1"/>
    <col min="1799" max="1799" width="19.85546875" style="2" customWidth="1"/>
    <col min="1800" max="1800" width="9.28515625" style="2" customWidth="1"/>
    <col min="1801" max="1801" width="10" style="2" customWidth="1"/>
    <col min="1802" max="1802" width="8.42578125" style="2" customWidth="1"/>
    <col min="1803" max="1803" width="12.28515625" style="2" customWidth="1"/>
    <col min="1804" max="1804" width="7.5703125" style="2" customWidth="1"/>
    <col min="1805" max="1805" width="7.85546875" style="2" customWidth="1"/>
    <col min="1806" max="1806" width="8.28515625" style="2" customWidth="1"/>
    <col min="1807" max="1807" width="9.140625" style="2"/>
    <col min="1808" max="1810" width="7.5703125" style="2" customWidth="1"/>
    <col min="1811" max="1811" width="10.28515625" style="2" customWidth="1"/>
    <col min="1812" max="1812" width="10.5703125" style="2" customWidth="1"/>
    <col min="1813" max="1813" width="11.140625" style="2" customWidth="1"/>
    <col min="1814" max="1814" width="10.42578125" style="2" customWidth="1"/>
    <col min="1815" max="1824" width="11" style="2" customWidth="1"/>
    <col min="1825" max="1825" width="9.140625" style="2" customWidth="1"/>
    <col min="1826" max="1826" width="6.85546875" style="2" customWidth="1"/>
    <col min="1827" max="1827" width="15" style="2" bestFit="1" customWidth="1"/>
    <col min="1828" max="2052" width="9.140625" style="2"/>
    <col min="2053" max="2053" width="4" style="2" customWidth="1"/>
    <col min="2054" max="2054" width="24.42578125" style="2" customWidth="1"/>
    <col min="2055" max="2055" width="19.85546875" style="2" customWidth="1"/>
    <col min="2056" max="2056" width="9.28515625" style="2" customWidth="1"/>
    <col min="2057" max="2057" width="10" style="2" customWidth="1"/>
    <col min="2058" max="2058" width="8.42578125" style="2" customWidth="1"/>
    <col min="2059" max="2059" width="12.28515625" style="2" customWidth="1"/>
    <col min="2060" max="2060" width="7.5703125" style="2" customWidth="1"/>
    <col min="2061" max="2061" width="7.85546875" style="2" customWidth="1"/>
    <col min="2062" max="2062" width="8.28515625" style="2" customWidth="1"/>
    <col min="2063" max="2063" width="9.140625" style="2"/>
    <col min="2064" max="2066" width="7.5703125" style="2" customWidth="1"/>
    <col min="2067" max="2067" width="10.28515625" style="2" customWidth="1"/>
    <col min="2068" max="2068" width="10.5703125" style="2" customWidth="1"/>
    <col min="2069" max="2069" width="11.140625" style="2" customWidth="1"/>
    <col min="2070" max="2070" width="10.42578125" style="2" customWidth="1"/>
    <col min="2071" max="2080" width="11" style="2" customWidth="1"/>
    <col min="2081" max="2081" width="9.140625" style="2" customWidth="1"/>
    <col min="2082" max="2082" width="6.85546875" style="2" customWidth="1"/>
    <col min="2083" max="2083" width="15" style="2" bestFit="1" customWidth="1"/>
    <col min="2084" max="2308" width="9.140625" style="2"/>
    <col min="2309" max="2309" width="4" style="2" customWidth="1"/>
    <col min="2310" max="2310" width="24.42578125" style="2" customWidth="1"/>
    <col min="2311" max="2311" width="19.85546875" style="2" customWidth="1"/>
    <col min="2312" max="2312" width="9.28515625" style="2" customWidth="1"/>
    <col min="2313" max="2313" width="10" style="2" customWidth="1"/>
    <col min="2314" max="2314" width="8.42578125" style="2" customWidth="1"/>
    <col min="2315" max="2315" width="12.28515625" style="2" customWidth="1"/>
    <col min="2316" max="2316" width="7.5703125" style="2" customWidth="1"/>
    <col min="2317" max="2317" width="7.85546875" style="2" customWidth="1"/>
    <col min="2318" max="2318" width="8.28515625" style="2" customWidth="1"/>
    <col min="2319" max="2319" width="9.140625" style="2"/>
    <col min="2320" max="2322" width="7.5703125" style="2" customWidth="1"/>
    <col min="2323" max="2323" width="10.28515625" style="2" customWidth="1"/>
    <col min="2324" max="2324" width="10.5703125" style="2" customWidth="1"/>
    <col min="2325" max="2325" width="11.140625" style="2" customWidth="1"/>
    <col min="2326" max="2326" width="10.42578125" style="2" customWidth="1"/>
    <col min="2327" max="2336" width="11" style="2" customWidth="1"/>
    <col min="2337" max="2337" width="9.140625" style="2" customWidth="1"/>
    <col min="2338" max="2338" width="6.85546875" style="2" customWidth="1"/>
    <col min="2339" max="2339" width="15" style="2" bestFit="1" customWidth="1"/>
    <col min="2340" max="2564" width="9.140625" style="2"/>
    <col min="2565" max="2565" width="4" style="2" customWidth="1"/>
    <col min="2566" max="2566" width="24.42578125" style="2" customWidth="1"/>
    <col min="2567" max="2567" width="19.85546875" style="2" customWidth="1"/>
    <col min="2568" max="2568" width="9.28515625" style="2" customWidth="1"/>
    <col min="2569" max="2569" width="10" style="2" customWidth="1"/>
    <col min="2570" max="2570" width="8.42578125" style="2" customWidth="1"/>
    <col min="2571" max="2571" width="12.28515625" style="2" customWidth="1"/>
    <col min="2572" max="2572" width="7.5703125" style="2" customWidth="1"/>
    <col min="2573" max="2573" width="7.85546875" style="2" customWidth="1"/>
    <col min="2574" max="2574" width="8.28515625" style="2" customWidth="1"/>
    <col min="2575" max="2575" width="9.140625" style="2"/>
    <col min="2576" max="2578" width="7.5703125" style="2" customWidth="1"/>
    <col min="2579" max="2579" width="10.28515625" style="2" customWidth="1"/>
    <col min="2580" max="2580" width="10.5703125" style="2" customWidth="1"/>
    <col min="2581" max="2581" width="11.140625" style="2" customWidth="1"/>
    <col min="2582" max="2582" width="10.42578125" style="2" customWidth="1"/>
    <col min="2583" max="2592" width="11" style="2" customWidth="1"/>
    <col min="2593" max="2593" width="9.140625" style="2" customWidth="1"/>
    <col min="2594" max="2594" width="6.85546875" style="2" customWidth="1"/>
    <col min="2595" max="2595" width="15" style="2" bestFit="1" customWidth="1"/>
    <col min="2596" max="2820" width="9.140625" style="2"/>
    <col min="2821" max="2821" width="4" style="2" customWidth="1"/>
    <col min="2822" max="2822" width="24.42578125" style="2" customWidth="1"/>
    <col min="2823" max="2823" width="19.85546875" style="2" customWidth="1"/>
    <col min="2824" max="2824" width="9.28515625" style="2" customWidth="1"/>
    <col min="2825" max="2825" width="10" style="2" customWidth="1"/>
    <col min="2826" max="2826" width="8.42578125" style="2" customWidth="1"/>
    <col min="2827" max="2827" width="12.28515625" style="2" customWidth="1"/>
    <col min="2828" max="2828" width="7.5703125" style="2" customWidth="1"/>
    <col min="2829" max="2829" width="7.85546875" style="2" customWidth="1"/>
    <col min="2830" max="2830" width="8.28515625" style="2" customWidth="1"/>
    <col min="2831" max="2831" width="9.140625" style="2"/>
    <col min="2832" max="2834" width="7.5703125" style="2" customWidth="1"/>
    <col min="2835" max="2835" width="10.28515625" style="2" customWidth="1"/>
    <col min="2836" max="2836" width="10.5703125" style="2" customWidth="1"/>
    <col min="2837" max="2837" width="11.140625" style="2" customWidth="1"/>
    <col min="2838" max="2838" width="10.42578125" style="2" customWidth="1"/>
    <col min="2839" max="2848" width="11" style="2" customWidth="1"/>
    <col min="2849" max="2849" width="9.140625" style="2" customWidth="1"/>
    <col min="2850" max="2850" width="6.85546875" style="2" customWidth="1"/>
    <col min="2851" max="2851" width="15" style="2" bestFit="1" customWidth="1"/>
    <col min="2852" max="3076" width="9.140625" style="2"/>
    <col min="3077" max="3077" width="4" style="2" customWidth="1"/>
    <col min="3078" max="3078" width="24.42578125" style="2" customWidth="1"/>
    <col min="3079" max="3079" width="19.85546875" style="2" customWidth="1"/>
    <col min="3080" max="3080" width="9.28515625" style="2" customWidth="1"/>
    <col min="3081" max="3081" width="10" style="2" customWidth="1"/>
    <col min="3082" max="3082" width="8.42578125" style="2" customWidth="1"/>
    <col min="3083" max="3083" width="12.28515625" style="2" customWidth="1"/>
    <col min="3084" max="3084" width="7.5703125" style="2" customWidth="1"/>
    <col min="3085" max="3085" width="7.85546875" style="2" customWidth="1"/>
    <col min="3086" max="3086" width="8.28515625" style="2" customWidth="1"/>
    <col min="3087" max="3087" width="9.140625" style="2"/>
    <col min="3088" max="3090" width="7.5703125" style="2" customWidth="1"/>
    <col min="3091" max="3091" width="10.28515625" style="2" customWidth="1"/>
    <col min="3092" max="3092" width="10.5703125" style="2" customWidth="1"/>
    <col min="3093" max="3093" width="11.140625" style="2" customWidth="1"/>
    <col min="3094" max="3094" width="10.42578125" style="2" customWidth="1"/>
    <col min="3095" max="3104" width="11" style="2" customWidth="1"/>
    <col min="3105" max="3105" width="9.140625" style="2" customWidth="1"/>
    <col min="3106" max="3106" width="6.85546875" style="2" customWidth="1"/>
    <col min="3107" max="3107" width="15" style="2" bestFit="1" customWidth="1"/>
    <col min="3108" max="3332" width="9.140625" style="2"/>
    <col min="3333" max="3333" width="4" style="2" customWidth="1"/>
    <col min="3334" max="3334" width="24.42578125" style="2" customWidth="1"/>
    <col min="3335" max="3335" width="19.85546875" style="2" customWidth="1"/>
    <col min="3336" max="3336" width="9.28515625" style="2" customWidth="1"/>
    <col min="3337" max="3337" width="10" style="2" customWidth="1"/>
    <col min="3338" max="3338" width="8.42578125" style="2" customWidth="1"/>
    <col min="3339" max="3339" width="12.28515625" style="2" customWidth="1"/>
    <col min="3340" max="3340" width="7.5703125" style="2" customWidth="1"/>
    <col min="3341" max="3341" width="7.85546875" style="2" customWidth="1"/>
    <col min="3342" max="3342" width="8.28515625" style="2" customWidth="1"/>
    <col min="3343" max="3343" width="9.140625" style="2"/>
    <col min="3344" max="3346" width="7.5703125" style="2" customWidth="1"/>
    <col min="3347" max="3347" width="10.28515625" style="2" customWidth="1"/>
    <col min="3348" max="3348" width="10.5703125" style="2" customWidth="1"/>
    <col min="3349" max="3349" width="11.140625" style="2" customWidth="1"/>
    <col min="3350" max="3350" width="10.42578125" style="2" customWidth="1"/>
    <col min="3351" max="3360" width="11" style="2" customWidth="1"/>
    <col min="3361" max="3361" width="9.140625" style="2" customWidth="1"/>
    <col min="3362" max="3362" width="6.85546875" style="2" customWidth="1"/>
    <col min="3363" max="3363" width="15" style="2" bestFit="1" customWidth="1"/>
    <col min="3364" max="3588" width="9.140625" style="2"/>
    <col min="3589" max="3589" width="4" style="2" customWidth="1"/>
    <col min="3590" max="3590" width="24.42578125" style="2" customWidth="1"/>
    <col min="3591" max="3591" width="19.85546875" style="2" customWidth="1"/>
    <col min="3592" max="3592" width="9.28515625" style="2" customWidth="1"/>
    <col min="3593" max="3593" width="10" style="2" customWidth="1"/>
    <col min="3594" max="3594" width="8.42578125" style="2" customWidth="1"/>
    <col min="3595" max="3595" width="12.28515625" style="2" customWidth="1"/>
    <col min="3596" max="3596" width="7.5703125" style="2" customWidth="1"/>
    <col min="3597" max="3597" width="7.85546875" style="2" customWidth="1"/>
    <col min="3598" max="3598" width="8.28515625" style="2" customWidth="1"/>
    <col min="3599" max="3599" width="9.140625" style="2"/>
    <col min="3600" max="3602" width="7.5703125" style="2" customWidth="1"/>
    <col min="3603" max="3603" width="10.28515625" style="2" customWidth="1"/>
    <col min="3604" max="3604" width="10.5703125" style="2" customWidth="1"/>
    <col min="3605" max="3605" width="11.140625" style="2" customWidth="1"/>
    <col min="3606" max="3606" width="10.42578125" style="2" customWidth="1"/>
    <col min="3607" max="3616" width="11" style="2" customWidth="1"/>
    <col min="3617" max="3617" width="9.140625" style="2" customWidth="1"/>
    <col min="3618" max="3618" width="6.85546875" style="2" customWidth="1"/>
    <col min="3619" max="3619" width="15" style="2" bestFit="1" customWidth="1"/>
    <col min="3620" max="3844" width="9.140625" style="2"/>
    <col min="3845" max="3845" width="4" style="2" customWidth="1"/>
    <col min="3846" max="3846" width="24.42578125" style="2" customWidth="1"/>
    <col min="3847" max="3847" width="19.85546875" style="2" customWidth="1"/>
    <col min="3848" max="3848" width="9.28515625" style="2" customWidth="1"/>
    <col min="3849" max="3849" width="10" style="2" customWidth="1"/>
    <col min="3850" max="3850" width="8.42578125" style="2" customWidth="1"/>
    <col min="3851" max="3851" width="12.28515625" style="2" customWidth="1"/>
    <col min="3852" max="3852" width="7.5703125" style="2" customWidth="1"/>
    <col min="3853" max="3853" width="7.85546875" style="2" customWidth="1"/>
    <col min="3854" max="3854" width="8.28515625" style="2" customWidth="1"/>
    <col min="3855" max="3855" width="9.140625" style="2"/>
    <col min="3856" max="3858" width="7.5703125" style="2" customWidth="1"/>
    <col min="3859" max="3859" width="10.28515625" style="2" customWidth="1"/>
    <col min="3860" max="3860" width="10.5703125" style="2" customWidth="1"/>
    <col min="3861" max="3861" width="11.140625" style="2" customWidth="1"/>
    <col min="3862" max="3862" width="10.42578125" style="2" customWidth="1"/>
    <col min="3863" max="3872" width="11" style="2" customWidth="1"/>
    <col min="3873" max="3873" width="9.140625" style="2" customWidth="1"/>
    <col min="3874" max="3874" width="6.85546875" style="2" customWidth="1"/>
    <col min="3875" max="3875" width="15" style="2" bestFit="1" customWidth="1"/>
    <col min="3876" max="4100" width="9.140625" style="2"/>
    <col min="4101" max="4101" width="4" style="2" customWidth="1"/>
    <col min="4102" max="4102" width="24.42578125" style="2" customWidth="1"/>
    <col min="4103" max="4103" width="19.85546875" style="2" customWidth="1"/>
    <col min="4104" max="4104" width="9.28515625" style="2" customWidth="1"/>
    <col min="4105" max="4105" width="10" style="2" customWidth="1"/>
    <col min="4106" max="4106" width="8.42578125" style="2" customWidth="1"/>
    <col min="4107" max="4107" width="12.28515625" style="2" customWidth="1"/>
    <col min="4108" max="4108" width="7.5703125" style="2" customWidth="1"/>
    <col min="4109" max="4109" width="7.85546875" style="2" customWidth="1"/>
    <col min="4110" max="4110" width="8.28515625" style="2" customWidth="1"/>
    <col min="4111" max="4111" width="9.140625" style="2"/>
    <col min="4112" max="4114" width="7.5703125" style="2" customWidth="1"/>
    <col min="4115" max="4115" width="10.28515625" style="2" customWidth="1"/>
    <col min="4116" max="4116" width="10.5703125" style="2" customWidth="1"/>
    <col min="4117" max="4117" width="11.140625" style="2" customWidth="1"/>
    <col min="4118" max="4118" width="10.42578125" style="2" customWidth="1"/>
    <col min="4119" max="4128" width="11" style="2" customWidth="1"/>
    <col min="4129" max="4129" width="9.140625" style="2" customWidth="1"/>
    <col min="4130" max="4130" width="6.85546875" style="2" customWidth="1"/>
    <col min="4131" max="4131" width="15" style="2" bestFit="1" customWidth="1"/>
    <col min="4132" max="4356" width="9.140625" style="2"/>
    <col min="4357" max="4357" width="4" style="2" customWidth="1"/>
    <col min="4358" max="4358" width="24.42578125" style="2" customWidth="1"/>
    <col min="4359" max="4359" width="19.85546875" style="2" customWidth="1"/>
    <col min="4360" max="4360" width="9.28515625" style="2" customWidth="1"/>
    <col min="4361" max="4361" width="10" style="2" customWidth="1"/>
    <col min="4362" max="4362" width="8.42578125" style="2" customWidth="1"/>
    <col min="4363" max="4363" width="12.28515625" style="2" customWidth="1"/>
    <col min="4364" max="4364" width="7.5703125" style="2" customWidth="1"/>
    <col min="4365" max="4365" width="7.85546875" style="2" customWidth="1"/>
    <col min="4366" max="4366" width="8.28515625" style="2" customWidth="1"/>
    <col min="4367" max="4367" width="9.140625" style="2"/>
    <col min="4368" max="4370" width="7.5703125" style="2" customWidth="1"/>
    <col min="4371" max="4371" width="10.28515625" style="2" customWidth="1"/>
    <col min="4372" max="4372" width="10.5703125" style="2" customWidth="1"/>
    <col min="4373" max="4373" width="11.140625" style="2" customWidth="1"/>
    <col min="4374" max="4374" width="10.42578125" style="2" customWidth="1"/>
    <col min="4375" max="4384" width="11" style="2" customWidth="1"/>
    <col min="4385" max="4385" width="9.140625" style="2" customWidth="1"/>
    <col min="4386" max="4386" width="6.85546875" style="2" customWidth="1"/>
    <col min="4387" max="4387" width="15" style="2" bestFit="1" customWidth="1"/>
    <col min="4388" max="4612" width="9.140625" style="2"/>
    <col min="4613" max="4613" width="4" style="2" customWidth="1"/>
    <col min="4614" max="4614" width="24.42578125" style="2" customWidth="1"/>
    <col min="4615" max="4615" width="19.85546875" style="2" customWidth="1"/>
    <col min="4616" max="4616" width="9.28515625" style="2" customWidth="1"/>
    <col min="4617" max="4617" width="10" style="2" customWidth="1"/>
    <col min="4618" max="4618" width="8.42578125" style="2" customWidth="1"/>
    <col min="4619" max="4619" width="12.28515625" style="2" customWidth="1"/>
    <col min="4620" max="4620" width="7.5703125" style="2" customWidth="1"/>
    <col min="4621" max="4621" width="7.85546875" style="2" customWidth="1"/>
    <col min="4622" max="4622" width="8.28515625" style="2" customWidth="1"/>
    <col min="4623" max="4623" width="9.140625" style="2"/>
    <col min="4624" max="4626" width="7.5703125" style="2" customWidth="1"/>
    <col min="4627" max="4627" width="10.28515625" style="2" customWidth="1"/>
    <col min="4628" max="4628" width="10.5703125" style="2" customWidth="1"/>
    <col min="4629" max="4629" width="11.140625" style="2" customWidth="1"/>
    <col min="4630" max="4630" width="10.42578125" style="2" customWidth="1"/>
    <col min="4631" max="4640" width="11" style="2" customWidth="1"/>
    <col min="4641" max="4641" width="9.140625" style="2" customWidth="1"/>
    <col min="4642" max="4642" width="6.85546875" style="2" customWidth="1"/>
    <col min="4643" max="4643" width="15" style="2" bestFit="1" customWidth="1"/>
    <col min="4644" max="4868" width="9.140625" style="2"/>
    <col min="4869" max="4869" width="4" style="2" customWidth="1"/>
    <col min="4870" max="4870" width="24.42578125" style="2" customWidth="1"/>
    <col min="4871" max="4871" width="19.85546875" style="2" customWidth="1"/>
    <col min="4872" max="4872" width="9.28515625" style="2" customWidth="1"/>
    <col min="4873" max="4873" width="10" style="2" customWidth="1"/>
    <col min="4874" max="4874" width="8.42578125" style="2" customWidth="1"/>
    <col min="4875" max="4875" width="12.28515625" style="2" customWidth="1"/>
    <col min="4876" max="4876" width="7.5703125" style="2" customWidth="1"/>
    <col min="4877" max="4877" width="7.85546875" style="2" customWidth="1"/>
    <col min="4878" max="4878" width="8.28515625" style="2" customWidth="1"/>
    <col min="4879" max="4879" width="9.140625" style="2"/>
    <col min="4880" max="4882" width="7.5703125" style="2" customWidth="1"/>
    <col min="4883" max="4883" width="10.28515625" style="2" customWidth="1"/>
    <col min="4884" max="4884" width="10.5703125" style="2" customWidth="1"/>
    <col min="4885" max="4885" width="11.140625" style="2" customWidth="1"/>
    <col min="4886" max="4886" width="10.42578125" style="2" customWidth="1"/>
    <col min="4887" max="4896" width="11" style="2" customWidth="1"/>
    <col min="4897" max="4897" width="9.140625" style="2" customWidth="1"/>
    <col min="4898" max="4898" width="6.85546875" style="2" customWidth="1"/>
    <col min="4899" max="4899" width="15" style="2" bestFit="1" customWidth="1"/>
    <col min="4900" max="5124" width="9.140625" style="2"/>
    <col min="5125" max="5125" width="4" style="2" customWidth="1"/>
    <col min="5126" max="5126" width="24.42578125" style="2" customWidth="1"/>
    <col min="5127" max="5127" width="19.85546875" style="2" customWidth="1"/>
    <col min="5128" max="5128" width="9.28515625" style="2" customWidth="1"/>
    <col min="5129" max="5129" width="10" style="2" customWidth="1"/>
    <col min="5130" max="5130" width="8.42578125" style="2" customWidth="1"/>
    <col min="5131" max="5131" width="12.28515625" style="2" customWidth="1"/>
    <col min="5132" max="5132" width="7.5703125" style="2" customWidth="1"/>
    <col min="5133" max="5133" width="7.85546875" style="2" customWidth="1"/>
    <col min="5134" max="5134" width="8.28515625" style="2" customWidth="1"/>
    <col min="5135" max="5135" width="9.140625" style="2"/>
    <col min="5136" max="5138" width="7.5703125" style="2" customWidth="1"/>
    <col min="5139" max="5139" width="10.28515625" style="2" customWidth="1"/>
    <col min="5140" max="5140" width="10.5703125" style="2" customWidth="1"/>
    <col min="5141" max="5141" width="11.140625" style="2" customWidth="1"/>
    <col min="5142" max="5142" width="10.42578125" style="2" customWidth="1"/>
    <col min="5143" max="5152" width="11" style="2" customWidth="1"/>
    <col min="5153" max="5153" width="9.140625" style="2" customWidth="1"/>
    <col min="5154" max="5154" width="6.85546875" style="2" customWidth="1"/>
    <col min="5155" max="5155" width="15" style="2" bestFit="1" customWidth="1"/>
    <col min="5156" max="5380" width="9.140625" style="2"/>
    <col min="5381" max="5381" width="4" style="2" customWidth="1"/>
    <col min="5382" max="5382" width="24.42578125" style="2" customWidth="1"/>
    <col min="5383" max="5383" width="19.85546875" style="2" customWidth="1"/>
    <col min="5384" max="5384" width="9.28515625" style="2" customWidth="1"/>
    <col min="5385" max="5385" width="10" style="2" customWidth="1"/>
    <col min="5386" max="5386" width="8.42578125" style="2" customWidth="1"/>
    <col min="5387" max="5387" width="12.28515625" style="2" customWidth="1"/>
    <col min="5388" max="5388" width="7.5703125" style="2" customWidth="1"/>
    <col min="5389" max="5389" width="7.85546875" style="2" customWidth="1"/>
    <col min="5390" max="5390" width="8.28515625" style="2" customWidth="1"/>
    <col min="5391" max="5391" width="9.140625" style="2"/>
    <col min="5392" max="5394" width="7.5703125" style="2" customWidth="1"/>
    <col min="5395" max="5395" width="10.28515625" style="2" customWidth="1"/>
    <col min="5396" max="5396" width="10.5703125" style="2" customWidth="1"/>
    <col min="5397" max="5397" width="11.140625" style="2" customWidth="1"/>
    <col min="5398" max="5398" width="10.42578125" style="2" customWidth="1"/>
    <col min="5399" max="5408" width="11" style="2" customWidth="1"/>
    <col min="5409" max="5409" width="9.140625" style="2" customWidth="1"/>
    <col min="5410" max="5410" width="6.85546875" style="2" customWidth="1"/>
    <col min="5411" max="5411" width="15" style="2" bestFit="1" customWidth="1"/>
    <col min="5412" max="5636" width="9.140625" style="2"/>
    <col min="5637" max="5637" width="4" style="2" customWidth="1"/>
    <col min="5638" max="5638" width="24.42578125" style="2" customWidth="1"/>
    <col min="5639" max="5639" width="19.85546875" style="2" customWidth="1"/>
    <col min="5640" max="5640" width="9.28515625" style="2" customWidth="1"/>
    <col min="5641" max="5641" width="10" style="2" customWidth="1"/>
    <col min="5642" max="5642" width="8.42578125" style="2" customWidth="1"/>
    <col min="5643" max="5643" width="12.28515625" style="2" customWidth="1"/>
    <col min="5644" max="5644" width="7.5703125" style="2" customWidth="1"/>
    <col min="5645" max="5645" width="7.85546875" style="2" customWidth="1"/>
    <col min="5646" max="5646" width="8.28515625" style="2" customWidth="1"/>
    <col min="5647" max="5647" width="9.140625" style="2"/>
    <col min="5648" max="5650" width="7.5703125" style="2" customWidth="1"/>
    <col min="5651" max="5651" width="10.28515625" style="2" customWidth="1"/>
    <col min="5652" max="5652" width="10.5703125" style="2" customWidth="1"/>
    <col min="5653" max="5653" width="11.140625" style="2" customWidth="1"/>
    <col min="5654" max="5654" width="10.42578125" style="2" customWidth="1"/>
    <col min="5655" max="5664" width="11" style="2" customWidth="1"/>
    <col min="5665" max="5665" width="9.140625" style="2" customWidth="1"/>
    <col min="5666" max="5666" width="6.85546875" style="2" customWidth="1"/>
    <col min="5667" max="5667" width="15" style="2" bestFit="1" customWidth="1"/>
    <col min="5668" max="5892" width="9.140625" style="2"/>
    <col min="5893" max="5893" width="4" style="2" customWidth="1"/>
    <col min="5894" max="5894" width="24.42578125" style="2" customWidth="1"/>
    <col min="5895" max="5895" width="19.85546875" style="2" customWidth="1"/>
    <col min="5896" max="5896" width="9.28515625" style="2" customWidth="1"/>
    <col min="5897" max="5897" width="10" style="2" customWidth="1"/>
    <col min="5898" max="5898" width="8.42578125" style="2" customWidth="1"/>
    <col min="5899" max="5899" width="12.28515625" style="2" customWidth="1"/>
    <col min="5900" max="5900" width="7.5703125" style="2" customWidth="1"/>
    <col min="5901" max="5901" width="7.85546875" style="2" customWidth="1"/>
    <col min="5902" max="5902" width="8.28515625" style="2" customWidth="1"/>
    <col min="5903" max="5903" width="9.140625" style="2"/>
    <col min="5904" max="5906" width="7.5703125" style="2" customWidth="1"/>
    <col min="5907" max="5907" width="10.28515625" style="2" customWidth="1"/>
    <col min="5908" max="5908" width="10.5703125" style="2" customWidth="1"/>
    <col min="5909" max="5909" width="11.140625" style="2" customWidth="1"/>
    <col min="5910" max="5910" width="10.42578125" style="2" customWidth="1"/>
    <col min="5911" max="5920" width="11" style="2" customWidth="1"/>
    <col min="5921" max="5921" width="9.140625" style="2" customWidth="1"/>
    <col min="5922" max="5922" width="6.85546875" style="2" customWidth="1"/>
    <col min="5923" max="5923" width="15" style="2" bestFit="1" customWidth="1"/>
    <col min="5924" max="6148" width="9.140625" style="2"/>
    <col min="6149" max="6149" width="4" style="2" customWidth="1"/>
    <col min="6150" max="6150" width="24.42578125" style="2" customWidth="1"/>
    <col min="6151" max="6151" width="19.85546875" style="2" customWidth="1"/>
    <col min="6152" max="6152" width="9.28515625" style="2" customWidth="1"/>
    <col min="6153" max="6153" width="10" style="2" customWidth="1"/>
    <col min="6154" max="6154" width="8.42578125" style="2" customWidth="1"/>
    <col min="6155" max="6155" width="12.28515625" style="2" customWidth="1"/>
    <col min="6156" max="6156" width="7.5703125" style="2" customWidth="1"/>
    <col min="6157" max="6157" width="7.85546875" style="2" customWidth="1"/>
    <col min="6158" max="6158" width="8.28515625" style="2" customWidth="1"/>
    <col min="6159" max="6159" width="9.140625" style="2"/>
    <col min="6160" max="6162" width="7.5703125" style="2" customWidth="1"/>
    <col min="6163" max="6163" width="10.28515625" style="2" customWidth="1"/>
    <col min="6164" max="6164" width="10.5703125" style="2" customWidth="1"/>
    <col min="6165" max="6165" width="11.140625" style="2" customWidth="1"/>
    <col min="6166" max="6166" width="10.42578125" style="2" customWidth="1"/>
    <col min="6167" max="6176" width="11" style="2" customWidth="1"/>
    <col min="6177" max="6177" width="9.140625" style="2" customWidth="1"/>
    <col min="6178" max="6178" width="6.85546875" style="2" customWidth="1"/>
    <col min="6179" max="6179" width="15" style="2" bestFit="1" customWidth="1"/>
    <col min="6180" max="6404" width="9.140625" style="2"/>
    <col min="6405" max="6405" width="4" style="2" customWidth="1"/>
    <col min="6406" max="6406" width="24.42578125" style="2" customWidth="1"/>
    <col min="6407" max="6407" width="19.85546875" style="2" customWidth="1"/>
    <col min="6408" max="6408" width="9.28515625" style="2" customWidth="1"/>
    <col min="6409" max="6409" width="10" style="2" customWidth="1"/>
    <col min="6410" max="6410" width="8.42578125" style="2" customWidth="1"/>
    <col min="6411" max="6411" width="12.28515625" style="2" customWidth="1"/>
    <col min="6412" max="6412" width="7.5703125" style="2" customWidth="1"/>
    <col min="6413" max="6413" width="7.85546875" style="2" customWidth="1"/>
    <col min="6414" max="6414" width="8.28515625" style="2" customWidth="1"/>
    <col min="6415" max="6415" width="9.140625" style="2"/>
    <col min="6416" max="6418" width="7.5703125" style="2" customWidth="1"/>
    <col min="6419" max="6419" width="10.28515625" style="2" customWidth="1"/>
    <col min="6420" max="6420" width="10.5703125" style="2" customWidth="1"/>
    <col min="6421" max="6421" width="11.140625" style="2" customWidth="1"/>
    <col min="6422" max="6422" width="10.42578125" style="2" customWidth="1"/>
    <col min="6423" max="6432" width="11" style="2" customWidth="1"/>
    <col min="6433" max="6433" width="9.140625" style="2" customWidth="1"/>
    <col min="6434" max="6434" width="6.85546875" style="2" customWidth="1"/>
    <col min="6435" max="6435" width="15" style="2" bestFit="1" customWidth="1"/>
    <col min="6436" max="6660" width="9.140625" style="2"/>
    <col min="6661" max="6661" width="4" style="2" customWidth="1"/>
    <col min="6662" max="6662" width="24.42578125" style="2" customWidth="1"/>
    <col min="6663" max="6663" width="19.85546875" style="2" customWidth="1"/>
    <col min="6664" max="6664" width="9.28515625" style="2" customWidth="1"/>
    <col min="6665" max="6665" width="10" style="2" customWidth="1"/>
    <col min="6666" max="6666" width="8.42578125" style="2" customWidth="1"/>
    <col min="6667" max="6667" width="12.28515625" style="2" customWidth="1"/>
    <col min="6668" max="6668" width="7.5703125" style="2" customWidth="1"/>
    <col min="6669" max="6669" width="7.85546875" style="2" customWidth="1"/>
    <col min="6670" max="6670" width="8.28515625" style="2" customWidth="1"/>
    <col min="6671" max="6671" width="9.140625" style="2"/>
    <col min="6672" max="6674" width="7.5703125" style="2" customWidth="1"/>
    <col min="6675" max="6675" width="10.28515625" style="2" customWidth="1"/>
    <col min="6676" max="6676" width="10.5703125" style="2" customWidth="1"/>
    <col min="6677" max="6677" width="11.140625" style="2" customWidth="1"/>
    <col min="6678" max="6678" width="10.42578125" style="2" customWidth="1"/>
    <col min="6679" max="6688" width="11" style="2" customWidth="1"/>
    <col min="6689" max="6689" width="9.140625" style="2" customWidth="1"/>
    <col min="6690" max="6690" width="6.85546875" style="2" customWidth="1"/>
    <col min="6691" max="6691" width="15" style="2" bestFit="1" customWidth="1"/>
    <col min="6692" max="6916" width="9.140625" style="2"/>
    <col min="6917" max="6917" width="4" style="2" customWidth="1"/>
    <col min="6918" max="6918" width="24.42578125" style="2" customWidth="1"/>
    <col min="6919" max="6919" width="19.85546875" style="2" customWidth="1"/>
    <col min="6920" max="6920" width="9.28515625" style="2" customWidth="1"/>
    <col min="6921" max="6921" width="10" style="2" customWidth="1"/>
    <col min="6922" max="6922" width="8.42578125" style="2" customWidth="1"/>
    <col min="6923" max="6923" width="12.28515625" style="2" customWidth="1"/>
    <col min="6924" max="6924" width="7.5703125" style="2" customWidth="1"/>
    <col min="6925" max="6925" width="7.85546875" style="2" customWidth="1"/>
    <col min="6926" max="6926" width="8.28515625" style="2" customWidth="1"/>
    <col min="6927" max="6927" width="9.140625" style="2"/>
    <col min="6928" max="6930" width="7.5703125" style="2" customWidth="1"/>
    <col min="6931" max="6931" width="10.28515625" style="2" customWidth="1"/>
    <col min="6932" max="6932" width="10.5703125" style="2" customWidth="1"/>
    <col min="6933" max="6933" width="11.140625" style="2" customWidth="1"/>
    <col min="6934" max="6934" width="10.42578125" style="2" customWidth="1"/>
    <col min="6935" max="6944" width="11" style="2" customWidth="1"/>
    <col min="6945" max="6945" width="9.140625" style="2" customWidth="1"/>
    <col min="6946" max="6946" width="6.85546875" style="2" customWidth="1"/>
    <col min="6947" max="6947" width="15" style="2" bestFit="1" customWidth="1"/>
    <col min="6948" max="7172" width="9.140625" style="2"/>
    <col min="7173" max="7173" width="4" style="2" customWidth="1"/>
    <col min="7174" max="7174" width="24.42578125" style="2" customWidth="1"/>
    <col min="7175" max="7175" width="19.85546875" style="2" customWidth="1"/>
    <col min="7176" max="7176" width="9.28515625" style="2" customWidth="1"/>
    <col min="7177" max="7177" width="10" style="2" customWidth="1"/>
    <col min="7178" max="7178" width="8.42578125" style="2" customWidth="1"/>
    <col min="7179" max="7179" width="12.28515625" style="2" customWidth="1"/>
    <col min="7180" max="7180" width="7.5703125" style="2" customWidth="1"/>
    <col min="7181" max="7181" width="7.85546875" style="2" customWidth="1"/>
    <col min="7182" max="7182" width="8.28515625" style="2" customWidth="1"/>
    <col min="7183" max="7183" width="9.140625" style="2"/>
    <col min="7184" max="7186" width="7.5703125" style="2" customWidth="1"/>
    <col min="7187" max="7187" width="10.28515625" style="2" customWidth="1"/>
    <col min="7188" max="7188" width="10.5703125" style="2" customWidth="1"/>
    <col min="7189" max="7189" width="11.140625" style="2" customWidth="1"/>
    <col min="7190" max="7190" width="10.42578125" style="2" customWidth="1"/>
    <col min="7191" max="7200" width="11" style="2" customWidth="1"/>
    <col min="7201" max="7201" width="9.140625" style="2" customWidth="1"/>
    <col min="7202" max="7202" width="6.85546875" style="2" customWidth="1"/>
    <col min="7203" max="7203" width="15" style="2" bestFit="1" customWidth="1"/>
    <col min="7204" max="7428" width="9.140625" style="2"/>
    <col min="7429" max="7429" width="4" style="2" customWidth="1"/>
    <col min="7430" max="7430" width="24.42578125" style="2" customWidth="1"/>
    <col min="7431" max="7431" width="19.85546875" style="2" customWidth="1"/>
    <col min="7432" max="7432" width="9.28515625" style="2" customWidth="1"/>
    <col min="7433" max="7433" width="10" style="2" customWidth="1"/>
    <col min="7434" max="7434" width="8.42578125" style="2" customWidth="1"/>
    <col min="7435" max="7435" width="12.28515625" style="2" customWidth="1"/>
    <col min="7436" max="7436" width="7.5703125" style="2" customWidth="1"/>
    <col min="7437" max="7437" width="7.85546875" style="2" customWidth="1"/>
    <col min="7438" max="7438" width="8.28515625" style="2" customWidth="1"/>
    <col min="7439" max="7439" width="9.140625" style="2"/>
    <col min="7440" max="7442" width="7.5703125" style="2" customWidth="1"/>
    <col min="7443" max="7443" width="10.28515625" style="2" customWidth="1"/>
    <col min="7444" max="7444" width="10.5703125" style="2" customWidth="1"/>
    <col min="7445" max="7445" width="11.140625" style="2" customWidth="1"/>
    <col min="7446" max="7446" width="10.42578125" style="2" customWidth="1"/>
    <col min="7447" max="7456" width="11" style="2" customWidth="1"/>
    <col min="7457" max="7457" width="9.140625" style="2" customWidth="1"/>
    <col min="7458" max="7458" width="6.85546875" style="2" customWidth="1"/>
    <col min="7459" max="7459" width="15" style="2" bestFit="1" customWidth="1"/>
    <col min="7460" max="7684" width="9.140625" style="2"/>
    <col min="7685" max="7685" width="4" style="2" customWidth="1"/>
    <col min="7686" max="7686" width="24.42578125" style="2" customWidth="1"/>
    <col min="7687" max="7687" width="19.85546875" style="2" customWidth="1"/>
    <col min="7688" max="7688" width="9.28515625" style="2" customWidth="1"/>
    <col min="7689" max="7689" width="10" style="2" customWidth="1"/>
    <col min="7690" max="7690" width="8.42578125" style="2" customWidth="1"/>
    <col min="7691" max="7691" width="12.28515625" style="2" customWidth="1"/>
    <col min="7692" max="7692" width="7.5703125" style="2" customWidth="1"/>
    <col min="7693" max="7693" width="7.85546875" style="2" customWidth="1"/>
    <col min="7694" max="7694" width="8.28515625" style="2" customWidth="1"/>
    <col min="7695" max="7695" width="9.140625" style="2"/>
    <col min="7696" max="7698" width="7.5703125" style="2" customWidth="1"/>
    <col min="7699" max="7699" width="10.28515625" style="2" customWidth="1"/>
    <col min="7700" max="7700" width="10.5703125" style="2" customWidth="1"/>
    <col min="7701" max="7701" width="11.140625" style="2" customWidth="1"/>
    <col min="7702" max="7702" width="10.42578125" style="2" customWidth="1"/>
    <col min="7703" max="7712" width="11" style="2" customWidth="1"/>
    <col min="7713" max="7713" width="9.140625" style="2" customWidth="1"/>
    <col min="7714" max="7714" width="6.85546875" style="2" customWidth="1"/>
    <col min="7715" max="7715" width="15" style="2" bestFit="1" customWidth="1"/>
    <col min="7716" max="7940" width="9.140625" style="2"/>
    <col min="7941" max="7941" width="4" style="2" customWidth="1"/>
    <col min="7942" max="7942" width="24.42578125" style="2" customWidth="1"/>
    <col min="7943" max="7943" width="19.85546875" style="2" customWidth="1"/>
    <col min="7944" max="7944" width="9.28515625" style="2" customWidth="1"/>
    <col min="7945" max="7945" width="10" style="2" customWidth="1"/>
    <col min="7946" max="7946" width="8.42578125" style="2" customWidth="1"/>
    <col min="7947" max="7947" width="12.28515625" style="2" customWidth="1"/>
    <col min="7948" max="7948" width="7.5703125" style="2" customWidth="1"/>
    <col min="7949" max="7949" width="7.85546875" style="2" customWidth="1"/>
    <col min="7950" max="7950" width="8.28515625" style="2" customWidth="1"/>
    <col min="7951" max="7951" width="9.140625" style="2"/>
    <col min="7952" max="7954" width="7.5703125" style="2" customWidth="1"/>
    <col min="7955" max="7955" width="10.28515625" style="2" customWidth="1"/>
    <col min="7956" max="7956" width="10.5703125" style="2" customWidth="1"/>
    <col min="7957" max="7957" width="11.140625" style="2" customWidth="1"/>
    <col min="7958" max="7958" width="10.42578125" style="2" customWidth="1"/>
    <col min="7959" max="7968" width="11" style="2" customWidth="1"/>
    <col min="7969" max="7969" width="9.140625" style="2" customWidth="1"/>
    <col min="7970" max="7970" width="6.85546875" style="2" customWidth="1"/>
    <col min="7971" max="7971" width="15" style="2" bestFit="1" customWidth="1"/>
    <col min="7972" max="8196" width="9.140625" style="2"/>
    <col min="8197" max="8197" width="4" style="2" customWidth="1"/>
    <col min="8198" max="8198" width="24.42578125" style="2" customWidth="1"/>
    <col min="8199" max="8199" width="19.85546875" style="2" customWidth="1"/>
    <col min="8200" max="8200" width="9.28515625" style="2" customWidth="1"/>
    <col min="8201" max="8201" width="10" style="2" customWidth="1"/>
    <col min="8202" max="8202" width="8.42578125" style="2" customWidth="1"/>
    <col min="8203" max="8203" width="12.28515625" style="2" customWidth="1"/>
    <col min="8204" max="8204" width="7.5703125" style="2" customWidth="1"/>
    <col min="8205" max="8205" width="7.85546875" style="2" customWidth="1"/>
    <col min="8206" max="8206" width="8.28515625" style="2" customWidth="1"/>
    <col min="8207" max="8207" width="9.140625" style="2"/>
    <col min="8208" max="8210" width="7.5703125" style="2" customWidth="1"/>
    <col min="8211" max="8211" width="10.28515625" style="2" customWidth="1"/>
    <col min="8212" max="8212" width="10.5703125" style="2" customWidth="1"/>
    <col min="8213" max="8213" width="11.140625" style="2" customWidth="1"/>
    <col min="8214" max="8214" width="10.42578125" style="2" customWidth="1"/>
    <col min="8215" max="8224" width="11" style="2" customWidth="1"/>
    <col min="8225" max="8225" width="9.140625" style="2" customWidth="1"/>
    <col min="8226" max="8226" width="6.85546875" style="2" customWidth="1"/>
    <col min="8227" max="8227" width="15" style="2" bestFit="1" customWidth="1"/>
    <col min="8228" max="8452" width="9.140625" style="2"/>
    <col min="8453" max="8453" width="4" style="2" customWidth="1"/>
    <col min="8454" max="8454" width="24.42578125" style="2" customWidth="1"/>
    <col min="8455" max="8455" width="19.85546875" style="2" customWidth="1"/>
    <col min="8456" max="8456" width="9.28515625" style="2" customWidth="1"/>
    <col min="8457" max="8457" width="10" style="2" customWidth="1"/>
    <col min="8458" max="8458" width="8.42578125" style="2" customWidth="1"/>
    <col min="8459" max="8459" width="12.28515625" style="2" customWidth="1"/>
    <col min="8460" max="8460" width="7.5703125" style="2" customWidth="1"/>
    <col min="8461" max="8461" width="7.85546875" style="2" customWidth="1"/>
    <col min="8462" max="8462" width="8.28515625" style="2" customWidth="1"/>
    <col min="8463" max="8463" width="9.140625" style="2"/>
    <col min="8464" max="8466" width="7.5703125" style="2" customWidth="1"/>
    <col min="8467" max="8467" width="10.28515625" style="2" customWidth="1"/>
    <col min="8468" max="8468" width="10.5703125" style="2" customWidth="1"/>
    <col min="8469" max="8469" width="11.140625" style="2" customWidth="1"/>
    <col min="8470" max="8470" width="10.42578125" style="2" customWidth="1"/>
    <col min="8471" max="8480" width="11" style="2" customWidth="1"/>
    <col min="8481" max="8481" width="9.140625" style="2" customWidth="1"/>
    <col min="8482" max="8482" width="6.85546875" style="2" customWidth="1"/>
    <col min="8483" max="8483" width="15" style="2" bestFit="1" customWidth="1"/>
    <col min="8484" max="8708" width="9.140625" style="2"/>
    <col min="8709" max="8709" width="4" style="2" customWidth="1"/>
    <col min="8710" max="8710" width="24.42578125" style="2" customWidth="1"/>
    <col min="8711" max="8711" width="19.85546875" style="2" customWidth="1"/>
    <col min="8712" max="8712" width="9.28515625" style="2" customWidth="1"/>
    <col min="8713" max="8713" width="10" style="2" customWidth="1"/>
    <col min="8714" max="8714" width="8.42578125" style="2" customWidth="1"/>
    <col min="8715" max="8715" width="12.28515625" style="2" customWidth="1"/>
    <col min="8716" max="8716" width="7.5703125" style="2" customWidth="1"/>
    <col min="8717" max="8717" width="7.85546875" style="2" customWidth="1"/>
    <col min="8718" max="8718" width="8.28515625" style="2" customWidth="1"/>
    <col min="8719" max="8719" width="9.140625" style="2"/>
    <col min="8720" max="8722" width="7.5703125" style="2" customWidth="1"/>
    <col min="8723" max="8723" width="10.28515625" style="2" customWidth="1"/>
    <col min="8724" max="8724" width="10.5703125" style="2" customWidth="1"/>
    <col min="8725" max="8725" width="11.140625" style="2" customWidth="1"/>
    <col min="8726" max="8726" width="10.42578125" style="2" customWidth="1"/>
    <col min="8727" max="8736" width="11" style="2" customWidth="1"/>
    <col min="8737" max="8737" width="9.140625" style="2" customWidth="1"/>
    <col min="8738" max="8738" width="6.85546875" style="2" customWidth="1"/>
    <col min="8739" max="8739" width="15" style="2" bestFit="1" customWidth="1"/>
    <col min="8740" max="8964" width="9.140625" style="2"/>
    <col min="8965" max="8965" width="4" style="2" customWidth="1"/>
    <col min="8966" max="8966" width="24.42578125" style="2" customWidth="1"/>
    <col min="8967" max="8967" width="19.85546875" style="2" customWidth="1"/>
    <col min="8968" max="8968" width="9.28515625" style="2" customWidth="1"/>
    <col min="8969" max="8969" width="10" style="2" customWidth="1"/>
    <col min="8970" max="8970" width="8.42578125" style="2" customWidth="1"/>
    <col min="8971" max="8971" width="12.28515625" style="2" customWidth="1"/>
    <col min="8972" max="8972" width="7.5703125" style="2" customWidth="1"/>
    <col min="8973" max="8973" width="7.85546875" style="2" customWidth="1"/>
    <col min="8974" max="8974" width="8.28515625" style="2" customWidth="1"/>
    <col min="8975" max="8975" width="9.140625" style="2"/>
    <col min="8976" max="8978" width="7.5703125" style="2" customWidth="1"/>
    <col min="8979" max="8979" width="10.28515625" style="2" customWidth="1"/>
    <col min="8980" max="8980" width="10.5703125" style="2" customWidth="1"/>
    <col min="8981" max="8981" width="11.140625" style="2" customWidth="1"/>
    <col min="8982" max="8982" width="10.42578125" style="2" customWidth="1"/>
    <col min="8983" max="8992" width="11" style="2" customWidth="1"/>
    <col min="8993" max="8993" width="9.140625" style="2" customWidth="1"/>
    <col min="8994" max="8994" width="6.85546875" style="2" customWidth="1"/>
    <col min="8995" max="8995" width="15" style="2" bestFit="1" customWidth="1"/>
    <col min="8996" max="9220" width="9.140625" style="2"/>
    <col min="9221" max="9221" width="4" style="2" customWidth="1"/>
    <col min="9222" max="9222" width="24.42578125" style="2" customWidth="1"/>
    <col min="9223" max="9223" width="19.85546875" style="2" customWidth="1"/>
    <col min="9224" max="9224" width="9.28515625" style="2" customWidth="1"/>
    <col min="9225" max="9225" width="10" style="2" customWidth="1"/>
    <col min="9226" max="9226" width="8.42578125" style="2" customWidth="1"/>
    <col min="9227" max="9227" width="12.28515625" style="2" customWidth="1"/>
    <col min="9228" max="9228" width="7.5703125" style="2" customWidth="1"/>
    <col min="9229" max="9229" width="7.85546875" style="2" customWidth="1"/>
    <col min="9230" max="9230" width="8.28515625" style="2" customWidth="1"/>
    <col min="9231" max="9231" width="9.140625" style="2"/>
    <col min="9232" max="9234" width="7.5703125" style="2" customWidth="1"/>
    <col min="9235" max="9235" width="10.28515625" style="2" customWidth="1"/>
    <col min="9236" max="9236" width="10.5703125" style="2" customWidth="1"/>
    <col min="9237" max="9237" width="11.140625" style="2" customWidth="1"/>
    <col min="9238" max="9238" width="10.42578125" style="2" customWidth="1"/>
    <col min="9239" max="9248" width="11" style="2" customWidth="1"/>
    <col min="9249" max="9249" width="9.140625" style="2" customWidth="1"/>
    <col min="9250" max="9250" width="6.85546875" style="2" customWidth="1"/>
    <col min="9251" max="9251" width="15" style="2" bestFit="1" customWidth="1"/>
    <col min="9252" max="9476" width="9.140625" style="2"/>
    <col min="9477" max="9477" width="4" style="2" customWidth="1"/>
    <col min="9478" max="9478" width="24.42578125" style="2" customWidth="1"/>
    <col min="9479" max="9479" width="19.85546875" style="2" customWidth="1"/>
    <col min="9480" max="9480" width="9.28515625" style="2" customWidth="1"/>
    <col min="9481" max="9481" width="10" style="2" customWidth="1"/>
    <col min="9482" max="9482" width="8.42578125" style="2" customWidth="1"/>
    <col min="9483" max="9483" width="12.28515625" style="2" customWidth="1"/>
    <col min="9484" max="9484" width="7.5703125" style="2" customWidth="1"/>
    <col min="9485" max="9485" width="7.85546875" style="2" customWidth="1"/>
    <col min="9486" max="9486" width="8.28515625" style="2" customWidth="1"/>
    <col min="9487" max="9487" width="9.140625" style="2"/>
    <col min="9488" max="9490" width="7.5703125" style="2" customWidth="1"/>
    <col min="9491" max="9491" width="10.28515625" style="2" customWidth="1"/>
    <col min="9492" max="9492" width="10.5703125" style="2" customWidth="1"/>
    <col min="9493" max="9493" width="11.140625" style="2" customWidth="1"/>
    <col min="9494" max="9494" width="10.42578125" style="2" customWidth="1"/>
    <col min="9495" max="9504" width="11" style="2" customWidth="1"/>
    <col min="9505" max="9505" width="9.140625" style="2" customWidth="1"/>
    <col min="9506" max="9506" width="6.85546875" style="2" customWidth="1"/>
    <col min="9507" max="9507" width="15" style="2" bestFit="1" customWidth="1"/>
    <col min="9508" max="9732" width="9.140625" style="2"/>
    <col min="9733" max="9733" width="4" style="2" customWidth="1"/>
    <col min="9734" max="9734" width="24.42578125" style="2" customWidth="1"/>
    <col min="9735" max="9735" width="19.85546875" style="2" customWidth="1"/>
    <col min="9736" max="9736" width="9.28515625" style="2" customWidth="1"/>
    <col min="9737" max="9737" width="10" style="2" customWidth="1"/>
    <col min="9738" max="9738" width="8.42578125" style="2" customWidth="1"/>
    <col min="9739" max="9739" width="12.28515625" style="2" customWidth="1"/>
    <col min="9740" max="9740" width="7.5703125" style="2" customWidth="1"/>
    <col min="9741" max="9741" width="7.85546875" style="2" customWidth="1"/>
    <col min="9742" max="9742" width="8.28515625" style="2" customWidth="1"/>
    <col min="9743" max="9743" width="9.140625" style="2"/>
    <col min="9744" max="9746" width="7.5703125" style="2" customWidth="1"/>
    <col min="9747" max="9747" width="10.28515625" style="2" customWidth="1"/>
    <col min="9748" max="9748" width="10.5703125" style="2" customWidth="1"/>
    <col min="9749" max="9749" width="11.140625" style="2" customWidth="1"/>
    <col min="9750" max="9750" width="10.42578125" style="2" customWidth="1"/>
    <col min="9751" max="9760" width="11" style="2" customWidth="1"/>
    <col min="9761" max="9761" width="9.140625" style="2" customWidth="1"/>
    <col min="9762" max="9762" width="6.85546875" style="2" customWidth="1"/>
    <col min="9763" max="9763" width="15" style="2" bestFit="1" customWidth="1"/>
    <col min="9764" max="9988" width="9.140625" style="2"/>
    <col min="9989" max="9989" width="4" style="2" customWidth="1"/>
    <col min="9990" max="9990" width="24.42578125" style="2" customWidth="1"/>
    <col min="9991" max="9991" width="19.85546875" style="2" customWidth="1"/>
    <col min="9992" max="9992" width="9.28515625" style="2" customWidth="1"/>
    <col min="9993" max="9993" width="10" style="2" customWidth="1"/>
    <col min="9994" max="9994" width="8.42578125" style="2" customWidth="1"/>
    <col min="9995" max="9995" width="12.28515625" style="2" customWidth="1"/>
    <col min="9996" max="9996" width="7.5703125" style="2" customWidth="1"/>
    <col min="9997" max="9997" width="7.85546875" style="2" customWidth="1"/>
    <col min="9998" max="9998" width="8.28515625" style="2" customWidth="1"/>
    <col min="9999" max="9999" width="9.140625" style="2"/>
    <col min="10000" max="10002" width="7.5703125" style="2" customWidth="1"/>
    <col min="10003" max="10003" width="10.28515625" style="2" customWidth="1"/>
    <col min="10004" max="10004" width="10.5703125" style="2" customWidth="1"/>
    <col min="10005" max="10005" width="11.140625" style="2" customWidth="1"/>
    <col min="10006" max="10006" width="10.42578125" style="2" customWidth="1"/>
    <col min="10007" max="10016" width="11" style="2" customWidth="1"/>
    <col min="10017" max="10017" width="9.140625" style="2" customWidth="1"/>
    <col min="10018" max="10018" width="6.85546875" style="2" customWidth="1"/>
    <col min="10019" max="10019" width="15" style="2" bestFit="1" customWidth="1"/>
    <col min="10020" max="10244" width="9.140625" style="2"/>
    <col min="10245" max="10245" width="4" style="2" customWidth="1"/>
    <col min="10246" max="10246" width="24.42578125" style="2" customWidth="1"/>
    <col min="10247" max="10247" width="19.85546875" style="2" customWidth="1"/>
    <col min="10248" max="10248" width="9.28515625" style="2" customWidth="1"/>
    <col min="10249" max="10249" width="10" style="2" customWidth="1"/>
    <col min="10250" max="10250" width="8.42578125" style="2" customWidth="1"/>
    <col min="10251" max="10251" width="12.28515625" style="2" customWidth="1"/>
    <col min="10252" max="10252" width="7.5703125" style="2" customWidth="1"/>
    <col min="10253" max="10253" width="7.85546875" style="2" customWidth="1"/>
    <col min="10254" max="10254" width="8.28515625" style="2" customWidth="1"/>
    <col min="10255" max="10255" width="9.140625" style="2"/>
    <col min="10256" max="10258" width="7.5703125" style="2" customWidth="1"/>
    <col min="10259" max="10259" width="10.28515625" style="2" customWidth="1"/>
    <col min="10260" max="10260" width="10.5703125" style="2" customWidth="1"/>
    <col min="10261" max="10261" width="11.140625" style="2" customWidth="1"/>
    <col min="10262" max="10262" width="10.42578125" style="2" customWidth="1"/>
    <col min="10263" max="10272" width="11" style="2" customWidth="1"/>
    <col min="10273" max="10273" width="9.140625" style="2" customWidth="1"/>
    <col min="10274" max="10274" width="6.85546875" style="2" customWidth="1"/>
    <col min="10275" max="10275" width="15" style="2" bestFit="1" customWidth="1"/>
    <col min="10276" max="10500" width="9.140625" style="2"/>
    <col min="10501" max="10501" width="4" style="2" customWidth="1"/>
    <col min="10502" max="10502" width="24.42578125" style="2" customWidth="1"/>
    <col min="10503" max="10503" width="19.85546875" style="2" customWidth="1"/>
    <col min="10504" max="10504" width="9.28515625" style="2" customWidth="1"/>
    <col min="10505" max="10505" width="10" style="2" customWidth="1"/>
    <col min="10506" max="10506" width="8.42578125" style="2" customWidth="1"/>
    <col min="10507" max="10507" width="12.28515625" style="2" customWidth="1"/>
    <col min="10508" max="10508" width="7.5703125" style="2" customWidth="1"/>
    <col min="10509" max="10509" width="7.85546875" style="2" customWidth="1"/>
    <col min="10510" max="10510" width="8.28515625" style="2" customWidth="1"/>
    <col min="10511" max="10511" width="9.140625" style="2"/>
    <col min="10512" max="10514" width="7.5703125" style="2" customWidth="1"/>
    <col min="10515" max="10515" width="10.28515625" style="2" customWidth="1"/>
    <col min="10516" max="10516" width="10.5703125" style="2" customWidth="1"/>
    <col min="10517" max="10517" width="11.140625" style="2" customWidth="1"/>
    <col min="10518" max="10518" width="10.42578125" style="2" customWidth="1"/>
    <col min="10519" max="10528" width="11" style="2" customWidth="1"/>
    <col min="10529" max="10529" width="9.140625" style="2" customWidth="1"/>
    <col min="10530" max="10530" width="6.85546875" style="2" customWidth="1"/>
    <col min="10531" max="10531" width="15" style="2" bestFit="1" customWidth="1"/>
    <col min="10532" max="10756" width="9.140625" style="2"/>
    <col min="10757" max="10757" width="4" style="2" customWidth="1"/>
    <col min="10758" max="10758" width="24.42578125" style="2" customWidth="1"/>
    <col min="10759" max="10759" width="19.85546875" style="2" customWidth="1"/>
    <col min="10760" max="10760" width="9.28515625" style="2" customWidth="1"/>
    <col min="10761" max="10761" width="10" style="2" customWidth="1"/>
    <col min="10762" max="10762" width="8.42578125" style="2" customWidth="1"/>
    <col min="10763" max="10763" width="12.28515625" style="2" customWidth="1"/>
    <col min="10764" max="10764" width="7.5703125" style="2" customWidth="1"/>
    <col min="10765" max="10765" width="7.85546875" style="2" customWidth="1"/>
    <col min="10766" max="10766" width="8.28515625" style="2" customWidth="1"/>
    <col min="10767" max="10767" width="9.140625" style="2"/>
    <col min="10768" max="10770" width="7.5703125" style="2" customWidth="1"/>
    <col min="10771" max="10771" width="10.28515625" style="2" customWidth="1"/>
    <col min="10772" max="10772" width="10.5703125" style="2" customWidth="1"/>
    <col min="10773" max="10773" width="11.140625" style="2" customWidth="1"/>
    <col min="10774" max="10774" width="10.42578125" style="2" customWidth="1"/>
    <col min="10775" max="10784" width="11" style="2" customWidth="1"/>
    <col min="10785" max="10785" width="9.140625" style="2" customWidth="1"/>
    <col min="10786" max="10786" width="6.85546875" style="2" customWidth="1"/>
    <col min="10787" max="10787" width="15" style="2" bestFit="1" customWidth="1"/>
    <col min="10788" max="11012" width="9.140625" style="2"/>
    <col min="11013" max="11013" width="4" style="2" customWidth="1"/>
    <col min="11014" max="11014" width="24.42578125" style="2" customWidth="1"/>
    <col min="11015" max="11015" width="19.85546875" style="2" customWidth="1"/>
    <col min="11016" max="11016" width="9.28515625" style="2" customWidth="1"/>
    <col min="11017" max="11017" width="10" style="2" customWidth="1"/>
    <col min="11018" max="11018" width="8.42578125" style="2" customWidth="1"/>
    <col min="11019" max="11019" width="12.28515625" style="2" customWidth="1"/>
    <col min="11020" max="11020" width="7.5703125" style="2" customWidth="1"/>
    <col min="11021" max="11021" width="7.85546875" style="2" customWidth="1"/>
    <col min="11022" max="11022" width="8.28515625" style="2" customWidth="1"/>
    <col min="11023" max="11023" width="9.140625" style="2"/>
    <col min="11024" max="11026" width="7.5703125" style="2" customWidth="1"/>
    <col min="11027" max="11027" width="10.28515625" style="2" customWidth="1"/>
    <col min="11028" max="11028" width="10.5703125" style="2" customWidth="1"/>
    <col min="11029" max="11029" width="11.140625" style="2" customWidth="1"/>
    <col min="11030" max="11030" width="10.42578125" style="2" customWidth="1"/>
    <col min="11031" max="11040" width="11" style="2" customWidth="1"/>
    <col min="11041" max="11041" width="9.140625" style="2" customWidth="1"/>
    <col min="11042" max="11042" width="6.85546875" style="2" customWidth="1"/>
    <col min="11043" max="11043" width="15" style="2" bestFit="1" customWidth="1"/>
    <col min="11044" max="11268" width="9.140625" style="2"/>
    <col min="11269" max="11269" width="4" style="2" customWidth="1"/>
    <col min="11270" max="11270" width="24.42578125" style="2" customWidth="1"/>
    <col min="11271" max="11271" width="19.85546875" style="2" customWidth="1"/>
    <col min="11272" max="11272" width="9.28515625" style="2" customWidth="1"/>
    <col min="11273" max="11273" width="10" style="2" customWidth="1"/>
    <col min="11274" max="11274" width="8.42578125" style="2" customWidth="1"/>
    <col min="11275" max="11275" width="12.28515625" style="2" customWidth="1"/>
    <col min="11276" max="11276" width="7.5703125" style="2" customWidth="1"/>
    <col min="11277" max="11277" width="7.85546875" style="2" customWidth="1"/>
    <col min="11278" max="11278" width="8.28515625" style="2" customWidth="1"/>
    <col min="11279" max="11279" width="9.140625" style="2"/>
    <col min="11280" max="11282" width="7.5703125" style="2" customWidth="1"/>
    <col min="11283" max="11283" width="10.28515625" style="2" customWidth="1"/>
    <col min="11284" max="11284" width="10.5703125" style="2" customWidth="1"/>
    <col min="11285" max="11285" width="11.140625" style="2" customWidth="1"/>
    <col min="11286" max="11286" width="10.42578125" style="2" customWidth="1"/>
    <col min="11287" max="11296" width="11" style="2" customWidth="1"/>
    <col min="11297" max="11297" width="9.140625" style="2" customWidth="1"/>
    <col min="11298" max="11298" width="6.85546875" style="2" customWidth="1"/>
    <col min="11299" max="11299" width="15" style="2" bestFit="1" customWidth="1"/>
    <col min="11300" max="11524" width="9.140625" style="2"/>
    <col min="11525" max="11525" width="4" style="2" customWidth="1"/>
    <col min="11526" max="11526" width="24.42578125" style="2" customWidth="1"/>
    <col min="11527" max="11527" width="19.85546875" style="2" customWidth="1"/>
    <col min="11528" max="11528" width="9.28515625" style="2" customWidth="1"/>
    <col min="11529" max="11529" width="10" style="2" customWidth="1"/>
    <col min="11530" max="11530" width="8.42578125" style="2" customWidth="1"/>
    <col min="11531" max="11531" width="12.28515625" style="2" customWidth="1"/>
    <col min="11532" max="11532" width="7.5703125" style="2" customWidth="1"/>
    <col min="11533" max="11533" width="7.85546875" style="2" customWidth="1"/>
    <col min="11534" max="11534" width="8.28515625" style="2" customWidth="1"/>
    <col min="11535" max="11535" width="9.140625" style="2"/>
    <col min="11536" max="11538" width="7.5703125" style="2" customWidth="1"/>
    <col min="11539" max="11539" width="10.28515625" style="2" customWidth="1"/>
    <col min="11540" max="11540" width="10.5703125" style="2" customWidth="1"/>
    <col min="11541" max="11541" width="11.140625" style="2" customWidth="1"/>
    <col min="11542" max="11542" width="10.42578125" style="2" customWidth="1"/>
    <col min="11543" max="11552" width="11" style="2" customWidth="1"/>
    <col min="11553" max="11553" width="9.140625" style="2" customWidth="1"/>
    <col min="11554" max="11554" width="6.85546875" style="2" customWidth="1"/>
    <col min="11555" max="11555" width="15" style="2" bestFit="1" customWidth="1"/>
    <col min="11556" max="11780" width="9.140625" style="2"/>
    <col min="11781" max="11781" width="4" style="2" customWidth="1"/>
    <col min="11782" max="11782" width="24.42578125" style="2" customWidth="1"/>
    <col min="11783" max="11783" width="19.85546875" style="2" customWidth="1"/>
    <col min="11784" max="11784" width="9.28515625" style="2" customWidth="1"/>
    <col min="11785" max="11785" width="10" style="2" customWidth="1"/>
    <col min="11786" max="11786" width="8.42578125" style="2" customWidth="1"/>
    <col min="11787" max="11787" width="12.28515625" style="2" customWidth="1"/>
    <col min="11788" max="11788" width="7.5703125" style="2" customWidth="1"/>
    <col min="11789" max="11789" width="7.85546875" style="2" customWidth="1"/>
    <col min="11790" max="11790" width="8.28515625" style="2" customWidth="1"/>
    <col min="11791" max="11791" width="9.140625" style="2"/>
    <col min="11792" max="11794" width="7.5703125" style="2" customWidth="1"/>
    <col min="11795" max="11795" width="10.28515625" style="2" customWidth="1"/>
    <col min="11796" max="11796" width="10.5703125" style="2" customWidth="1"/>
    <col min="11797" max="11797" width="11.140625" style="2" customWidth="1"/>
    <col min="11798" max="11798" width="10.42578125" style="2" customWidth="1"/>
    <col min="11799" max="11808" width="11" style="2" customWidth="1"/>
    <col min="11809" max="11809" width="9.140625" style="2" customWidth="1"/>
    <col min="11810" max="11810" width="6.85546875" style="2" customWidth="1"/>
    <col min="11811" max="11811" width="15" style="2" bestFit="1" customWidth="1"/>
    <col min="11812" max="12036" width="9.140625" style="2"/>
    <col min="12037" max="12037" width="4" style="2" customWidth="1"/>
    <col min="12038" max="12038" width="24.42578125" style="2" customWidth="1"/>
    <col min="12039" max="12039" width="19.85546875" style="2" customWidth="1"/>
    <col min="12040" max="12040" width="9.28515625" style="2" customWidth="1"/>
    <col min="12041" max="12041" width="10" style="2" customWidth="1"/>
    <col min="12042" max="12042" width="8.42578125" style="2" customWidth="1"/>
    <col min="12043" max="12043" width="12.28515625" style="2" customWidth="1"/>
    <col min="12044" max="12044" width="7.5703125" style="2" customWidth="1"/>
    <col min="12045" max="12045" width="7.85546875" style="2" customWidth="1"/>
    <col min="12046" max="12046" width="8.28515625" style="2" customWidth="1"/>
    <col min="12047" max="12047" width="9.140625" style="2"/>
    <col min="12048" max="12050" width="7.5703125" style="2" customWidth="1"/>
    <col min="12051" max="12051" width="10.28515625" style="2" customWidth="1"/>
    <col min="12052" max="12052" width="10.5703125" style="2" customWidth="1"/>
    <col min="12053" max="12053" width="11.140625" style="2" customWidth="1"/>
    <col min="12054" max="12054" width="10.42578125" style="2" customWidth="1"/>
    <col min="12055" max="12064" width="11" style="2" customWidth="1"/>
    <col min="12065" max="12065" width="9.140625" style="2" customWidth="1"/>
    <col min="12066" max="12066" width="6.85546875" style="2" customWidth="1"/>
    <col min="12067" max="12067" width="15" style="2" bestFit="1" customWidth="1"/>
    <col min="12068" max="12292" width="9.140625" style="2"/>
    <col min="12293" max="12293" width="4" style="2" customWidth="1"/>
    <col min="12294" max="12294" width="24.42578125" style="2" customWidth="1"/>
    <col min="12295" max="12295" width="19.85546875" style="2" customWidth="1"/>
    <col min="12296" max="12296" width="9.28515625" style="2" customWidth="1"/>
    <col min="12297" max="12297" width="10" style="2" customWidth="1"/>
    <col min="12298" max="12298" width="8.42578125" style="2" customWidth="1"/>
    <col min="12299" max="12299" width="12.28515625" style="2" customWidth="1"/>
    <col min="12300" max="12300" width="7.5703125" style="2" customWidth="1"/>
    <col min="12301" max="12301" width="7.85546875" style="2" customWidth="1"/>
    <col min="12302" max="12302" width="8.28515625" style="2" customWidth="1"/>
    <col min="12303" max="12303" width="9.140625" style="2"/>
    <col min="12304" max="12306" width="7.5703125" style="2" customWidth="1"/>
    <col min="12307" max="12307" width="10.28515625" style="2" customWidth="1"/>
    <col min="12308" max="12308" width="10.5703125" style="2" customWidth="1"/>
    <col min="12309" max="12309" width="11.140625" style="2" customWidth="1"/>
    <col min="12310" max="12310" width="10.42578125" style="2" customWidth="1"/>
    <col min="12311" max="12320" width="11" style="2" customWidth="1"/>
    <col min="12321" max="12321" width="9.140625" style="2" customWidth="1"/>
    <col min="12322" max="12322" width="6.85546875" style="2" customWidth="1"/>
    <col min="12323" max="12323" width="15" style="2" bestFit="1" customWidth="1"/>
    <col min="12324" max="12548" width="9.140625" style="2"/>
    <col min="12549" max="12549" width="4" style="2" customWidth="1"/>
    <col min="12550" max="12550" width="24.42578125" style="2" customWidth="1"/>
    <col min="12551" max="12551" width="19.85546875" style="2" customWidth="1"/>
    <col min="12552" max="12552" width="9.28515625" style="2" customWidth="1"/>
    <col min="12553" max="12553" width="10" style="2" customWidth="1"/>
    <col min="12554" max="12554" width="8.42578125" style="2" customWidth="1"/>
    <col min="12555" max="12555" width="12.28515625" style="2" customWidth="1"/>
    <col min="12556" max="12556" width="7.5703125" style="2" customWidth="1"/>
    <col min="12557" max="12557" width="7.85546875" style="2" customWidth="1"/>
    <col min="12558" max="12558" width="8.28515625" style="2" customWidth="1"/>
    <col min="12559" max="12559" width="9.140625" style="2"/>
    <col min="12560" max="12562" width="7.5703125" style="2" customWidth="1"/>
    <col min="12563" max="12563" width="10.28515625" style="2" customWidth="1"/>
    <col min="12564" max="12564" width="10.5703125" style="2" customWidth="1"/>
    <col min="12565" max="12565" width="11.140625" style="2" customWidth="1"/>
    <col min="12566" max="12566" width="10.42578125" style="2" customWidth="1"/>
    <col min="12567" max="12576" width="11" style="2" customWidth="1"/>
    <col min="12577" max="12577" width="9.140625" style="2" customWidth="1"/>
    <col min="12578" max="12578" width="6.85546875" style="2" customWidth="1"/>
    <col min="12579" max="12579" width="15" style="2" bestFit="1" customWidth="1"/>
    <col min="12580" max="12804" width="9.140625" style="2"/>
    <col min="12805" max="12805" width="4" style="2" customWidth="1"/>
    <col min="12806" max="12806" width="24.42578125" style="2" customWidth="1"/>
    <col min="12807" max="12807" width="19.85546875" style="2" customWidth="1"/>
    <col min="12808" max="12808" width="9.28515625" style="2" customWidth="1"/>
    <col min="12809" max="12809" width="10" style="2" customWidth="1"/>
    <col min="12810" max="12810" width="8.42578125" style="2" customWidth="1"/>
    <col min="12811" max="12811" width="12.28515625" style="2" customWidth="1"/>
    <col min="12812" max="12812" width="7.5703125" style="2" customWidth="1"/>
    <col min="12813" max="12813" width="7.85546875" style="2" customWidth="1"/>
    <col min="12814" max="12814" width="8.28515625" style="2" customWidth="1"/>
    <col min="12815" max="12815" width="9.140625" style="2"/>
    <col min="12816" max="12818" width="7.5703125" style="2" customWidth="1"/>
    <col min="12819" max="12819" width="10.28515625" style="2" customWidth="1"/>
    <col min="12820" max="12820" width="10.5703125" style="2" customWidth="1"/>
    <col min="12821" max="12821" width="11.140625" style="2" customWidth="1"/>
    <col min="12822" max="12822" width="10.42578125" style="2" customWidth="1"/>
    <col min="12823" max="12832" width="11" style="2" customWidth="1"/>
    <col min="12833" max="12833" width="9.140625" style="2" customWidth="1"/>
    <col min="12834" max="12834" width="6.85546875" style="2" customWidth="1"/>
    <col min="12835" max="12835" width="15" style="2" bestFit="1" customWidth="1"/>
    <col min="12836" max="13060" width="9.140625" style="2"/>
    <col min="13061" max="13061" width="4" style="2" customWidth="1"/>
    <col min="13062" max="13062" width="24.42578125" style="2" customWidth="1"/>
    <col min="13063" max="13063" width="19.85546875" style="2" customWidth="1"/>
    <col min="13064" max="13064" width="9.28515625" style="2" customWidth="1"/>
    <col min="13065" max="13065" width="10" style="2" customWidth="1"/>
    <col min="13066" max="13066" width="8.42578125" style="2" customWidth="1"/>
    <col min="13067" max="13067" width="12.28515625" style="2" customWidth="1"/>
    <col min="13068" max="13068" width="7.5703125" style="2" customWidth="1"/>
    <col min="13069" max="13069" width="7.85546875" style="2" customWidth="1"/>
    <col min="13070" max="13070" width="8.28515625" style="2" customWidth="1"/>
    <col min="13071" max="13071" width="9.140625" style="2"/>
    <col min="13072" max="13074" width="7.5703125" style="2" customWidth="1"/>
    <col min="13075" max="13075" width="10.28515625" style="2" customWidth="1"/>
    <col min="13076" max="13076" width="10.5703125" style="2" customWidth="1"/>
    <col min="13077" max="13077" width="11.140625" style="2" customWidth="1"/>
    <col min="13078" max="13078" width="10.42578125" style="2" customWidth="1"/>
    <col min="13079" max="13088" width="11" style="2" customWidth="1"/>
    <col min="13089" max="13089" width="9.140625" style="2" customWidth="1"/>
    <col min="13090" max="13090" width="6.85546875" style="2" customWidth="1"/>
    <col min="13091" max="13091" width="15" style="2" bestFit="1" customWidth="1"/>
    <col min="13092" max="13316" width="9.140625" style="2"/>
    <col min="13317" max="13317" width="4" style="2" customWidth="1"/>
    <col min="13318" max="13318" width="24.42578125" style="2" customWidth="1"/>
    <col min="13319" max="13319" width="19.85546875" style="2" customWidth="1"/>
    <col min="13320" max="13320" width="9.28515625" style="2" customWidth="1"/>
    <col min="13321" max="13321" width="10" style="2" customWidth="1"/>
    <col min="13322" max="13322" width="8.42578125" style="2" customWidth="1"/>
    <col min="13323" max="13323" width="12.28515625" style="2" customWidth="1"/>
    <col min="13324" max="13324" width="7.5703125" style="2" customWidth="1"/>
    <col min="13325" max="13325" width="7.85546875" style="2" customWidth="1"/>
    <col min="13326" max="13326" width="8.28515625" style="2" customWidth="1"/>
    <col min="13327" max="13327" width="9.140625" style="2"/>
    <col min="13328" max="13330" width="7.5703125" style="2" customWidth="1"/>
    <col min="13331" max="13331" width="10.28515625" style="2" customWidth="1"/>
    <col min="13332" max="13332" width="10.5703125" style="2" customWidth="1"/>
    <col min="13333" max="13333" width="11.140625" style="2" customWidth="1"/>
    <col min="13334" max="13334" width="10.42578125" style="2" customWidth="1"/>
    <col min="13335" max="13344" width="11" style="2" customWidth="1"/>
    <col min="13345" max="13345" width="9.140625" style="2" customWidth="1"/>
    <col min="13346" max="13346" width="6.85546875" style="2" customWidth="1"/>
    <col min="13347" max="13347" width="15" style="2" bestFit="1" customWidth="1"/>
    <col min="13348" max="13572" width="9.140625" style="2"/>
    <col min="13573" max="13573" width="4" style="2" customWidth="1"/>
    <col min="13574" max="13574" width="24.42578125" style="2" customWidth="1"/>
    <col min="13575" max="13575" width="19.85546875" style="2" customWidth="1"/>
    <col min="13576" max="13576" width="9.28515625" style="2" customWidth="1"/>
    <col min="13577" max="13577" width="10" style="2" customWidth="1"/>
    <col min="13578" max="13578" width="8.42578125" style="2" customWidth="1"/>
    <col min="13579" max="13579" width="12.28515625" style="2" customWidth="1"/>
    <col min="13580" max="13580" width="7.5703125" style="2" customWidth="1"/>
    <col min="13581" max="13581" width="7.85546875" style="2" customWidth="1"/>
    <col min="13582" max="13582" width="8.28515625" style="2" customWidth="1"/>
    <col min="13583" max="13583" width="9.140625" style="2"/>
    <col min="13584" max="13586" width="7.5703125" style="2" customWidth="1"/>
    <col min="13587" max="13587" width="10.28515625" style="2" customWidth="1"/>
    <col min="13588" max="13588" width="10.5703125" style="2" customWidth="1"/>
    <col min="13589" max="13589" width="11.140625" style="2" customWidth="1"/>
    <col min="13590" max="13590" width="10.42578125" style="2" customWidth="1"/>
    <col min="13591" max="13600" width="11" style="2" customWidth="1"/>
    <col min="13601" max="13601" width="9.140625" style="2" customWidth="1"/>
    <col min="13602" max="13602" width="6.85546875" style="2" customWidth="1"/>
    <col min="13603" max="13603" width="15" style="2" bestFit="1" customWidth="1"/>
    <col min="13604" max="13828" width="9.140625" style="2"/>
    <col min="13829" max="13829" width="4" style="2" customWidth="1"/>
    <col min="13830" max="13830" width="24.42578125" style="2" customWidth="1"/>
    <col min="13831" max="13831" width="19.85546875" style="2" customWidth="1"/>
    <col min="13832" max="13832" width="9.28515625" style="2" customWidth="1"/>
    <col min="13833" max="13833" width="10" style="2" customWidth="1"/>
    <col min="13834" max="13834" width="8.42578125" style="2" customWidth="1"/>
    <col min="13835" max="13835" width="12.28515625" style="2" customWidth="1"/>
    <col min="13836" max="13836" width="7.5703125" style="2" customWidth="1"/>
    <col min="13837" max="13837" width="7.85546875" style="2" customWidth="1"/>
    <col min="13838" max="13838" width="8.28515625" style="2" customWidth="1"/>
    <col min="13839" max="13839" width="9.140625" style="2"/>
    <col min="13840" max="13842" width="7.5703125" style="2" customWidth="1"/>
    <col min="13843" max="13843" width="10.28515625" style="2" customWidth="1"/>
    <col min="13844" max="13844" width="10.5703125" style="2" customWidth="1"/>
    <col min="13845" max="13845" width="11.140625" style="2" customWidth="1"/>
    <col min="13846" max="13846" width="10.42578125" style="2" customWidth="1"/>
    <col min="13847" max="13856" width="11" style="2" customWidth="1"/>
    <col min="13857" max="13857" width="9.140625" style="2" customWidth="1"/>
    <col min="13858" max="13858" width="6.85546875" style="2" customWidth="1"/>
    <col min="13859" max="13859" width="15" style="2" bestFit="1" customWidth="1"/>
    <col min="13860" max="14084" width="9.140625" style="2"/>
    <col min="14085" max="14085" width="4" style="2" customWidth="1"/>
    <col min="14086" max="14086" width="24.42578125" style="2" customWidth="1"/>
    <col min="14087" max="14087" width="19.85546875" style="2" customWidth="1"/>
    <col min="14088" max="14088" width="9.28515625" style="2" customWidth="1"/>
    <col min="14089" max="14089" width="10" style="2" customWidth="1"/>
    <col min="14090" max="14090" width="8.42578125" style="2" customWidth="1"/>
    <col min="14091" max="14091" width="12.28515625" style="2" customWidth="1"/>
    <col min="14092" max="14092" width="7.5703125" style="2" customWidth="1"/>
    <col min="14093" max="14093" width="7.85546875" style="2" customWidth="1"/>
    <col min="14094" max="14094" width="8.28515625" style="2" customWidth="1"/>
    <col min="14095" max="14095" width="9.140625" style="2"/>
    <col min="14096" max="14098" width="7.5703125" style="2" customWidth="1"/>
    <col min="14099" max="14099" width="10.28515625" style="2" customWidth="1"/>
    <col min="14100" max="14100" width="10.5703125" style="2" customWidth="1"/>
    <col min="14101" max="14101" width="11.140625" style="2" customWidth="1"/>
    <col min="14102" max="14102" width="10.42578125" style="2" customWidth="1"/>
    <col min="14103" max="14112" width="11" style="2" customWidth="1"/>
    <col min="14113" max="14113" width="9.140625" style="2" customWidth="1"/>
    <col min="14114" max="14114" width="6.85546875" style="2" customWidth="1"/>
    <col min="14115" max="14115" width="15" style="2" bestFit="1" customWidth="1"/>
    <col min="14116" max="14340" width="9.140625" style="2"/>
    <col min="14341" max="14341" width="4" style="2" customWidth="1"/>
    <col min="14342" max="14342" width="24.42578125" style="2" customWidth="1"/>
    <col min="14343" max="14343" width="19.85546875" style="2" customWidth="1"/>
    <col min="14344" max="14344" width="9.28515625" style="2" customWidth="1"/>
    <col min="14345" max="14345" width="10" style="2" customWidth="1"/>
    <col min="14346" max="14346" width="8.42578125" style="2" customWidth="1"/>
    <col min="14347" max="14347" width="12.28515625" style="2" customWidth="1"/>
    <col min="14348" max="14348" width="7.5703125" style="2" customWidth="1"/>
    <col min="14349" max="14349" width="7.85546875" style="2" customWidth="1"/>
    <col min="14350" max="14350" width="8.28515625" style="2" customWidth="1"/>
    <col min="14351" max="14351" width="9.140625" style="2"/>
    <col min="14352" max="14354" width="7.5703125" style="2" customWidth="1"/>
    <col min="14355" max="14355" width="10.28515625" style="2" customWidth="1"/>
    <col min="14356" max="14356" width="10.5703125" style="2" customWidth="1"/>
    <col min="14357" max="14357" width="11.140625" style="2" customWidth="1"/>
    <col min="14358" max="14358" width="10.42578125" style="2" customWidth="1"/>
    <col min="14359" max="14368" width="11" style="2" customWidth="1"/>
    <col min="14369" max="14369" width="9.140625" style="2" customWidth="1"/>
    <col min="14370" max="14370" width="6.85546875" style="2" customWidth="1"/>
    <col min="14371" max="14371" width="15" style="2" bestFit="1" customWidth="1"/>
    <col min="14372" max="14596" width="9.140625" style="2"/>
    <col min="14597" max="14597" width="4" style="2" customWidth="1"/>
    <col min="14598" max="14598" width="24.42578125" style="2" customWidth="1"/>
    <col min="14599" max="14599" width="19.85546875" style="2" customWidth="1"/>
    <col min="14600" max="14600" width="9.28515625" style="2" customWidth="1"/>
    <col min="14601" max="14601" width="10" style="2" customWidth="1"/>
    <col min="14602" max="14602" width="8.42578125" style="2" customWidth="1"/>
    <col min="14603" max="14603" width="12.28515625" style="2" customWidth="1"/>
    <col min="14604" max="14604" width="7.5703125" style="2" customWidth="1"/>
    <col min="14605" max="14605" width="7.85546875" style="2" customWidth="1"/>
    <col min="14606" max="14606" width="8.28515625" style="2" customWidth="1"/>
    <col min="14607" max="14607" width="9.140625" style="2"/>
    <col min="14608" max="14610" width="7.5703125" style="2" customWidth="1"/>
    <col min="14611" max="14611" width="10.28515625" style="2" customWidth="1"/>
    <col min="14612" max="14612" width="10.5703125" style="2" customWidth="1"/>
    <col min="14613" max="14613" width="11.140625" style="2" customWidth="1"/>
    <col min="14614" max="14614" width="10.42578125" style="2" customWidth="1"/>
    <col min="14615" max="14624" width="11" style="2" customWidth="1"/>
    <col min="14625" max="14625" width="9.140625" style="2" customWidth="1"/>
    <col min="14626" max="14626" width="6.85546875" style="2" customWidth="1"/>
    <col min="14627" max="14627" width="15" style="2" bestFit="1" customWidth="1"/>
    <col min="14628" max="14852" width="9.140625" style="2"/>
    <col min="14853" max="14853" width="4" style="2" customWidth="1"/>
    <col min="14854" max="14854" width="24.42578125" style="2" customWidth="1"/>
    <col min="14855" max="14855" width="19.85546875" style="2" customWidth="1"/>
    <col min="14856" max="14856" width="9.28515625" style="2" customWidth="1"/>
    <col min="14857" max="14857" width="10" style="2" customWidth="1"/>
    <col min="14858" max="14858" width="8.42578125" style="2" customWidth="1"/>
    <col min="14859" max="14859" width="12.28515625" style="2" customWidth="1"/>
    <col min="14860" max="14860" width="7.5703125" style="2" customWidth="1"/>
    <col min="14861" max="14861" width="7.85546875" style="2" customWidth="1"/>
    <col min="14862" max="14862" width="8.28515625" style="2" customWidth="1"/>
    <col min="14863" max="14863" width="9.140625" style="2"/>
    <col min="14864" max="14866" width="7.5703125" style="2" customWidth="1"/>
    <col min="14867" max="14867" width="10.28515625" style="2" customWidth="1"/>
    <col min="14868" max="14868" width="10.5703125" style="2" customWidth="1"/>
    <col min="14869" max="14869" width="11.140625" style="2" customWidth="1"/>
    <col min="14870" max="14870" width="10.42578125" style="2" customWidth="1"/>
    <col min="14871" max="14880" width="11" style="2" customWidth="1"/>
    <col min="14881" max="14881" width="9.140625" style="2" customWidth="1"/>
    <col min="14882" max="14882" width="6.85546875" style="2" customWidth="1"/>
    <col min="14883" max="14883" width="15" style="2" bestFit="1" customWidth="1"/>
    <col min="14884" max="15108" width="9.140625" style="2"/>
    <col min="15109" max="15109" width="4" style="2" customWidth="1"/>
    <col min="15110" max="15110" width="24.42578125" style="2" customWidth="1"/>
    <col min="15111" max="15111" width="19.85546875" style="2" customWidth="1"/>
    <col min="15112" max="15112" width="9.28515625" style="2" customWidth="1"/>
    <col min="15113" max="15113" width="10" style="2" customWidth="1"/>
    <col min="15114" max="15114" width="8.42578125" style="2" customWidth="1"/>
    <col min="15115" max="15115" width="12.28515625" style="2" customWidth="1"/>
    <col min="15116" max="15116" width="7.5703125" style="2" customWidth="1"/>
    <col min="15117" max="15117" width="7.85546875" style="2" customWidth="1"/>
    <col min="15118" max="15118" width="8.28515625" style="2" customWidth="1"/>
    <col min="15119" max="15119" width="9.140625" style="2"/>
    <col min="15120" max="15122" width="7.5703125" style="2" customWidth="1"/>
    <col min="15123" max="15123" width="10.28515625" style="2" customWidth="1"/>
    <col min="15124" max="15124" width="10.5703125" style="2" customWidth="1"/>
    <col min="15125" max="15125" width="11.140625" style="2" customWidth="1"/>
    <col min="15126" max="15126" width="10.42578125" style="2" customWidth="1"/>
    <col min="15127" max="15136" width="11" style="2" customWidth="1"/>
    <col min="15137" max="15137" width="9.140625" style="2" customWidth="1"/>
    <col min="15138" max="15138" width="6.85546875" style="2" customWidth="1"/>
    <col min="15139" max="15139" width="15" style="2" bestFit="1" customWidth="1"/>
    <col min="15140" max="15364" width="9.140625" style="2"/>
    <col min="15365" max="15365" width="4" style="2" customWidth="1"/>
    <col min="15366" max="15366" width="24.42578125" style="2" customWidth="1"/>
    <col min="15367" max="15367" width="19.85546875" style="2" customWidth="1"/>
    <col min="15368" max="15368" width="9.28515625" style="2" customWidth="1"/>
    <col min="15369" max="15369" width="10" style="2" customWidth="1"/>
    <col min="15370" max="15370" width="8.42578125" style="2" customWidth="1"/>
    <col min="15371" max="15371" width="12.28515625" style="2" customWidth="1"/>
    <col min="15372" max="15372" width="7.5703125" style="2" customWidth="1"/>
    <col min="15373" max="15373" width="7.85546875" style="2" customWidth="1"/>
    <col min="15374" max="15374" width="8.28515625" style="2" customWidth="1"/>
    <col min="15375" max="15375" width="9.140625" style="2"/>
    <col min="15376" max="15378" width="7.5703125" style="2" customWidth="1"/>
    <col min="15379" max="15379" width="10.28515625" style="2" customWidth="1"/>
    <col min="15380" max="15380" width="10.5703125" style="2" customWidth="1"/>
    <col min="15381" max="15381" width="11.140625" style="2" customWidth="1"/>
    <col min="15382" max="15382" width="10.42578125" style="2" customWidth="1"/>
    <col min="15383" max="15392" width="11" style="2" customWidth="1"/>
    <col min="15393" max="15393" width="9.140625" style="2" customWidth="1"/>
    <col min="15394" max="15394" width="6.85546875" style="2" customWidth="1"/>
    <col min="15395" max="15395" width="15" style="2" bestFit="1" customWidth="1"/>
    <col min="15396" max="15620" width="9.140625" style="2"/>
    <col min="15621" max="15621" width="4" style="2" customWidth="1"/>
    <col min="15622" max="15622" width="24.42578125" style="2" customWidth="1"/>
    <col min="15623" max="15623" width="19.85546875" style="2" customWidth="1"/>
    <col min="15624" max="15624" width="9.28515625" style="2" customWidth="1"/>
    <col min="15625" max="15625" width="10" style="2" customWidth="1"/>
    <col min="15626" max="15626" width="8.42578125" style="2" customWidth="1"/>
    <col min="15627" max="15627" width="12.28515625" style="2" customWidth="1"/>
    <col min="15628" max="15628" width="7.5703125" style="2" customWidth="1"/>
    <col min="15629" max="15629" width="7.85546875" style="2" customWidth="1"/>
    <col min="15630" max="15630" width="8.28515625" style="2" customWidth="1"/>
    <col min="15631" max="15631" width="9.140625" style="2"/>
    <col min="15632" max="15634" width="7.5703125" style="2" customWidth="1"/>
    <col min="15635" max="15635" width="10.28515625" style="2" customWidth="1"/>
    <col min="15636" max="15636" width="10.5703125" style="2" customWidth="1"/>
    <col min="15637" max="15637" width="11.140625" style="2" customWidth="1"/>
    <col min="15638" max="15638" width="10.42578125" style="2" customWidth="1"/>
    <col min="15639" max="15648" width="11" style="2" customWidth="1"/>
    <col min="15649" max="15649" width="9.140625" style="2" customWidth="1"/>
    <col min="15650" max="15650" width="6.85546875" style="2" customWidth="1"/>
    <col min="15651" max="15651" width="15" style="2" bestFit="1" customWidth="1"/>
    <col min="15652" max="15876" width="9.140625" style="2"/>
    <col min="15877" max="15877" width="4" style="2" customWidth="1"/>
    <col min="15878" max="15878" width="24.42578125" style="2" customWidth="1"/>
    <col min="15879" max="15879" width="19.85546875" style="2" customWidth="1"/>
    <col min="15880" max="15880" width="9.28515625" style="2" customWidth="1"/>
    <col min="15881" max="15881" width="10" style="2" customWidth="1"/>
    <col min="15882" max="15882" width="8.42578125" style="2" customWidth="1"/>
    <col min="15883" max="15883" width="12.28515625" style="2" customWidth="1"/>
    <col min="15884" max="15884" width="7.5703125" style="2" customWidth="1"/>
    <col min="15885" max="15885" width="7.85546875" style="2" customWidth="1"/>
    <col min="15886" max="15886" width="8.28515625" style="2" customWidth="1"/>
    <col min="15887" max="15887" width="9.140625" style="2"/>
    <col min="15888" max="15890" width="7.5703125" style="2" customWidth="1"/>
    <col min="15891" max="15891" width="10.28515625" style="2" customWidth="1"/>
    <col min="15892" max="15892" width="10.5703125" style="2" customWidth="1"/>
    <col min="15893" max="15893" width="11.140625" style="2" customWidth="1"/>
    <col min="15894" max="15894" width="10.42578125" style="2" customWidth="1"/>
    <col min="15895" max="15904" width="11" style="2" customWidth="1"/>
    <col min="15905" max="15905" width="9.140625" style="2" customWidth="1"/>
    <col min="15906" max="15906" width="6.85546875" style="2" customWidth="1"/>
    <col min="15907" max="15907" width="15" style="2" bestFit="1" customWidth="1"/>
    <col min="15908" max="16132" width="9.140625" style="2"/>
    <col min="16133" max="16133" width="4" style="2" customWidth="1"/>
    <col min="16134" max="16134" width="24.42578125" style="2" customWidth="1"/>
    <col min="16135" max="16135" width="19.85546875" style="2" customWidth="1"/>
    <col min="16136" max="16136" width="9.28515625" style="2" customWidth="1"/>
    <col min="16137" max="16137" width="10" style="2" customWidth="1"/>
    <col min="16138" max="16138" width="8.42578125" style="2" customWidth="1"/>
    <col min="16139" max="16139" width="12.28515625" style="2" customWidth="1"/>
    <col min="16140" max="16140" width="7.5703125" style="2" customWidth="1"/>
    <col min="16141" max="16141" width="7.85546875" style="2" customWidth="1"/>
    <col min="16142" max="16142" width="8.28515625" style="2" customWidth="1"/>
    <col min="16143" max="16143" width="9.140625" style="2"/>
    <col min="16144" max="16146" width="7.5703125" style="2" customWidth="1"/>
    <col min="16147" max="16147" width="10.28515625" style="2" customWidth="1"/>
    <col min="16148" max="16148" width="10.5703125" style="2" customWidth="1"/>
    <col min="16149" max="16149" width="11.140625" style="2" customWidth="1"/>
    <col min="16150" max="16150" width="10.42578125" style="2" customWidth="1"/>
    <col min="16151" max="16160" width="11" style="2" customWidth="1"/>
    <col min="16161" max="16161" width="9.140625" style="2" customWidth="1"/>
    <col min="16162" max="16162" width="6.85546875" style="2" customWidth="1"/>
    <col min="16163" max="16163" width="15" style="2" bestFit="1" customWidth="1"/>
    <col min="16164" max="16384" width="9.140625" style="2"/>
  </cols>
  <sheetData>
    <row r="1" spans="1:48" ht="125.25">
      <c r="A1" s="10" t="s">
        <v>17</v>
      </c>
      <c r="B1" s="11"/>
      <c r="C1" s="11" t="s">
        <v>19</v>
      </c>
      <c r="D1" s="12" t="s">
        <v>20</v>
      </c>
      <c r="E1" s="81">
        <v>2017</v>
      </c>
      <c r="F1" s="77" t="s">
        <v>194</v>
      </c>
      <c r="G1" s="77" t="s">
        <v>195</v>
      </c>
      <c r="H1" s="81">
        <v>2019</v>
      </c>
      <c r="I1" s="13" t="s">
        <v>21</v>
      </c>
      <c r="J1" s="4" t="s">
        <v>22</v>
      </c>
      <c r="K1" s="4" t="s">
        <v>23</v>
      </c>
      <c r="L1" s="4" t="s">
        <v>24</v>
      </c>
      <c r="M1" s="4" t="s">
        <v>25</v>
      </c>
      <c r="N1" s="4" t="s">
        <v>26</v>
      </c>
      <c r="O1" s="4" t="s">
        <v>27</v>
      </c>
      <c r="P1" s="4" t="s">
        <v>28</v>
      </c>
      <c r="Q1" s="4" t="s">
        <v>29</v>
      </c>
      <c r="R1" s="4" t="s">
        <v>30</v>
      </c>
      <c r="S1" s="4" t="s">
        <v>31</v>
      </c>
      <c r="T1" s="4" t="s">
        <v>32</v>
      </c>
      <c r="U1" s="4" t="s">
        <v>33</v>
      </c>
      <c r="V1" s="4" t="s">
        <v>34</v>
      </c>
      <c r="W1" s="4" t="s">
        <v>35</v>
      </c>
      <c r="X1" s="4" t="s">
        <v>36</v>
      </c>
      <c r="Y1" s="4" t="s">
        <v>37</v>
      </c>
      <c r="Z1" s="5" t="s">
        <v>38</v>
      </c>
      <c r="AA1" s="5" t="s">
        <v>39</v>
      </c>
      <c r="AB1" s="26" t="s">
        <v>151</v>
      </c>
      <c r="AC1" s="26" t="s">
        <v>152</v>
      </c>
      <c r="AD1" s="26" t="s">
        <v>153</v>
      </c>
      <c r="AG1" s="34" t="s">
        <v>154</v>
      </c>
      <c r="AH1" s="46" t="s">
        <v>155</v>
      </c>
      <c r="AN1" s="47" t="s">
        <v>156</v>
      </c>
      <c r="AP1" s="73" t="s">
        <v>15</v>
      </c>
      <c r="AS1" s="2">
        <v>4</v>
      </c>
      <c r="AT1" s="2">
        <v>12</v>
      </c>
    </row>
    <row r="2" spans="1:48" ht="46.5" customHeight="1">
      <c r="A2" s="16">
        <v>1</v>
      </c>
      <c r="B2" s="16" t="s">
        <v>75</v>
      </c>
      <c r="C2" s="16" t="s">
        <v>75</v>
      </c>
      <c r="D2" s="20" t="s">
        <v>76</v>
      </c>
      <c r="E2" s="78"/>
      <c r="F2" s="78"/>
      <c r="G2" s="78">
        <f t="shared" ref="G2:G10" si="0">AVERAGE(W2:Z2)</f>
        <v>99656.5</v>
      </c>
      <c r="H2" s="78">
        <f t="shared" ref="H2:H10" si="1">AVERAGE(AA2:AD2)</f>
        <v>67065.75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>
        <v>0</v>
      </c>
      <c r="Z2" s="6">
        <v>199313</v>
      </c>
      <c r="AA2" s="6">
        <v>138489</v>
      </c>
      <c r="AB2" s="27">
        <v>43957</v>
      </c>
      <c r="AC2" s="27">
        <v>53947</v>
      </c>
      <c r="AD2" s="27">
        <v>31870</v>
      </c>
      <c r="AE2" s="33">
        <f t="shared" ref="AE2:AE10" si="2">SUM(I2:AD2)</f>
        <v>467576</v>
      </c>
      <c r="AF2" s="33"/>
      <c r="AG2" s="39">
        <v>0.105</v>
      </c>
      <c r="AH2" s="33">
        <f t="shared" ref="AH2:AH10" si="3">AE2*AG2</f>
        <v>49095.479999999996</v>
      </c>
      <c r="AI2" s="46" t="e">
        <f>AH2/#REF!*100</f>
        <v>#REF!</v>
      </c>
      <c r="AJ2" s="46" t="e">
        <f>AI2*#REF!/100</f>
        <v>#REF!</v>
      </c>
      <c r="AK2" s="46" t="e">
        <f t="shared" ref="AK2:AK10" si="4">AJ2/AG2</f>
        <v>#REF!</v>
      </c>
      <c r="AL2" s="46" t="e">
        <f>AK2/AS2</f>
        <v>#REF!</v>
      </c>
      <c r="AM2" s="46" t="e">
        <f t="shared" ref="AM2:AM10" si="5">AK2/AT2</f>
        <v>#REF!</v>
      </c>
      <c r="AN2" s="48">
        <v>1735389</v>
      </c>
      <c r="AP2" s="74">
        <f>საპენსიო!D11</f>
        <v>97.300604229607245</v>
      </c>
      <c r="AQ2" s="74">
        <f>შშმპ!D6</f>
        <v>99.151515151515156</v>
      </c>
      <c r="AR2" s="9">
        <f t="shared" ref="AR2:AR10" si="6">AVERAGE(AP2:AQ2)</f>
        <v>98.2260596905612</v>
      </c>
      <c r="AS2" s="9">
        <f t="shared" ref="AS2:AS10" si="7">AR2/$AS$1</f>
        <v>24.5565149226403</v>
      </c>
      <c r="AT2" s="9">
        <f t="shared" ref="AT2:AT10" si="8">AS2*$AT$1</f>
        <v>294.67817907168359</v>
      </c>
      <c r="AU2" s="76">
        <f>AN2/AR2</f>
        <v>17667.297308544668</v>
      </c>
      <c r="AV2" s="76">
        <f>AN2/AS2</f>
        <v>70669.189234178673</v>
      </c>
    </row>
    <row r="3" spans="1:48" ht="46.5" customHeight="1">
      <c r="A3" s="16">
        <v>2</v>
      </c>
      <c r="B3" s="16" t="s">
        <v>77</v>
      </c>
      <c r="C3" s="16" t="s">
        <v>78</v>
      </c>
      <c r="D3" s="20" t="s">
        <v>79</v>
      </c>
      <c r="E3" s="78"/>
      <c r="F3" s="78"/>
      <c r="G3" s="78">
        <f t="shared" si="0"/>
        <v>5203.5</v>
      </c>
      <c r="H3" s="78">
        <f t="shared" si="1"/>
        <v>13615.75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>
        <v>0</v>
      </c>
      <c r="Z3" s="6">
        <v>10407</v>
      </c>
      <c r="AA3" s="6">
        <v>11936</v>
      </c>
      <c r="AB3" s="27">
        <v>13690</v>
      </c>
      <c r="AC3" s="27">
        <v>14570</v>
      </c>
      <c r="AD3" s="27">
        <v>14267</v>
      </c>
      <c r="AE3" s="33">
        <f t="shared" si="2"/>
        <v>64870</v>
      </c>
      <c r="AF3" s="33"/>
      <c r="AG3" s="40">
        <v>0.23400000000000001</v>
      </c>
      <c r="AH3" s="33">
        <f t="shared" si="3"/>
        <v>15179.580000000002</v>
      </c>
      <c r="AI3" s="46" t="e">
        <f>AH3/#REF!*100</f>
        <v>#REF!</v>
      </c>
      <c r="AJ3" s="46" t="e">
        <f>AI3*#REF!/100</f>
        <v>#REF!</v>
      </c>
      <c r="AK3" s="46" t="e">
        <f t="shared" si="4"/>
        <v>#REF!</v>
      </c>
      <c r="AL3" s="46" t="e">
        <f>AK3/AS3</f>
        <v>#REF!</v>
      </c>
      <c r="AM3" s="46" t="e">
        <f t="shared" si="5"/>
        <v>#REF!</v>
      </c>
      <c r="AN3" s="48">
        <v>408402</v>
      </c>
      <c r="AP3" s="74">
        <f>საპენსიო!D13</f>
        <v>37.95945945945946</v>
      </c>
      <c r="AQ3" s="74">
        <f>შშმპ!D8</f>
        <v>32.18181818181818</v>
      </c>
      <c r="AR3" s="9">
        <f t="shared" si="6"/>
        <v>35.07063882063882</v>
      </c>
      <c r="AS3" s="9">
        <f t="shared" si="7"/>
        <v>8.7676597051597049</v>
      </c>
      <c r="AT3" s="9">
        <f t="shared" si="8"/>
        <v>105.21191646191646</v>
      </c>
      <c r="AU3" s="76">
        <f>AN3/AR3</f>
        <v>11645.12577283475</v>
      </c>
      <c r="AV3" s="76">
        <f>AN3/AS3</f>
        <v>46580.503091339</v>
      </c>
    </row>
    <row r="4" spans="1:48" ht="46.5" customHeight="1">
      <c r="A4" s="16">
        <v>3</v>
      </c>
      <c r="B4" s="21" t="s">
        <v>80</v>
      </c>
      <c r="C4" s="16" t="s">
        <v>81</v>
      </c>
      <c r="D4" s="20" t="s">
        <v>68</v>
      </c>
      <c r="E4" s="78"/>
      <c r="F4" s="78"/>
      <c r="G4" s="78">
        <f t="shared" si="0"/>
        <v>0</v>
      </c>
      <c r="H4" s="78">
        <f t="shared" si="1"/>
        <v>22701.5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>
        <v>0</v>
      </c>
      <c r="AA4" s="6">
        <v>9963</v>
      </c>
      <c r="AB4" s="27">
        <v>21402</v>
      </c>
      <c r="AC4" s="27">
        <v>23577</v>
      </c>
      <c r="AD4" s="27">
        <v>35864</v>
      </c>
      <c r="AE4" s="33">
        <f t="shared" si="2"/>
        <v>90806</v>
      </c>
      <c r="AF4" s="33"/>
      <c r="AG4" s="39">
        <v>0.316</v>
      </c>
      <c r="AH4" s="33">
        <f t="shared" si="3"/>
        <v>28694.696</v>
      </c>
      <c r="AI4" s="46" t="e">
        <f>AH4/#REF!*100</f>
        <v>#REF!</v>
      </c>
      <c r="AJ4" s="46" t="e">
        <f>AI4*#REF!/100</f>
        <v>#REF!</v>
      </c>
      <c r="AK4" s="46" t="e">
        <f t="shared" si="4"/>
        <v>#REF!</v>
      </c>
      <c r="AL4" s="46" t="e">
        <f>AK4/AS4</f>
        <v>#REF!</v>
      </c>
      <c r="AM4" s="46" t="e">
        <f t="shared" si="5"/>
        <v>#REF!</v>
      </c>
      <c r="AN4" s="48">
        <v>743338</v>
      </c>
      <c r="AP4" s="74"/>
      <c r="AQ4" s="74">
        <f>შშმპ!D28</f>
        <v>30</v>
      </c>
      <c r="AR4" s="9">
        <f t="shared" si="6"/>
        <v>30</v>
      </c>
      <c r="AS4" s="9">
        <f t="shared" si="7"/>
        <v>7.5</v>
      </c>
      <c r="AT4" s="9">
        <f t="shared" si="8"/>
        <v>90</v>
      </c>
      <c r="AU4" s="76">
        <f>AN4/AR4</f>
        <v>24777.933333333334</v>
      </c>
      <c r="AV4" s="76">
        <f>AN4/AS4</f>
        <v>99111.733333333337</v>
      </c>
    </row>
    <row r="5" spans="1:48" ht="46.5" customHeight="1">
      <c r="A5" s="16">
        <v>4</v>
      </c>
      <c r="B5" s="21" t="s">
        <v>82</v>
      </c>
      <c r="C5" s="16" t="s">
        <v>83</v>
      </c>
      <c r="D5" s="20" t="s">
        <v>68</v>
      </c>
      <c r="E5" s="78"/>
      <c r="F5" s="78"/>
      <c r="G5" s="78">
        <f t="shared" si="0"/>
        <v>92</v>
      </c>
      <c r="H5" s="78">
        <f t="shared" si="1"/>
        <v>41466.75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>
        <v>92</v>
      </c>
      <c r="AA5" s="6">
        <v>18621</v>
      </c>
      <c r="AB5" s="27">
        <v>37794</v>
      </c>
      <c r="AC5" s="27">
        <v>50309</v>
      </c>
      <c r="AD5" s="27">
        <v>59143</v>
      </c>
      <c r="AE5" s="33">
        <f t="shared" si="2"/>
        <v>165959</v>
      </c>
      <c r="AF5" s="33"/>
      <c r="AG5" s="39">
        <v>0.38</v>
      </c>
      <c r="AH5" s="33">
        <f t="shared" si="3"/>
        <v>63064.42</v>
      </c>
      <c r="AI5" s="46" t="e">
        <f>AH5/#REF!*100</f>
        <v>#REF!</v>
      </c>
      <c r="AJ5" s="46" t="e">
        <f>AI5*#REF!/100</f>
        <v>#REF!</v>
      </c>
      <c r="AK5" s="46" t="e">
        <f t="shared" si="4"/>
        <v>#REF!</v>
      </c>
      <c r="AN5" s="48">
        <v>851106</v>
      </c>
      <c r="AP5" s="74"/>
      <c r="AQ5" s="74"/>
      <c r="AR5" s="9"/>
      <c r="AS5" s="9">
        <f t="shared" si="7"/>
        <v>0</v>
      </c>
      <c r="AT5" s="9">
        <f t="shared" si="8"/>
        <v>0</v>
      </c>
      <c r="AU5" s="76"/>
    </row>
    <row r="6" spans="1:48" ht="46.5" customHeight="1">
      <c r="A6" s="16">
        <v>5</v>
      </c>
      <c r="B6" s="21" t="s">
        <v>84</v>
      </c>
      <c r="C6" s="16" t="s">
        <v>85</v>
      </c>
      <c r="D6" s="20" t="s">
        <v>86</v>
      </c>
      <c r="E6" s="78"/>
      <c r="F6" s="78"/>
      <c r="G6" s="78">
        <f t="shared" si="0"/>
        <v>14476</v>
      </c>
      <c r="H6" s="78">
        <f t="shared" si="1"/>
        <v>83265.75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>
        <v>14476</v>
      </c>
      <c r="AA6" s="6">
        <v>64466</v>
      </c>
      <c r="AB6" s="27">
        <v>102410</v>
      </c>
      <c r="AC6" s="27">
        <v>128627</v>
      </c>
      <c r="AD6" s="27">
        <v>37560</v>
      </c>
      <c r="AE6" s="33">
        <f t="shared" si="2"/>
        <v>347539</v>
      </c>
      <c r="AF6" s="33"/>
      <c r="AG6" s="36">
        <v>6.7500000000000004E-2</v>
      </c>
      <c r="AH6" s="33">
        <f t="shared" si="3"/>
        <v>23458.882500000003</v>
      </c>
      <c r="AI6" s="46" t="e">
        <f>AH6/#REF!*100</f>
        <v>#REF!</v>
      </c>
      <c r="AJ6" s="46" t="e">
        <f>AI6*#REF!/100</f>
        <v>#REF!</v>
      </c>
      <c r="AK6" s="46" t="e">
        <f t="shared" si="4"/>
        <v>#REF!</v>
      </c>
      <c r="AN6" s="48">
        <v>1812679</v>
      </c>
      <c r="AP6" s="74"/>
      <c r="AQ6" s="74"/>
      <c r="AR6" s="9"/>
      <c r="AS6" s="9">
        <f t="shared" si="7"/>
        <v>0</v>
      </c>
      <c r="AT6" s="9">
        <f t="shared" si="8"/>
        <v>0</v>
      </c>
      <c r="AU6" s="76"/>
    </row>
    <row r="7" spans="1:48" ht="46.5" customHeight="1">
      <c r="A7" s="16">
        <v>6</v>
      </c>
      <c r="B7" s="21" t="s">
        <v>87</v>
      </c>
      <c r="C7" s="16" t="s">
        <v>88</v>
      </c>
      <c r="D7" s="20" t="s">
        <v>89</v>
      </c>
      <c r="E7" s="78"/>
      <c r="F7" s="78"/>
      <c r="G7" s="78">
        <f t="shared" si="0"/>
        <v>152</v>
      </c>
      <c r="H7" s="78">
        <f t="shared" si="1"/>
        <v>34770.75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>
        <v>152</v>
      </c>
      <c r="AA7" s="6">
        <v>19619</v>
      </c>
      <c r="AB7" s="27">
        <v>36603</v>
      </c>
      <c r="AC7" s="27">
        <v>40167</v>
      </c>
      <c r="AD7" s="27">
        <v>42694</v>
      </c>
      <c r="AE7" s="33">
        <f t="shared" si="2"/>
        <v>139235</v>
      </c>
      <c r="AF7" s="33"/>
      <c r="AG7" s="39">
        <v>0.06</v>
      </c>
      <c r="AH7" s="33">
        <f t="shared" si="3"/>
        <v>8354.1</v>
      </c>
      <c r="AI7" s="46" t="e">
        <f>AH7/#REF!*100</f>
        <v>#REF!</v>
      </c>
      <c r="AJ7" s="46" t="e">
        <f>AI7*#REF!/100</f>
        <v>#REF!</v>
      </c>
      <c r="AK7" s="46" t="e">
        <f t="shared" si="4"/>
        <v>#REF!</v>
      </c>
      <c r="AL7" s="46" t="e">
        <f>AK7/AS7</f>
        <v>#REF!</v>
      </c>
      <c r="AM7" s="46" t="e">
        <f t="shared" si="5"/>
        <v>#REF!</v>
      </c>
      <c r="AN7" s="48">
        <v>1501133</v>
      </c>
      <c r="AP7" s="74">
        <f>საპენსიო!D29</f>
        <v>61</v>
      </c>
      <c r="AQ7" s="74"/>
      <c r="AR7" s="9">
        <f t="shared" si="6"/>
        <v>61</v>
      </c>
      <c r="AS7" s="9">
        <f t="shared" si="7"/>
        <v>15.25</v>
      </c>
      <c r="AT7" s="9">
        <f t="shared" si="8"/>
        <v>183</v>
      </c>
      <c r="AU7" s="76">
        <f>AN7/AR7</f>
        <v>24608.737704918032</v>
      </c>
    </row>
    <row r="8" spans="1:48" ht="46.5" customHeight="1">
      <c r="A8" s="16">
        <v>7</v>
      </c>
      <c r="B8" s="21" t="s">
        <v>90</v>
      </c>
      <c r="C8" s="21" t="s">
        <v>91</v>
      </c>
      <c r="D8" s="20" t="s">
        <v>86</v>
      </c>
      <c r="E8" s="78"/>
      <c r="F8" s="78"/>
      <c r="G8" s="78">
        <f t="shared" si="0"/>
        <v>5620</v>
      </c>
      <c r="H8" s="78">
        <f t="shared" si="1"/>
        <v>35194.75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>
        <v>5620</v>
      </c>
      <c r="AA8" s="6">
        <v>23666</v>
      </c>
      <c r="AB8" s="27">
        <v>35141</v>
      </c>
      <c r="AC8" s="27">
        <v>40081</v>
      </c>
      <c r="AD8" s="27">
        <v>41891</v>
      </c>
      <c r="AE8" s="33">
        <f t="shared" si="2"/>
        <v>146399</v>
      </c>
      <c r="AF8" s="33"/>
      <c r="AG8" s="40">
        <v>0.14899999999999999</v>
      </c>
      <c r="AH8" s="33">
        <f t="shared" si="3"/>
        <v>21813.450999999997</v>
      </c>
      <c r="AI8" s="46" t="e">
        <f>AH8/#REF!*100</f>
        <v>#REF!</v>
      </c>
      <c r="AJ8" s="46" t="e">
        <f>AI8*#REF!/100</f>
        <v>#REF!</v>
      </c>
      <c r="AK8" s="46" t="e">
        <f t="shared" si="4"/>
        <v>#REF!</v>
      </c>
      <c r="AL8" s="46" t="e">
        <f>AK8/AS8</f>
        <v>#REF!</v>
      </c>
      <c r="AM8" s="46" t="e">
        <f t="shared" si="5"/>
        <v>#REF!</v>
      </c>
      <c r="AN8" s="48">
        <v>1800628</v>
      </c>
      <c r="AP8" s="74">
        <f>საპენსიო!D35</f>
        <v>54.692307692307693</v>
      </c>
      <c r="AQ8" s="74">
        <f>შშმპ!D36</f>
        <v>38</v>
      </c>
      <c r="AR8" s="9">
        <f t="shared" si="6"/>
        <v>46.346153846153847</v>
      </c>
      <c r="AS8" s="9">
        <f t="shared" si="7"/>
        <v>11.586538461538462</v>
      </c>
      <c r="AT8" s="9">
        <f t="shared" si="8"/>
        <v>139.03846153846155</v>
      </c>
      <c r="AU8" s="76">
        <f>AN8/AR8</f>
        <v>38851.724481327801</v>
      </c>
    </row>
    <row r="9" spans="1:48" ht="46.5" customHeight="1">
      <c r="A9" s="16">
        <v>8</v>
      </c>
      <c r="B9" s="21" t="s">
        <v>92</v>
      </c>
      <c r="C9" s="16" t="s">
        <v>93</v>
      </c>
      <c r="D9" s="20" t="s">
        <v>94</v>
      </c>
      <c r="E9" s="78"/>
      <c r="F9" s="78"/>
      <c r="G9" s="78">
        <f t="shared" si="0"/>
        <v>16901</v>
      </c>
      <c r="H9" s="78">
        <f t="shared" si="1"/>
        <v>132485.75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>
        <v>16901</v>
      </c>
      <c r="AA9" s="6">
        <v>84884</v>
      </c>
      <c r="AB9" s="27">
        <v>131581</v>
      </c>
      <c r="AC9" s="27">
        <v>153370</v>
      </c>
      <c r="AD9" s="27">
        <v>160108</v>
      </c>
      <c r="AE9" s="33">
        <f t="shared" si="2"/>
        <v>546844</v>
      </c>
      <c r="AF9" s="33"/>
      <c r="AG9" s="39">
        <v>7.2099999999999997E-2</v>
      </c>
      <c r="AH9" s="33">
        <f t="shared" si="3"/>
        <v>39427.452400000002</v>
      </c>
      <c r="AI9" s="46" t="e">
        <f>AH9/#REF!*100</f>
        <v>#REF!</v>
      </c>
      <c r="AJ9" s="46" t="e">
        <f>AI9*#REF!/100</f>
        <v>#REF!</v>
      </c>
      <c r="AK9" s="46" t="e">
        <f t="shared" si="4"/>
        <v>#REF!</v>
      </c>
      <c r="AL9" s="46" t="e">
        <f>AK9/AS9</f>
        <v>#REF!</v>
      </c>
      <c r="AM9" s="46" t="e">
        <f t="shared" si="5"/>
        <v>#REF!</v>
      </c>
      <c r="AN9" s="48">
        <v>20329792</v>
      </c>
      <c r="AP9" s="74">
        <f>საპენსიო!D31</f>
        <v>72.359649122807014</v>
      </c>
      <c r="AQ9" s="74">
        <f>შშმპ!D31</f>
        <v>65.428571428571431</v>
      </c>
      <c r="AR9" s="9">
        <f t="shared" si="6"/>
        <v>68.894110275689229</v>
      </c>
      <c r="AS9" s="9">
        <f t="shared" si="7"/>
        <v>17.223527568922307</v>
      </c>
      <c r="AT9" s="9">
        <f t="shared" si="8"/>
        <v>206.68233082706769</v>
      </c>
      <c r="AU9" s="76">
        <f>AN9/AR9</f>
        <v>295087.517911873</v>
      </c>
    </row>
    <row r="10" spans="1:48" ht="46.5" customHeight="1">
      <c r="A10" s="16">
        <v>9</v>
      </c>
      <c r="B10" s="21" t="s">
        <v>95</v>
      </c>
      <c r="C10" s="16" t="s">
        <v>96</v>
      </c>
      <c r="D10" s="20" t="s">
        <v>97</v>
      </c>
      <c r="E10" s="78"/>
      <c r="F10" s="78"/>
      <c r="G10" s="78">
        <f t="shared" si="0"/>
        <v>2114</v>
      </c>
      <c r="H10" s="78">
        <f t="shared" si="1"/>
        <v>21529.5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>
        <v>2114</v>
      </c>
      <c r="AA10" s="6">
        <v>15922</v>
      </c>
      <c r="AB10" s="27">
        <v>19185</v>
      </c>
      <c r="AC10" s="27">
        <v>23726</v>
      </c>
      <c r="AD10" s="27">
        <v>27285</v>
      </c>
      <c r="AE10" s="33">
        <f t="shared" si="2"/>
        <v>88232</v>
      </c>
      <c r="AF10" s="33"/>
      <c r="AG10" s="39">
        <v>0.08</v>
      </c>
      <c r="AH10" s="33">
        <f t="shared" si="3"/>
        <v>7058.56</v>
      </c>
      <c r="AI10" s="46" t="e">
        <f>AH10/#REF!*100</f>
        <v>#REF!</v>
      </c>
      <c r="AJ10" s="46" t="e">
        <f>AI10*#REF!/100</f>
        <v>#REF!</v>
      </c>
      <c r="AK10" s="46" t="e">
        <f t="shared" si="4"/>
        <v>#REF!</v>
      </c>
      <c r="AL10" s="46" t="e">
        <f>AK10/AS10</f>
        <v>#REF!</v>
      </c>
      <c r="AM10" s="46" t="e">
        <f t="shared" si="5"/>
        <v>#REF!</v>
      </c>
      <c r="AN10" s="48">
        <v>4642341</v>
      </c>
      <c r="AP10" s="74">
        <f>საპენსიო!D30</f>
        <v>59.736842105263158</v>
      </c>
      <c r="AQ10" s="74"/>
      <c r="AR10" s="9">
        <f t="shared" si="6"/>
        <v>59.736842105263158</v>
      </c>
      <c r="AS10" s="9">
        <f t="shared" si="7"/>
        <v>14.934210526315789</v>
      </c>
      <c r="AT10" s="9">
        <f t="shared" si="8"/>
        <v>179.21052631578948</v>
      </c>
      <c r="AU10" s="76">
        <f>AN10/AR10</f>
        <v>77713.197356828197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44"/>
  <sheetViews>
    <sheetView workbookViewId="0">
      <selection activeCell="E1" sqref="E1:H1"/>
    </sheetView>
  </sheetViews>
  <sheetFormatPr defaultRowHeight="15"/>
  <cols>
    <col min="1" max="1" width="4" style="2" customWidth="1"/>
    <col min="2" max="2" width="24.42578125" style="2" customWidth="1"/>
    <col min="3" max="3" width="19.85546875" style="2" hidden="1" customWidth="1"/>
    <col min="4" max="4" width="9.28515625" style="2" hidden="1" customWidth="1"/>
    <col min="5" max="8" width="11.85546875" style="79" customWidth="1"/>
    <col min="9" max="9" width="8.28515625" style="2" hidden="1" customWidth="1"/>
    <col min="10" max="10" width="0" style="2" hidden="1" customWidth="1"/>
    <col min="11" max="13" width="7.5703125" style="2" hidden="1" customWidth="1"/>
    <col min="14" max="14" width="10.28515625" style="2" hidden="1" customWidth="1"/>
    <col min="15" max="15" width="10.5703125" style="2" hidden="1" customWidth="1"/>
    <col min="16" max="16" width="11.140625" style="2" hidden="1" customWidth="1"/>
    <col min="17" max="17" width="10.42578125" style="2" hidden="1" customWidth="1"/>
    <col min="18" max="25" width="11" style="2" hidden="1" customWidth="1"/>
    <col min="26" max="27" width="11" style="3" hidden="1" customWidth="1"/>
    <col min="28" max="28" width="8.28515625" style="31" hidden="1" customWidth="1"/>
    <col min="29" max="29" width="9.85546875" style="31" hidden="1" customWidth="1"/>
    <col min="30" max="30" width="9.28515625" style="31" hidden="1" customWidth="1"/>
    <col min="31" max="32" width="15.28515625" style="2" hidden="1" customWidth="1"/>
    <col min="33" max="33" width="12.5703125" style="45" hidden="1" customWidth="1"/>
    <col min="34" max="34" width="20.7109375" style="33" hidden="1" customWidth="1"/>
    <col min="35" max="39" width="20.7109375" style="46" hidden="1" customWidth="1"/>
    <col min="40" max="40" width="12.42578125" style="49" hidden="1" customWidth="1"/>
    <col min="41" max="41" width="38.5703125" style="2" hidden="1" customWidth="1"/>
    <col min="42" max="42" width="0" style="73" hidden="1" customWidth="1"/>
    <col min="43" max="46" width="0" style="2" hidden="1" customWidth="1"/>
    <col min="47" max="47" width="13.140625" style="2" hidden="1" customWidth="1"/>
    <col min="48" max="48" width="16.7109375" style="2" hidden="1" customWidth="1"/>
    <col min="49" max="65" width="0" style="2" hidden="1" customWidth="1"/>
    <col min="66" max="260" width="9.140625" style="2"/>
    <col min="261" max="261" width="4" style="2" customWidth="1"/>
    <col min="262" max="262" width="24.42578125" style="2" customWidth="1"/>
    <col min="263" max="263" width="19.85546875" style="2" customWidth="1"/>
    <col min="264" max="264" width="9.28515625" style="2" customWidth="1"/>
    <col min="265" max="265" width="10" style="2" customWidth="1"/>
    <col min="266" max="266" width="8.42578125" style="2" customWidth="1"/>
    <col min="267" max="267" width="12.28515625" style="2" customWidth="1"/>
    <col min="268" max="268" width="7.5703125" style="2" customWidth="1"/>
    <col min="269" max="269" width="7.85546875" style="2" customWidth="1"/>
    <col min="270" max="270" width="8.28515625" style="2" customWidth="1"/>
    <col min="271" max="271" width="9.140625" style="2"/>
    <col min="272" max="274" width="7.5703125" style="2" customWidth="1"/>
    <col min="275" max="275" width="10.28515625" style="2" customWidth="1"/>
    <col min="276" max="276" width="10.5703125" style="2" customWidth="1"/>
    <col min="277" max="277" width="11.140625" style="2" customWidth="1"/>
    <col min="278" max="278" width="10.42578125" style="2" customWidth="1"/>
    <col min="279" max="288" width="11" style="2" customWidth="1"/>
    <col min="289" max="289" width="9.140625" style="2" customWidth="1"/>
    <col min="290" max="290" width="6.85546875" style="2" customWidth="1"/>
    <col min="291" max="291" width="15" style="2" bestFit="1" customWidth="1"/>
    <col min="292" max="516" width="9.140625" style="2"/>
    <col min="517" max="517" width="4" style="2" customWidth="1"/>
    <col min="518" max="518" width="24.42578125" style="2" customWidth="1"/>
    <col min="519" max="519" width="19.85546875" style="2" customWidth="1"/>
    <col min="520" max="520" width="9.28515625" style="2" customWidth="1"/>
    <col min="521" max="521" width="10" style="2" customWidth="1"/>
    <col min="522" max="522" width="8.42578125" style="2" customWidth="1"/>
    <col min="523" max="523" width="12.28515625" style="2" customWidth="1"/>
    <col min="524" max="524" width="7.5703125" style="2" customWidth="1"/>
    <col min="525" max="525" width="7.85546875" style="2" customWidth="1"/>
    <col min="526" max="526" width="8.28515625" style="2" customWidth="1"/>
    <col min="527" max="527" width="9.140625" style="2"/>
    <col min="528" max="530" width="7.5703125" style="2" customWidth="1"/>
    <col min="531" max="531" width="10.28515625" style="2" customWidth="1"/>
    <col min="532" max="532" width="10.5703125" style="2" customWidth="1"/>
    <col min="533" max="533" width="11.140625" style="2" customWidth="1"/>
    <col min="534" max="534" width="10.42578125" style="2" customWidth="1"/>
    <col min="535" max="544" width="11" style="2" customWidth="1"/>
    <col min="545" max="545" width="9.140625" style="2" customWidth="1"/>
    <col min="546" max="546" width="6.85546875" style="2" customWidth="1"/>
    <col min="547" max="547" width="15" style="2" bestFit="1" customWidth="1"/>
    <col min="548" max="772" width="9.140625" style="2"/>
    <col min="773" max="773" width="4" style="2" customWidth="1"/>
    <col min="774" max="774" width="24.42578125" style="2" customWidth="1"/>
    <col min="775" max="775" width="19.85546875" style="2" customWidth="1"/>
    <col min="776" max="776" width="9.28515625" style="2" customWidth="1"/>
    <col min="777" max="777" width="10" style="2" customWidth="1"/>
    <col min="778" max="778" width="8.42578125" style="2" customWidth="1"/>
    <col min="779" max="779" width="12.28515625" style="2" customWidth="1"/>
    <col min="780" max="780" width="7.5703125" style="2" customWidth="1"/>
    <col min="781" max="781" width="7.85546875" style="2" customWidth="1"/>
    <col min="782" max="782" width="8.28515625" style="2" customWidth="1"/>
    <col min="783" max="783" width="9.140625" style="2"/>
    <col min="784" max="786" width="7.5703125" style="2" customWidth="1"/>
    <col min="787" max="787" width="10.28515625" style="2" customWidth="1"/>
    <col min="788" max="788" width="10.5703125" style="2" customWidth="1"/>
    <col min="789" max="789" width="11.140625" style="2" customWidth="1"/>
    <col min="790" max="790" width="10.42578125" style="2" customWidth="1"/>
    <col min="791" max="800" width="11" style="2" customWidth="1"/>
    <col min="801" max="801" width="9.140625" style="2" customWidth="1"/>
    <col min="802" max="802" width="6.85546875" style="2" customWidth="1"/>
    <col min="803" max="803" width="15" style="2" bestFit="1" customWidth="1"/>
    <col min="804" max="1028" width="9.140625" style="2"/>
    <col min="1029" max="1029" width="4" style="2" customWidth="1"/>
    <col min="1030" max="1030" width="24.42578125" style="2" customWidth="1"/>
    <col min="1031" max="1031" width="19.85546875" style="2" customWidth="1"/>
    <col min="1032" max="1032" width="9.28515625" style="2" customWidth="1"/>
    <col min="1033" max="1033" width="10" style="2" customWidth="1"/>
    <col min="1034" max="1034" width="8.42578125" style="2" customWidth="1"/>
    <col min="1035" max="1035" width="12.28515625" style="2" customWidth="1"/>
    <col min="1036" max="1036" width="7.5703125" style="2" customWidth="1"/>
    <col min="1037" max="1037" width="7.85546875" style="2" customWidth="1"/>
    <col min="1038" max="1038" width="8.28515625" style="2" customWidth="1"/>
    <col min="1039" max="1039" width="9.140625" style="2"/>
    <col min="1040" max="1042" width="7.5703125" style="2" customWidth="1"/>
    <col min="1043" max="1043" width="10.28515625" style="2" customWidth="1"/>
    <col min="1044" max="1044" width="10.5703125" style="2" customWidth="1"/>
    <col min="1045" max="1045" width="11.140625" style="2" customWidth="1"/>
    <col min="1046" max="1046" width="10.42578125" style="2" customWidth="1"/>
    <col min="1047" max="1056" width="11" style="2" customWidth="1"/>
    <col min="1057" max="1057" width="9.140625" style="2" customWidth="1"/>
    <col min="1058" max="1058" width="6.85546875" style="2" customWidth="1"/>
    <col min="1059" max="1059" width="15" style="2" bestFit="1" customWidth="1"/>
    <col min="1060" max="1284" width="9.140625" style="2"/>
    <col min="1285" max="1285" width="4" style="2" customWidth="1"/>
    <col min="1286" max="1286" width="24.42578125" style="2" customWidth="1"/>
    <col min="1287" max="1287" width="19.85546875" style="2" customWidth="1"/>
    <col min="1288" max="1288" width="9.28515625" style="2" customWidth="1"/>
    <col min="1289" max="1289" width="10" style="2" customWidth="1"/>
    <col min="1290" max="1290" width="8.42578125" style="2" customWidth="1"/>
    <col min="1291" max="1291" width="12.28515625" style="2" customWidth="1"/>
    <col min="1292" max="1292" width="7.5703125" style="2" customWidth="1"/>
    <col min="1293" max="1293" width="7.85546875" style="2" customWidth="1"/>
    <col min="1294" max="1294" width="8.28515625" style="2" customWidth="1"/>
    <col min="1295" max="1295" width="9.140625" style="2"/>
    <col min="1296" max="1298" width="7.5703125" style="2" customWidth="1"/>
    <col min="1299" max="1299" width="10.28515625" style="2" customWidth="1"/>
    <col min="1300" max="1300" width="10.5703125" style="2" customWidth="1"/>
    <col min="1301" max="1301" width="11.140625" style="2" customWidth="1"/>
    <col min="1302" max="1302" width="10.42578125" style="2" customWidth="1"/>
    <col min="1303" max="1312" width="11" style="2" customWidth="1"/>
    <col min="1313" max="1313" width="9.140625" style="2" customWidth="1"/>
    <col min="1314" max="1314" width="6.85546875" style="2" customWidth="1"/>
    <col min="1315" max="1315" width="15" style="2" bestFit="1" customWidth="1"/>
    <col min="1316" max="1540" width="9.140625" style="2"/>
    <col min="1541" max="1541" width="4" style="2" customWidth="1"/>
    <col min="1542" max="1542" width="24.42578125" style="2" customWidth="1"/>
    <col min="1543" max="1543" width="19.85546875" style="2" customWidth="1"/>
    <col min="1544" max="1544" width="9.28515625" style="2" customWidth="1"/>
    <col min="1545" max="1545" width="10" style="2" customWidth="1"/>
    <col min="1546" max="1546" width="8.42578125" style="2" customWidth="1"/>
    <col min="1547" max="1547" width="12.28515625" style="2" customWidth="1"/>
    <col min="1548" max="1548" width="7.5703125" style="2" customWidth="1"/>
    <col min="1549" max="1549" width="7.85546875" style="2" customWidth="1"/>
    <col min="1550" max="1550" width="8.28515625" style="2" customWidth="1"/>
    <col min="1551" max="1551" width="9.140625" style="2"/>
    <col min="1552" max="1554" width="7.5703125" style="2" customWidth="1"/>
    <col min="1555" max="1555" width="10.28515625" style="2" customWidth="1"/>
    <col min="1556" max="1556" width="10.5703125" style="2" customWidth="1"/>
    <col min="1557" max="1557" width="11.140625" style="2" customWidth="1"/>
    <col min="1558" max="1558" width="10.42578125" style="2" customWidth="1"/>
    <col min="1559" max="1568" width="11" style="2" customWidth="1"/>
    <col min="1569" max="1569" width="9.140625" style="2" customWidth="1"/>
    <col min="1570" max="1570" width="6.85546875" style="2" customWidth="1"/>
    <col min="1571" max="1571" width="15" style="2" bestFit="1" customWidth="1"/>
    <col min="1572" max="1796" width="9.140625" style="2"/>
    <col min="1797" max="1797" width="4" style="2" customWidth="1"/>
    <col min="1798" max="1798" width="24.42578125" style="2" customWidth="1"/>
    <col min="1799" max="1799" width="19.85546875" style="2" customWidth="1"/>
    <col min="1800" max="1800" width="9.28515625" style="2" customWidth="1"/>
    <col min="1801" max="1801" width="10" style="2" customWidth="1"/>
    <col min="1802" max="1802" width="8.42578125" style="2" customWidth="1"/>
    <col min="1803" max="1803" width="12.28515625" style="2" customWidth="1"/>
    <col min="1804" max="1804" width="7.5703125" style="2" customWidth="1"/>
    <col min="1805" max="1805" width="7.85546875" style="2" customWidth="1"/>
    <col min="1806" max="1806" width="8.28515625" style="2" customWidth="1"/>
    <col min="1807" max="1807" width="9.140625" style="2"/>
    <col min="1808" max="1810" width="7.5703125" style="2" customWidth="1"/>
    <col min="1811" max="1811" width="10.28515625" style="2" customWidth="1"/>
    <col min="1812" max="1812" width="10.5703125" style="2" customWidth="1"/>
    <col min="1813" max="1813" width="11.140625" style="2" customWidth="1"/>
    <col min="1814" max="1814" width="10.42578125" style="2" customWidth="1"/>
    <col min="1815" max="1824" width="11" style="2" customWidth="1"/>
    <col min="1825" max="1825" width="9.140625" style="2" customWidth="1"/>
    <col min="1826" max="1826" width="6.85546875" style="2" customWidth="1"/>
    <col min="1827" max="1827" width="15" style="2" bestFit="1" customWidth="1"/>
    <col min="1828" max="2052" width="9.140625" style="2"/>
    <col min="2053" max="2053" width="4" style="2" customWidth="1"/>
    <col min="2054" max="2054" width="24.42578125" style="2" customWidth="1"/>
    <col min="2055" max="2055" width="19.85546875" style="2" customWidth="1"/>
    <col min="2056" max="2056" width="9.28515625" style="2" customWidth="1"/>
    <col min="2057" max="2057" width="10" style="2" customWidth="1"/>
    <col min="2058" max="2058" width="8.42578125" style="2" customWidth="1"/>
    <col min="2059" max="2059" width="12.28515625" style="2" customWidth="1"/>
    <col min="2060" max="2060" width="7.5703125" style="2" customWidth="1"/>
    <col min="2061" max="2061" width="7.85546875" style="2" customWidth="1"/>
    <col min="2062" max="2062" width="8.28515625" style="2" customWidth="1"/>
    <col min="2063" max="2063" width="9.140625" style="2"/>
    <col min="2064" max="2066" width="7.5703125" style="2" customWidth="1"/>
    <col min="2067" max="2067" width="10.28515625" style="2" customWidth="1"/>
    <col min="2068" max="2068" width="10.5703125" style="2" customWidth="1"/>
    <col min="2069" max="2069" width="11.140625" style="2" customWidth="1"/>
    <col min="2070" max="2070" width="10.42578125" style="2" customWidth="1"/>
    <col min="2071" max="2080" width="11" style="2" customWidth="1"/>
    <col min="2081" max="2081" width="9.140625" style="2" customWidth="1"/>
    <col min="2082" max="2082" width="6.85546875" style="2" customWidth="1"/>
    <col min="2083" max="2083" width="15" style="2" bestFit="1" customWidth="1"/>
    <col min="2084" max="2308" width="9.140625" style="2"/>
    <col min="2309" max="2309" width="4" style="2" customWidth="1"/>
    <col min="2310" max="2310" width="24.42578125" style="2" customWidth="1"/>
    <col min="2311" max="2311" width="19.85546875" style="2" customWidth="1"/>
    <col min="2312" max="2312" width="9.28515625" style="2" customWidth="1"/>
    <col min="2313" max="2313" width="10" style="2" customWidth="1"/>
    <col min="2314" max="2314" width="8.42578125" style="2" customWidth="1"/>
    <col min="2315" max="2315" width="12.28515625" style="2" customWidth="1"/>
    <col min="2316" max="2316" width="7.5703125" style="2" customWidth="1"/>
    <col min="2317" max="2317" width="7.85546875" style="2" customWidth="1"/>
    <col min="2318" max="2318" width="8.28515625" style="2" customWidth="1"/>
    <col min="2319" max="2319" width="9.140625" style="2"/>
    <col min="2320" max="2322" width="7.5703125" style="2" customWidth="1"/>
    <col min="2323" max="2323" width="10.28515625" style="2" customWidth="1"/>
    <col min="2324" max="2324" width="10.5703125" style="2" customWidth="1"/>
    <col min="2325" max="2325" width="11.140625" style="2" customWidth="1"/>
    <col min="2326" max="2326" width="10.42578125" style="2" customWidth="1"/>
    <col min="2327" max="2336" width="11" style="2" customWidth="1"/>
    <col min="2337" max="2337" width="9.140625" style="2" customWidth="1"/>
    <col min="2338" max="2338" width="6.85546875" style="2" customWidth="1"/>
    <col min="2339" max="2339" width="15" style="2" bestFit="1" customWidth="1"/>
    <col min="2340" max="2564" width="9.140625" style="2"/>
    <col min="2565" max="2565" width="4" style="2" customWidth="1"/>
    <col min="2566" max="2566" width="24.42578125" style="2" customWidth="1"/>
    <col min="2567" max="2567" width="19.85546875" style="2" customWidth="1"/>
    <col min="2568" max="2568" width="9.28515625" style="2" customWidth="1"/>
    <col min="2569" max="2569" width="10" style="2" customWidth="1"/>
    <col min="2570" max="2570" width="8.42578125" style="2" customWidth="1"/>
    <col min="2571" max="2571" width="12.28515625" style="2" customWidth="1"/>
    <col min="2572" max="2572" width="7.5703125" style="2" customWidth="1"/>
    <col min="2573" max="2573" width="7.85546875" style="2" customWidth="1"/>
    <col min="2574" max="2574" width="8.28515625" style="2" customWidth="1"/>
    <col min="2575" max="2575" width="9.140625" style="2"/>
    <col min="2576" max="2578" width="7.5703125" style="2" customWidth="1"/>
    <col min="2579" max="2579" width="10.28515625" style="2" customWidth="1"/>
    <col min="2580" max="2580" width="10.5703125" style="2" customWidth="1"/>
    <col min="2581" max="2581" width="11.140625" style="2" customWidth="1"/>
    <col min="2582" max="2582" width="10.42578125" style="2" customWidth="1"/>
    <col min="2583" max="2592" width="11" style="2" customWidth="1"/>
    <col min="2593" max="2593" width="9.140625" style="2" customWidth="1"/>
    <col min="2594" max="2594" width="6.85546875" style="2" customWidth="1"/>
    <col min="2595" max="2595" width="15" style="2" bestFit="1" customWidth="1"/>
    <col min="2596" max="2820" width="9.140625" style="2"/>
    <col min="2821" max="2821" width="4" style="2" customWidth="1"/>
    <col min="2822" max="2822" width="24.42578125" style="2" customWidth="1"/>
    <col min="2823" max="2823" width="19.85546875" style="2" customWidth="1"/>
    <col min="2824" max="2824" width="9.28515625" style="2" customWidth="1"/>
    <col min="2825" max="2825" width="10" style="2" customWidth="1"/>
    <col min="2826" max="2826" width="8.42578125" style="2" customWidth="1"/>
    <col min="2827" max="2827" width="12.28515625" style="2" customWidth="1"/>
    <col min="2828" max="2828" width="7.5703125" style="2" customWidth="1"/>
    <col min="2829" max="2829" width="7.85546875" style="2" customWidth="1"/>
    <col min="2830" max="2830" width="8.28515625" style="2" customWidth="1"/>
    <col min="2831" max="2831" width="9.140625" style="2"/>
    <col min="2832" max="2834" width="7.5703125" style="2" customWidth="1"/>
    <col min="2835" max="2835" width="10.28515625" style="2" customWidth="1"/>
    <col min="2836" max="2836" width="10.5703125" style="2" customWidth="1"/>
    <col min="2837" max="2837" width="11.140625" style="2" customWidth="1"/>
    <col min="2838" max="2838" width="10.42578125" style="2" customWidth="1"/>
    <col min="2839" max="2848" width="11" style="2" customWidth="1"/>
    <col min="2849" max="2849" width="9.140625" style="2" customWidth="1"/>
    <col min="2850" max="2850" width="6.85546875" style="2" customWidth="1"/>
    <col min="2851" max="2851" width="15" style="2" bestFit="1" customWidth="1"/>
    <col min="2852" max="3076" width="9.140625" style="2"/>
    <col min="3077" max="3077" width="4" style="2" customWidth="1"/>
    <col min="3078" max="3078" width="24.42578125" style="2" customWidth="1"/>
    <col min="3079" max="3079" width="19.85546875" style="2" customWidth="1"/>
    <col min="3080" max="3080" width="9.28515625" style="2" customWidth="1"/>
    <col min="3081" max="3081" width="10" style="2" customWidth="1"/>
    <col min="3082" max="3082" width="8.42578125" style="2" customWidth="1"/>
    <col min="3083" max="3083" width="12.28515625" style="2" customWidth="1"/>
    <col min="3084" max="3084" width="7.5703125" style="2" customWidth="1"/>
    <col min="3085" max="3085" width="7.85546875" style="2" customWidth="1"/>
    <col min="3086" max="3086" width="8.28515625" style="2" customWidth="1"/>
    <col min="3087" max="3087" width="9.140625" style="2"/>
    <col min="3088" max="3090" width="7.5703125" style="2" customWidth="1"/>
    <col min="3091" max="3091" width="10.28515625" style="2" customWidth="1"/>
    <col min="3092" max="3092" width="10.5703125" style="2" customWidth="1"/>
    <col min="3093" max="3093" width="11.140625" style="2" customWidth="1"/>
    <col min="3094" max="3094" width="10.42578125" style="2" customWidth="1"/>
    <col min="3095" max="3104" width="11" style="2" customWidth="1"/>
    <col min="3105" max="3105" width="9.140625" style="2" customWidth="1"/>
    <col min="3106" max="3106" width="6.85546875" style="2" customWidth="1"/>
    <col min="3107" max="3107" width="15" style="2" bestFit="1" customWidth="1"/>
    <col min="3108" max="3332" width="9.140625" style="2"/>
    <col min="3333" max="3333" width="4" style="2" customWidth="1"/>
    <col min="3334" max="3334" width="24.42578125" style="2" customWidth="1"/>
    <col min="3335" max="3335" width="19.85546875" style="2" customWidth="1"/>
    <col min="3336" max="3336" width="9.28515625" style="2" customWidth="1"/>
    <col min="3337" max="3337" width="10" style="2" customWidth="1"/>
    <col min="3338" max="3338" width="8.42578125" style="2" customWidth="1"/>
    <col min="3339" max="3339" width="12.28515625" style="2" customWidth="1"/>
    <col min="3340" max="3340" width="7.5703125" style="2" customWidth="1"/>
    <col min="3341" max="3341" width="7.85546875" style="2" customWidth="1"/>
    <col min="3342" max="3342" width="8.28515625" style="2" customWidth="1"/>
    <col min="3343" max="3343" width="9.140625" style="2"/>
    <col min="3344" max="3346" width="7.5703125" style="2" customWidth="1"/>
    <col min="3347" max="3347" width="10.28515625" style="2" customWidth="1"/>
    <col min="3348" max="3348" width="10.5703125" style="2" customWidth="1"/>
    <col min="3349" max="3349" width="11.140625" style="2" customWidth="1"/>
    <col min="3350" max="3350" width="10.42578125" style="2" customWidth="1"/>
    <col min="3351" max="3360" width="11" style="2" customWidth="1"/>
    <col min="3361" max="3361" width="9.140625" style="2" customWidth="1"/>
    <col min="3362" max="3362" width="6.85546875" style="2" customWidth="1"/>
    <col min="3363" max="3363" width="15" style="2" bestFit="1" customWidth="1"/>
    <col min="3364" max="3588" width="9.140625" style="2"/>
    <col min="3589" max="3589" width="4" style="2" customWidth="1"/>
    <col min="3590" max="3590" width="24.42578125" style="2" customWidth="1"/>
    <col min="3591" max="3591" width="19.85546875" style="2" customWidth="1"/>
    <col min="3592" max="3592" width="9.28515625" style="2" customWidth="1"/>
    <col min="3593" max="3593" width="10" style="2" customWidth="1"/>
    <col min="3594" max="3594" width="8.42578125" style="2" customWidth="1"/>
    <col min="3595" max="3595" width="12.28515625" style="2" customWidth="1"/>
    <col min="3596" max="3596" width="7.5703125" style="2" customWidth="1"/>
    <col min="3597" max="3597" width="7.85546875" style="2" customWidth="1"/>
    <col min="3598" max="3598" width="8.28515625" style="2" customWidth="1"/>
    <col min="3599" max="3599" width="9.140625" style="2"/>
    <col min="3600" max="3602" width="7.5703125" style="2" customWidth="1"/>
    <col min="3603" max="3603" width="10.28515625" style="2" customWidth="1"/>
    <col min="3604" max="3604" width="10.5703125" style="2" customWidth="1"/>
    <col min="3605" max="3605" width="11.140625" style="2" customWidth="1"/>
    <col min="3606" max="3606" width="10.42578125" style="2" customWidth="1"/>
    <col min="3607" max="3616" width="11" style="2" customWidth="1"/>
    <col min="3617" max="3617" width="9.140625" style="2" customWidth="1"/>
    <col min="3618" max="3618" width="6.85546875" style="2" customWidth="1"/>
    <col min="3619" max="3619" width="15" style="2" bestFit="1" customWidth="1"/>
    <col min="3620" max="3844" width="9.140625" style="2"/>
    <col min="3845" max="3845" width="4" style="2" customWidth="1"/>
    <col min="3846" max="3846" width="24.42578125" style="2" customWidth="1"/>
    <col min="3847" max="3847" width="19.85546875" style="2" customWidth="1"/>
    <col min="3848" max="3848" width="9.28515625" style="2" customWidth="1"/>
    <col min="3849" max="3849" width="10" style="2" customWidth="1"/>
    <col min="3850" max="3850" width="8.42578125" style="2" customWidth="1"/>
    <col min="3851" max="3851" width="12.28515625" style="2" customWidth="1"/>
    <col min="3852" max="3852" width="7.5703125" style="2" customWidth="1"/>
    <col min="3853" max="3853" width="7.85546875" style="2" customWidth="1"/>
    <col min="3854" max="3854" width="8.28515625" style="2" customWidth="1"/>
    <col min="3855" max="3855" width="9.140625" style="2"/>
    <col min="3856" max="3858" width="7.5703125" style="2" customWidth="1"/>
    <col min="3859" max="3859" width="10.28515625" style="2" customWidth="1"/>
    <col min="3860" max="3860" width="10.5703125" style="2" customWidth="1"/>
    <col min="3861" max="3861" width="11.140625" style="2" customWidth="1"/>
    <col min="3862" max="3862" width="10.42578125" style="2" customWidth="1"/>
    <col min="3863" max="3872" width="11" style="2" customWidth="1"/>
    <col min="3873" max="3873" width="9.140625" style="2" customWidth="1"/>
    <col min="3874" max="3874" width="6.85546875" style="2" customWidth="1"/>
    <col min="3875" max="3875" width="15" style="2" bestFit="1" customWidth="1"/>
    <col min="3876" max="4100" width="9.140625" style="2"/>
    <col min="4101" max="4101" width="4" style="2" customWidth="1"/>
    <col min="4102" max="4102" width="24.42578125" style="2" customWidth="1"/>
    <col min="4103" max="4103" width="19.85546875" style="2" customWidth="1"/>
    <col min="4104" max="4104" width="9.28515625" style="2" customWidth="1"/>
    <col min="4105" max="4105" width="10" style="2" customWidth="1"/>
    <col min="4106" max="4106" width="8.42578125" style="2" customWidth="1"/>
    <col min="4107" max="4107" width="12.28515625" style="2" customWidth="1"/>
    <col min="4108" max="4108" width="7.5703125" style="2" customWidth="1"/>
    <col min="4109" max="4109" width="7.85546875" style="2" customWidth="1"/>
    <col min="4110" max="4110" width="8.28515625" style="2" customWidth="1"/>
    <col min="4111" max="4111" width="9.140625" style="2"/>
    <col min="4112" max="4114" width="7.5703125" style="2" customWidth="1"/>
    <col min="4115" max="4115" width="10.28515625" style="2" customWidth="1"/>
    <col min="4116" max="4116" width="10.5703125" style="2" customWidth="1"/>
    <col min="4117" max="4117" width="11.140625" style="2" customWidth="1"/>
    <col min="4118" max="4118" width="10.42578125" style="2" customWidth="1"/>
    <col min="4119" max="4128" width="11" style="2" customWidth="1"/>
    <col min="4129" max="4129" width="9.140625" style="2" customWidth="1"/>
    <col min="4130" max="4130" width="6.85546875" style="2" customWidth="1"/>
    <col min="4131" max="4131" width="15" style="2" bestFit="1" customWidth="1"/>
    <col min="4132" max="4356" width="9.140625" style="2"/>
    <col min="4357" max="4357" width="4" style="2" customWidth="1"/>
    <col min="4358" max="4358" width="24.42578125" style="2" customWidth="1"/>
    <col min="4359" max="4359" width="19.85546875" style="2" customWidth="1"/>
    <col min="4360" max="4360" width="9.28515625" style="2" customWidth="1"/>
    <col min="4361" max="4361" width="10" style="2" customWidth="1"/>
    <col min="4362" max="4362" width="8.42578125" style="2" customWidth="1"/>
    <col min="4363" max="4363" width="12.28515625" style="2" customWidth="1"/>
    <col min="4364" max="4364" width="7.5703125" style="2" customWidth="1"/>
    <col min="4365" max="4365" width="7.85546875" style="2" customWidth="1"/>
    <col min="4366" max="4366" width="8.28515625" style="2" customWidth="1"/>
    <col min="4367" max="4367" width="9.140625" style="2"/>
    <col min="4368" max="4370" width="7.5703125" style="2" customWidth="1"/>
    <col min="4371" max="4371" width="10.28515625" style="2" customWidth="1"/>
    <col min="4372" max="4372" width="10.5703125" style="2" customWidth="1"/>
    <col min="4373" max="4373" width="11.140625" style="2" customWidth="1"/>
    <col min="4374" max="4374" width="10.42578125" style="2" customWidth="1"/>
    <col min="4375" max="4384" width="11" style="2" customWidth="1"/>
    <col min="4385" max="4385" width="9.140625" style="2" customWidth="1"/>
    <col min="4386" max="4386" width="6.85546875" style="2" customWidth="1"/>
    <col min="4387" max="4387" width="15" style="2" bestFit="1" customWidth="1"/>
    <col min="4388" max="4612" width="9.140625" style="2"/>
    <col min="4613" max="4613" width="4" style="2" customWidth="1"/>
    <col min="4614" max="4614" width="24.42578125" style="2" customWidth="1"/>
    <col min="4615" max="4615" width="19.85546875" style="2" customWidth="1"/>
    <col min="4616" max="4616" width="9.28515625" style="2" customWidth="1"/>
    <col min="4617" max="4617" width="10" style="2" customWidth="1"/>
    <col min="4618" max="4618" width="8.42578125" style="2" customWidth="1"/>
    <col min="4619" max="4619" width="12.28515625" style="2" customWidth="1"/>
    <col min="4620" max="4620" width="7.5703125" style="2" customWidth="1"/>
    <col min="4621" max="4621" width="7.85546875" style="2" customWidth="1"/>
    <col min="4622" max="4622" width="8.28515625" style="2" customWidth="1"/>
    <col min="4623" max="4623" width="9.140625" style="2"/>
    <col min="4624" max="4626" width="7.5703125" style="2" customWidth="1"/>
    <col min="4627" max="4627" width="10.28515625" style="2" customWidth="1"/>
    <col min="4628" max="4628" width="10.5703125" style="2" customWidth="1"/>
    <col min="4629" max="4629" width="11.140625" style="2" customWidth="1"/>
    <col min="4630" max="4630" width="10.42578125" style="2" customWidth="1"/>
    <col min="4631" max="4640" width="11" style="2" customWidth="1"/>
    <col min="4641" max="4641" width="9.140625" style="2" customWidth="1"/>
    <col min="4642" max="4642" width="6.85546875" style="2" customWidth="1"/>
    <col min="4643" max="4643" width="15" style="2" bestFit="1" customWidth="1"/>
    <col min="4644" max="4868" width="9.140625" style="2"/>
    <col min="4869" max="4869" width="4" style="2" customWidth="1"/>
    <col min="4870" max="4870" width="24.42578125" style="2" customWidth="1"/>
    <col min="4871" max="4871" width="19.85546875" style="2" customWidth="1"/>
    <col min="4872" max="4872" width="9.28515625" style="2" customWidth="1"/>
    <col min="4873" max="4873" width="10" style="2" customWidth="1"/>
    <col min="4874" max="4874" width="8.42578125" style="2" customWidth="1"/>
    <col min="4875" max="4875" width="12.28515625" style="2" customWidth="1"/>
    <col min="4876" max="4876" width="7.5703125" style="2" customWidth="1"/>
    <col min="4877" max="4877" width="7.85546875" style="2" customWidth="1"/>
    <col min="4878" max="4878" width="8.28515625" style="2" customWidth="1"/>
    <col min="4879" max="4879" width="9.140625" style="2"/>
    <col min="4880" max="4882" width="7.5703125" style="2" customWidth="1"/>
    <col min="4883" max="4883" width="10.28515625" style="2" customWidth="1"/>
    <col min="4884" max="4884" width="10.5703125" style="2" customWidth="1"/>
    <col min="4885" max="4885" width="11.140625" style="2" customWidth="1"/>
    <col min="4886" max="4886" width="10.42578125" style="2" customWidth="1"/>
    <col min="4887" max="4896" width="11" style="2" customWidth="1"/>
    <col min="4897" max="4897" width="9.140625" style="2" customWidth="1"/>
    <col min="4898" max="4898" width="6.85546875" style="2" customWidth="1"/>
    <col min="4899" max="4899" width="15" style="2" bestFit="1" customWidth="1"/>
    <col min="4900" max="5124" width="9.140625" style="2"/>
    <col min="5125" max="5125" width="4" style="2" customWidth="1"/>
    <col min="5126" max="5126" width="24.42578125" style="2" customWidth="1"/>
    <col min="5127" max="5127" width="19.85546875" style="2" customWidth="1"/>
    <col min="5128" max="5128" width="9.28515625" style="2" customWidth="1"/>
    <col min="5129" max="5129" width="10" style="2" customWidth="1"/>
    <col min="5130" max="5130" width="8.42578125" style="2" customWidth="1"/>
    <col min="5131" max="5131" width="12.28515625" style="2" customWidth="1"/>
    <col min="5132" max="5132" width="7.5703125" style="2" customWidth="1"/>
    <col min="5133" max="5133" width="7.85546875" style="2" customWidth="1"/>
    <col min="5134" max="5134" width="8.28515625" style="2" customWidth="1"/>
    <col min="5135" max="5135" width="9.140625" style="2"/>
    <col min="5136" max="5138" width="7.5703125" style="2" customWidth="1"/>
    <col min="5139" max="5139" width="10.28515625" style="2" customWidth="1"/>
    <col min="5140" max="5140" width="10.5703125" style="2" customWidth="1"/>
    <col min="5141" max="5141" width="11.140625" style="2" customWidth="1"/>
    <col min="5142" max="5142" width="10.42578125" style="2" customWidth="1"/>
    <col min="5143" max="5152" width="11" style="2" customWidth="1"/>
    <col min="5153" max="5153" width="9.140625" style="2" customWidth="1"/>
    <col min="5154" max="5154" width="6.85546875" style="2" customWidth="1"/>
    <col min="5155" max="5155" width="15" style="2" bestFit="1" customWidth="1"/>
    <col min="5156" max="5380" width="9.140625" style="2"/>
    <col min="5381" max="5381" width="4" style="2" customWidth="1"/>
    <col min="5382" max="5382" width="24.42578125" style="2" customWidth="1"/>
    <col min="5383" max="5383" width="19.85546875" style="2" customWidth="1"/>
    <col min="5384" max="5384" width="9.28515625" style="2" customWidth="1"/>
    <col min="5385" max="5385" width="10" style="2" customWidth="1"/>
    <col min="5386" max="5386" width="8.42578125" style="2" customWidth="1"/>
    <col min="5387" max="5387" width="12.28515625" style="2" customWidth="1"/>
    <col min="5388" max="5388" width="7.5703125" style="2" customWidth="1"/>
    <col min="5389" max="5389" width="7.85546875" style="2" customWidth="1"/>
    <col min="5390" max="5390" width="8.28515625" style="2" customWidth="1"/>
    <col min="5391" max="5391" width="9.140625" style="2"/>
    <col min="5392" max="5394" width="7.5703125" style="2" customWidth="1"/>
    <col min="5395" max="5395" width="10.28515625" style="2" customWidth="1"/>
    <col min="5396" max="5396" width="10.5703125" style="2" customWidth="1"/>
    <col min="5397" max="5397" width="11.140625" style="2" customWidth="1"/>
    <col min="5398" max="5398" width="10.42578125" style="2" customWidth="1"/>
    <col min="5399" max="5408" width="11" style="2" customWidth="1"/>
    <col min="5409" max="5409" width="9.140625" style="2" customWidth="1"/>
    <col min="5410" max="5410" width="6.85546875" style="2" customWidth="1"/>
    <col min="5411" max="5411" width="15" style="2" bestFit="1" customWidth="1"/>
    <col min="5412" max="5636" width="9.140625" style="2"/>
    <col min="5637" max="5637" width="4" style="2" customWidth="1"/>
    <col min="5638" max="5638" width="24.42578125" style="2" customWidth="1"/>
    <col min="5639" max="5639" width="19.85546875" style="2" customWidth="1"/>
    <col min="5640" max="5640" width="9.28515625" style="2" customWidth="1"/>
    <col min="5641" max="5641" width="10" style="2" customWidth="1"/>
    <col min="5642" max="5642" width="8.42578125" style="2" customWidth="1"/>
    <col min="5643" max="5643" width="12.28515625" style="2" customWidth="1"/>
    <col min="5644" max="5644" width="7.5703125" style="2" customWidth="1"/>
    <col min="5645" max="5645" width="7.85546875" style="2" customWidth="1"/>
    <col min="5646" max="5646" width="8.28515625" style="2" customWidth="1"/>
    <col min="5647" max="5647" width="9.140625" style="2"/>
    <col min="5648" max="5650" width="7.5703125" style="2" customWidth="1"/>
    <col min="5651" max="5651" width="10.28515625" style="2" customWidth="1"/>
    <col min="5652" max="5652" width="10.5703125" style="2" customWidth="1"/>
    <col min="5653" max="5653" width="11.140625" style="2" customWidth="1"/>
    <col min="5654" max="5654" width="10.42578125" style="2" customWidth="1"/>
    <col min="5655" max="5664" width="11" style="2" customWidth="1"/>
    <col min="5665" max="5665" width="9.140625" style="2" customWidth="1"/>
    <col min="5666" max="5666" width="6.85546875" style="2" customWidth="1"/>
    <col min="5667" max="5667" width="15" style="2" bestFit="1" customWidth="1"/>
    <col min="5668" max="5892" width="9.140625" style="2"/>
    <col min="5893" max="5893" width="4" style="2" customWidth="1"/>
    <col min="5894" max="5894" width="24.42578125" style="2" customWidth="1"/>
    <col min="5895" max="5895" width="19.85546875" style="2" customWidth="1"/>
    <col min="5896" max="5896" width="9.28515625" style="2" customWidth="1"/>
    <col min="5897" max="5897" width="10" style="2" customWidth="1"/>
    <col min="5898" max="5898" width="8.42578125" style="2" customWidth="1"/>
    <col min="5899" max="5899" width="12.28515625" style="2" customWidth="1"/>
    <col min="5900" max="5900" width="7.5703125" style="2" customWidth="1"/>
    <col min="5901" max="5901" width="7.85546875" style="2" customWidth="1"/>
    <col min="5902" max="5902" width="8.28515625" style="2" customWidth="1"/>
    <col min="5903" max="5903" width="9.140625" style="2"/>
    <col min="5904" max="5906" width="7.5703125" style="2" customWidth="1"/>
    <col min="5907" max="5907" width="10.28515625" style="2" customWidth="1"/>
    <col min="5908" max="5908" width="10.5703125" style="2" customWidth="1"/>
    <col min="5909" max="5909" width="11.140625" style="2" customWidth="1"/>
    <col min="5910" max="5910" width="10.42578125" style="2" customWidth="1"/>
    <col min="5911" max="5920" width="11" style="2" customWidth="1"/>
    <col min="5921" max="5921" width="9.140625" style="2" customWidth="1"/>
    <col min="5922" max="5922" width="6.85546875" style="2" customWidth="1"/>
    <col min="5923" max="5923" width="15" style="2" bestFit="1" customWidth="1"/>
    <col min="5924" max="6148" width="9.140625" style="2"/>
    <col min="6149" max="6149" width="4" style="2" customWidth="1"/>
    <col min="6150" max="6150" width="24.42578125" style="2" customWidth="1"/>
    <col min="6151" max="6151" width="19.85546875" style="2" customWidth="1"/>
    <col min="6152" max="6152" width="9.28515625" style="2" customWidth="1"/>
    <col min="6153" max="6153" width="10" style="2" customWidth="1"/>
    <col min="6154" max="6154" width="8.42578125" style="2" customWidth="1"/>
    <col min="6155" max="6155" width="12.28515625" style="2" customWidth="1"/>
    <col min="6156" max="6156" width="7.5703125" style="2" customWidth="1"/>
    <col min="6157" max="6157" width="7.85546875" style="2" customWidth="1"/>
    <col min="6158" max="6158" width="8.28515625" style="2" customWidth="1"/>
    <col min="6159" max="6159" width="9.140625" style="2"/>
    <col min="6160" max="6162" width="7.5703125" style="2" customWidth="1"/>
    <col min="6163" max="6163" width="10.28515625" style="2" customWidth="1"/>
    <col min="6164" max="6164" width="10.5703125" style="2" customWidth="1"/>
    <col min="6165" max="6165" width="11.140625" style="2" customWidth="1"/>
    <col min="6166" max="6166" width="10.42578125" style="2" customWidth="1"/>
    <col min="6167" max="6176" width="11" style="2" customWidth="1"/>
    <col min="6177" max="6177" width="9.140625" style="2" customWidth="1"/>
    <col min="6178" max="6178" width="6.85546875" style="2" customWidth="1"/>
    <col min="6179" max="6179" width="15" style="2" bestFit="1" customWidth="1"/>
    <col min="6180" max="6404" width="9.140625" style="2"/>
    <col min="6405" max="6405" width="4" style="2" customWidth="1"/>
    <col min="6406" max="6406" width="24.42578125" style="2" customWidth="1"/>
    <col min="6407" max="6407" width="19.85546875" style="2" customWidth="1"/>
    <col min="6408" max="6408" width="9.28515625" style="2" customWidth="1"/>
    <col min="6409" max="6409" width="10" style="2" customWidth="1"/>
    <col min="6410" max="6410" width="8.42578125" style="2" customWidth="1"/>
    <col min="6411" max="6411" width="12.28515625" style="2" customWidth="1"/>
    <col min="6412" max="6412" width="7.5703125" style="2" customWidth="1"/>
    <col min="6413" max="6413" width="7.85546875" style="2" customWidth="1"/>
    <col min="6414" max="6414" width="8.28515625" style="2" customWidth="1"/>
    <col min="6415" max="6415" width="9.140625" style="2"/>
    <col min="6416" max="6418" width="7.5703125" style="2" customWidth="1"/>
    <col min="6419" max="6419" width="10.28515625" style="2" customWidth="1"/>
    <col min="6420" max="6420" width="10.5703125" style="2" customWidth="1"/>
    <col min="6421" max="6421" width="11.140625" style="2" customWidth="1"/>
    <col min="6422" max="6422" width="10.42578125" style="2" customWidth="1"/>
    <col min="6423" max="6432" width="11" style="2" customWidth="1"/>
    <col min="6433" max="6433" width="9.140625" style="2" customWidth="1"/>
    <col min="6434" max="6434" width="6.85546875" style="2" customWidth="1"/>
    <col min="6435" max="6435" width="15" style="2" bestFit="1" customWidth="1"/>
    <col min="6436" max="6660" width="9.140625" style="2"/>
    <col min="6661" max="6661" width="4" style="2" customWidth="1"/>
    <col min="6662" max="6662" width="24.42578125" style="2" customWidth="1"/>
    <col min="6663" max="6663" width="19.85546875" style="2" customWidth="1"/>
    <col min="6664" max="6664" width="9.28515625" style="2" customWidth="1"/>
    <col min="6665" max="6665" width="10" style="2" customWidth="1"/>
    <col min="6666" max="6666" width="8.42578125" style="2" customWidth="1"/>
    <col min="6667" max="6667" width="12.28515625" style="2" customWidth="1"/>
    <col min="6668" max="6668" width="7.5703125" style="2" customWidth="1"/>
    <col min="6669" max="6669" width="7.85546875" style="2" customWidth="1"/>
    <col min="6670" max="6670" width="8.28515625" style="2" customWidth="1"/>
    <col min="6671" max="6671" width="9.140625" style="2"/>
    <col min="6672" max="6674" width="7.5703125" style="2" customWidth="1"/>
    <col min="6675" max="6675" width="10.28515625" style="2" customWidth="1"/>
    <col min="6676" max="6676" width="10.5703125" style="2" customWidth="1"/>
    <col min="6677" max="6677" width="11.140625" style="2" customWidth="1"/>
    <col min="6678" max="6678" width="10.42578125" style="2" customWidth="1"/>
    <col min="6679" max="6688" width="11" style="2" customWidth="1"/>
    <col min="6689" max="6689" width="9.140625" style="2" customWidth="1"/>
    <col min="6690" max="6690" width="6.85546875" style="2" customWidth="1"/>
    <col min="6691" max="6691" width="15" style="2" bestFit="1" customWidth="1"/>
    <col min="6692" max="6916" width="9.140625" style="2"/>
    <col min="6917" max="6917" width="4" style="2" customWidth="1"/>
    <col min="6918" max="6918" width="24.42578125" style="2" customWidth="1"/>
    <col min="6919" max="6919" width="19.85546875" style="2" customWidth="1"/>
    <col min="6920" max="6920" width="9.28515625" style="2" customWidth="1"/>
    <col min="6921" max="6921" width="10" style="2" customWidth="1"/>
    <col min="6922" max="6922" width="8.42578125" style="2" customWidth="1"/>
    <col min="6923" max="6923" width="12.28515625" style="2" customWidth="1"/>
    <col min="6924" max="6924" width="7.5703125" style="2" customWidth="1"/>
    <col min="6925" max="6925" width="7.85546875" style="2" customWidth="1"/>
    <col min="6926" max="6926" width="8.28515625" style="2" customWidth="1"/>
    <col min="6927" max="6927" width="9.140625" style="2"/>
    <col min="6928" max="6930" width="7.5703125" style="2" customWidth="1"/>
    <col min="6931" max="6931" width="10.28515625" style="2" customWidth="1"/>
    <col min="6932" max="6932" width="10.5703125" style="2" customWidth="1"/>
    <col min="6933" max="6933" width="11.140625" style="2" customWidth="1"/>
    <col min="6934" max="6934" width="10.42578125" style="2" customWidth="1"/>
    <col min="6935" max="6944" width="11" style="2" customWidth="1"/>
    <col min="6945" max="6945" width="9.140625" style="2" customWidth="1"/>
    <col min="6946" max="6946" width="6.85546875" style="2" customWidth="1"/>
    <col min="6947" max="6947" width="15" style="2" bestFit="1" customWidth="1"/>
    <col min="6948" max="7172" width="9.140625" style="2"/>
    <col min="7173" max="7173" width="4" style="2" customWidth="1"/>
    <col min="7174" max="7174" width="24.42578125" style="2" customWidth="1"/>
    <col min="7175" max="7175" width="19.85546875" style="2" customWidth="1"/>
    <col min="7176" max="7176" width="9.28515625" style="2" customWidth="1"/>
    <col min="7177" max="7177" width="10" style="2" customWidth="1"/>
    <col min="7178" max="7178" width="8.42578125" style="2" customWidth="1"/>
    <col min="7179" max="7179" width="12.28515625" style="2" customWidth="1"/>
    <col min="7180" max="7180" width="7.5703125" style="2" customWidth="1"/>
    <col min="7181" max="7181" width="7.85546875" style="2" customWidth="1"/>
    <col min="7182" max="7182" width="8.28515625" style="2" customWidth="1"/>
    <col min="7183" max="7183" width="9.140625" style="2"/>
    <col min="7184" max="7186" width="7.5703125" style="2" customWidth="1"/>
    <col min="7187" max="7187" width="10.28515625" style="2" customWidth="1"/>
    <col min="7188" max="7188" width="10.5703125" style="2" customWidth="1"/>
    <col min="7189" max="7189" width="11.140625" style="2" customWidth="1"/>
    <col min="7190" max="7190" width="10.42578125" style="2" customWidth="1"/>
    <col min="7191" max="7200" width="11" style="2" customWidth="1"/>
    <col min="7201" max="7201" width="9.140625" style="2" customWidth="1"/>
    <col min="7202" max="7202" width="6.85546875" style="2" customWidth="1"/>
    <col min="7203" max="7203" width="15" style="2" bestFit="1" customWidth="1"/>
    <col min="7204" max="7428" width="9.140625" style="2"/>
    <col min="7429" max="7429" width="4" style="2" customWidth="1"/>
    <col min="7430" max="7430" width="24.42578125" style="2" customWidth="1"/>
    <col min="7431" max="7431" width="19.85546875" style="2" customWidth="1"/>
    <col min="7432" max="7432" width="9.28515625" style="2" customWidth="1"/>
    <col min="7433" max="7433" width="10" style="2" customWidth="1"/>
    <col min="7434" max="7434" width="8.42578125" style="2" customWidth="1"/>
    <col min="7435" max="7435" width="12.28515625" style="2" customWidth="1"/>
    <col min="7436" max="7436" width="7.5703125" style="2" customWidth="1"/>
    <col min="7437" max="7437" width="7.85546875" style="2" customWidth="1"/>
    <col min="7438" max="7438" width="8.28515625" style="2" customWidth="1"/>
    <col min="7439" max="7439" width="9.140625" style="2"/>
    <col min="7440" max="7442" width="7.5703125" style="2" customWidth="1"/>
    <col min="7443" max="7443" width="10.28515625" style="2" customWidth="1"/>
    <col min="7444" max="7444" width="10.5703125" style="2" customWidth="1"/>
    <col min="7445" max="7445" width="11.140625" style="2" customWidth="1"/>
    <col min="7446" max="7446" width="10.42578125" style="2" customWidth="1"/>
    <col min="7447" max="7456" width="11" style="2" customWidth="1"/>
    <col min="7457" max="7457" width="9.140625" style="2" customWidth="1"/>
    <col min="7458" max="7458" width="6.85546875" style="2" customWidth="1"/>
    <col min="7459" max="7459" width="15" style="2" bestFit="1" customWidth="1"/>
    <col min="7460" max="7684" width="9.140625" style="2"/>
    <col min="7685" max="7685" width="4" style="2" customWidth="1"/>
    <col min="7686" max="7686" width="24.42578125" style="2" customWidth="1"/>
    <col min="7687" max="7687" width="19.85546875" style="2" customWidth="1"/>
    <col min="7688" max="7688" width="9.28515625" style="2" customWidth="1"/>
    <col min="7689" max="7689" width="10" style="2" customWidth="1"/>
    <col min="7690" max="7690" width="8.42578125" style="2" customWidth="1"/>
    <col min="7691" max="7691" width="12.28515625" style="2" customWidth="1"/>
    <col min="7692" max="7692" width="7.5703125" style="2" customWidth="1"/>
    <col min="7693" max="7693" width="7.85546875" style="2" customWidth="1"/>
    <col min="7694" max="7694" width="8.28515625" style="2" customWidth="1"/>
    <col min="7695" max="7695" width="9.140625" style="2"/>
    <col min="7696" max="7698" width="7.5703125" style="2" customWidth="1"/>
    <col min="7699" max="7699" width="10.28515625" style="2" customWidth="1"/>
    <col min="7700" max="7700" width="10.5703125" style="2" customWidth="1"/>
    <col min="7701" max="7701" width="11.140625" style="2" customWidth="1"/>
    <col min="7702" max="7702" width="10.42578125" style="2" customWidth="1"/>
    <col min="7703" max="7712" width="11" style="2" customWidth="1"/>
    <col min="7713" max="7713" width="9.140625" style="2" customWidth="1"/>
    <col min="7714" max="7714" width="6.85546875" style="2" customWidth="1"/>
    <col min="7715" max="7715" width="15" style="2" bestFit="1" customWidth="1"/>
    <col min="7716" max="7940" width="9.140625" style="2"/>
    <col min="7941" max="7941" width="4" style="2" customWidth="1"/>
    <col min="7942" max="7942" width="24.42578125" style="2" customWidth="1"/>
    <col min="7943" max="7943" width="19.85546875" style="2" customWidth="1"/>
    <col min="7944" max="7944" width="9.28515625" style="2" customWidth="1"/>
    <col min="7945" max="7945" width="10" style="2" customWidth="1"/>
    <col min="7946" max="7946" width="8.42578125" style="2" customWidth="1"/>
    <col min="7947" max="7947" width="12.28515625" style="2" customWidth="1"/>
    <col min="7948" max="7948" width="7.5703125" style="2" customWidth="1"/>
    <col min="7949" max="7949" width="7.85546875" style="2" customWidth="1"/>
    <col min="7950" max="7950" width="8.28515625" style="2" customWidth="1"/>
    <col min="7951" max="7951" width="9.140625" style="2"/>
    <col min="7952" max="7954" width="7.5703125" style="2" customWidth="1"/>
    <col min="7955" max="7955" width="10.28515625" style="2" customWidth="1"/>
    <col min="7956" max="7956" width="10.5703125" style="2" customWidth="1"/>
    <col min="7957" max="7957" width="11.140625" style="2" customWidth="1"/>
    <col min="7958" max="7958" width="10.42578125" style="2" customWidth="1"/>
    <col min="7959" max="7968" width="11" style="2" customWidth="1"/>
    <col min="7969" max="7969" width="9.140625" style="2" customWidth="1"/>
    <col min="7970" max="7970" width="6.85546875" style="2" customWidth="1"/>
    <col min="7971" max="7971" width="15" style="2" bestFit="1" customWidth="1"/>
    <col min="7972" max="8196" width="9.140625" style="2"/>
    <col min="8197" max="8197" width="4" style="2" customWidth="1"/>
    <col min="8198" max="8198" width="24.42578125" style="2" customWidth="1"/>
    <col min="8199" max="8199" width="19.85546875" style="2" customWidth="1"/>
    <col min="8200" max="8200" width="9.28515625" style="2" customWidth="1"/>
    <col min="8201" max="8201" width="10" style="2" customWidth="1"/>
    <col min="8202" max="8202" width="8.42578125" style="2" customWidth="1"/>
    <col min="8203" max="8203" width="12.28515625" style="2" customWidth="1"/>
    <col min="8204" max="8204" width="7.5703125" style="2" customWidth="1"/>
    <col min="8205" max="8205" width="7.85546875" style="2" customWidth="1"/>
    <col min="8206" max="8206" width="8.28515625" style="2" customWidth="1"/>
    <col min="8207" max="8207" width="9.140625" style="2"/>
    <col min="8208" max="8210" width="7.5703125" style="2" customWidth="1"/>
    <col min="8211" max="8211" width="10.28515625" style="2" customWidth="1"/>
    <col min="8212" max="8212" width="10.5703125" style="2" customWidth="1"/>
    <col min="8213" max="8213" width="11.140625" style="2" customWidth="1"/>
    <col min="8214" max="8214" width="10.42578125" style="2" customWidth="1"/>
    <col min="8215" max="8224" width="11" style="2" customWidth="1"/>
    <col min="8225" max="8225" width="9.140625" style="2" customWidth="1"/>
    <col min="8226" max="8226" width="6.85546875" style="2" customWidth="1"/>
    <col min="8227" max="8227" width="15" style="2" bestFit="1" customWidth="1"/>
    <col min="8228" max="8452" width="9.140625" style="2"/>
    <col min="8453" max="8453" width="4" style="2" customWidth="1"/>
    <col min="8454" max="8454" width="24.42578125" style="2" customWidth="1"/>
    <col min="8455" max="8455" width="19.85546875" style="2" customWidth="1"/>
    <col min="8456" max="8456" width="9.28515625" style="2" customWidth="1"/>
    <col min="8457" max="8457" width="10" style="2" customWidth="1"/>
    <col min="8458" max="8458" width="8.42578125" style="2" customWidth="1"/>
    <col min="8459" max="8459" width="12.28515625" style="2" customWidth="1"/>
    <col min="8460" max="8460" width="7.5703125" style="2" customWidth="1"/>
    <col min="8461" max="8461" width="7.85546875" style="2" customWidth="1"/>
    <col min="8462" max="8462" width="8.28515625" style="2" customWidth="1"/>
    <col min="8463" max="8463" width="9.140625" style="2"/>
    <col min="8464" max="8466" width="7.5703125" style="2" customWidth="1"/>
    <col min="8467" max="8467" width="10.28515625" style="2" customWidth="1"/>
    <col min="8468" max="8468" width="10.5703125" style="2" customWidth="1"/>
    <col min="8469" max="8469" width="11.140625" style="2" customWidth="1"/>
    <col min="8470" max="8470" width="10.42578125" style="2" customWidth="1"/>
    <col min="8471" max="8480" width="11" style="2" customWidth="1"/>
    <col min="8481" max="8481" width="9.140625" style="2" customWidth="1"/>
    <col min="8482" max="8482" width="6.85546875" style="2" customWidth="1"/>
    <col min="8483" max="8483" width="15" style="2" bestFit="1" customWidth="1"/>
    <col min="8484" max="8708" width="9.140625" style="2"/>
    <col min="8709" max="8709" width="4" style="2" customWidth="1"/>
    <col min="8710" max="8710" width="24.42578125" style="2" customWidth="1"/>
    <col min="8711" max="8711" width="19.85546875" style="2" customWidth="1"/>
    <col min="8712" max="8712" width="9.28515625" style="2" customWidth="1"/>
    <col min="8713" max="8713" width="10" style="2" customWidth="1"/>
    <col min="8714" max="8714" width="8.42578125" style="2" customWidth="1"/>
    <col min="8715" max="8715" width="12.28515625" style="2" customWidth="1"/>
    <col min="8716" max="8716" width="7.5703125" style="2" customWidth="1"/>
    <col min="8717" max="8717" width="7.85546875" style="2" customWidth="1"/>
    <col min="8718" max="8718" width="8.28515625" style="2" customWidth="1"/>
    <col min="8719" max="8719" width="9.140625" style="2"/>
    <col min="8720" max="8722" width="7.5703125" style="2" customWidth="1"/>
    <col min="8723" max="8723" width="10.28515625" style="2" customWidth="1"/>
    <col min="8724" max="8724" width="10.5703125" style="2" customWidth="1"/>
    <col min="8725" max="8725" width="11.140625" style="2" customWidth="1"/>
    <col min="8726" max="8726" width="10.42578125" style="2" customWidth="1"/>
    <col min="8727" max="8736" width="11" style="2" customWidth="1"/>
    <col min="8737" max="8737" width="9.140625" style="2" customWidth="1"/>
    <col min="8738" max="8738" width="6.85546875" style="2" customWidth="1"/>
    <col min="8739" max="8739" width="15" style="2" bestFit="1" customWidth="1"/>
    <col min="8740" max="8964" width="9.140625" style="2"/>
    <col min="8965" max="8965" width="4" style="2" customWidth="1"/>
    <col min="8966" max="8966" width="24.42578125" style="2" customWidth="1"/>
    <col min="8967" max="8967" width="19.85546875" style="2" customWidth="1"/>
    <col min="8968" max="8968" width="9.28515625" style="2" customWidth="1"/>
    <col min="8969" max="8969" width="10" style="2" customWidth="1"/>
    <col min="8970" max="8970" width="8.42578125" style="2" customWidth="1"/>
    <col min="8971" max="8971" width="12.28515625" style="2" customWidth="1"/>
    <col min="8972" max="8972" width="7.5703125" style="2" customWidth="1"/>
    <col min="8973" max="8973" width="7.85546875" style="2" customWidth="1"/>
    <col min="8974" max="8974" width="8.28515625" style="2" customWidth="1"/>
    <col min="8975" max="8975" width="9.140625" style="2"/>
    <col min="8976" max="8978" width="7.5703125" style="2" customWidth="1"/>
    <col min="8979" max="8979" width="10.28515625" style="2" customWidth="1"/>
    <col min="8980" max="8980" width="10.5703125" style="2" customWidth="1"/>
    <col min="8981" max="8981" width="11.140625" style="2" customWidth="1"/>
    <col min="8982" max="8982" width="10.42578125" style="2" customWidth="1"/>
    <col min="8983" max="8992" width="11" style="2" customWidth="1"/>
    <col min="8993" max="8993" width="9.140625" style="2" customWidth="1"/>
    <col min="8994" max="8994" width="6.85546875" style="2" customWidth="1"/>
    <col min="8995" max="8995" width="15" style="2" bestFit="1" customWidth="1"/>
    <col min="8996" max="9220" width="9.140625" style="2"/>
    <col min="9221" max="9221" width="4" style="2" customWidth="1"/>
    <col min="9222" max="9222" width="24.42578125" style="2" customWidth="1"/>
    <col min="9223" max="9223" width="19.85546875" style="2" customWidth="1"/>
    <col min="9224" max="9224" width="9.28515625" style="2" customWidth="1"/>
    <col min="9225" max="9225" width="10" style="2" customWidth="1"/>
    <col min="9226" max="9226" width="8.42578125" style="2" customWidth="1"/>
    <col min="9227" max="9227" width="12.28515625" style="2" customWidth="1"/>
    <col min="9228" max="9228" width="7.5703125" style="2" customWidth="1"/>
    <col min="9229" max="9229" width="7.85546875" style="2" customWidth="1"/>
    <col min="9230" max="9230" width="8.28515625" style="2" customWidth="1"/>
    <col min="9231" max="9231" width="9.140625" style="2"/>
    <col min="9232" max="9234" width="7.5703125" style="2" customWidth="1"/>
    <col min="9235" max="9235" width="10.28515625" style="2" customWidth="1"/>
    <col min="9236" max="9236" width="10.5703125" style="2" customWidth="1"/>
    <col min="9237" max="9237" width="11.140625" style="2" customWidth="1"/>
    <col min="9238" max="9238" width="10.42578125" style="2" customWidth="1"/>
    <col min="9239" max="9248" width="11" style="2" customWidth="1"/>
    <col min="9249" max="9249" width="9.140625" style="2" customWidth="1"/>
    <col min="9250" max="9250" width="6.85546875" style="2" customWidth="1"/>
    <col min="9251" max="9251" width="15" style="2" bestFit="1" customWidth="1"/>
    <col min="9252" max="9476" width="9.140625" style="2"/>
    <col min="9477" max="9477" width="4" style="2" customWidth="1"/>
    <col min="9478" max="9478" width="24.42578125" style="2" customWidth="1"/>
    <col min="9479" max="9479" width="19.85546875" style="2" customWidth="1"/>
    <col min="9480" max="9480" width="9.28515625" style="2" customWidth="1"/>
    <col min="9481" max="9481" width="10" style="2" customWidth="1"/>
    <col min="9482" max="9482" width="8.42578125" style="2" customWidth="1"/>
    <col min="9483" max="9483" width="12.28515625" style="2" customWidth="1"/>
    <col min="9484" max="9484" width="7.5703125" style="2" customWidth="1"/>
    <col min="9485" max="9485" width="7.85546875" style="2" customWidth="1"/>
    <col min="9486" max="9486" width="8.28515625" style="2" customWidth="1"/>
    <col min="9487" max="9487" width="9.140625" style="2"/>
    <col min="9488" max="9490" width="7.5703125" style="2" customWidth="1"/>
    <col min="9491" max="9491" width="10.28515625" style="2" customWidth="1"/>
    <col min="9492" max="9492" width="10.5703125" style="2" customWidth="1"/>
    <col min="9493" max="9493" width="11.140625" style="2" customWidth="1"/>
    <col min="9494" max="9494" width="10.42578125" style="2" customWidth="1"/>
    <col min="9495" max="9504" width="11" style="2" customWidth="1"/>
    <col min="9505" max="9505" width="9.140625" style="2" customWidth="1"/>
    <col min="9506" max="9506" width="6.85546875" style="2" customWidth="1"/>
    <col min="9507" max="9507" width="15" style="2" bestFit="1" customWidth="1"/>
    <col min="9508" max="9732" width="9.140625" style="2"/>
    <col min="9733" max="9733" width="4" style="2" customWidth="1"/>
    <col min="9734" max="9734" width="24.42578125" style="2" customWidth="1"/>
    <col min="9735" max="9735" width="19.85546875" style="2" customWidth="1"/>
    <col min="9736" max="9736" width="9.28515625" style="2" customWidth="1"/>
    <col min="9737" max="9737" width="10" style="2" customWidth="1"/>
    <col min="9738" max="9738" width="8.42578125" style="2" customWidth="1"/>
    <col min="9739" max="9739" width="12.28515625" style="2" customWidth="1"/>
    <col min="9740" max="9740" width="7.5703125" style="2" customWidth="1"/>
    <col min="9741" max="9741" width="7.85546875" style="2" customWidth="1"/>
    <col min="9742" max="9742" width="8.28515625" style="2" customWidth="1"/>
    <col min="9743" max="9743" width="9.140625" style="2"/>
    <col min="9744" max="9746" width="7.5703125" style="2" customWidth="1"/>
    <col min="9747" max="9747" width="10.28515625" style="2" customWidth="1"/>
    <col min="9748" max="9748" width="10.5703125" style="2" customWidth="1"/>
    <col min="9749" max="9749" width="11.140625" style="2" customWidth="1"/>
    <col min="9750" max="9750" width="10.42578125" style="2" customWidth="1"/>
    <col min="9751" max="9760" width="11" style="2" customWidth="1"/>
    <col min="9761" max="9761" width="9.140625" style="2" customWidth="1"/>
    <col min="9762" max="9762" width="6.85546875" style="2" customWidth="1"/>
    <col min="9763" max="9763" width="15" style="2" bestFit="1" customWidth="1"/>
    <col min="9764" max="9988" width="9.140625" style="2"/>
    <col min="9989" max="9989" width="4" style="2" customWidth="1"/>
    <col min="9990" max="9990" width="24.42578125" style="2" customWidth="1"/>
    <col min="9991" max="9991" width="19.85546875" style="2" customWidth="1"/>
    <col min="9992" max="9992" width="9.28515625" style="2" customWidth="1"/>
    <col min="9993" max="9993" width="10" style="2" customWidth="1"/>
    <col min="9994" max="9994" width="8.42578125" style="2" customWidth="1"/>
    <col min="9995" max="9995" width="12.28515625" style="2" customWidth="1"/>
    <col min="9996" max="9996" width="7.5703125" style="2" customWidth="1"/>
    <col min="9997" max="9997" width="7.85546875" style="2" customWidth="1"/>
    <col min="9998" max="9998" width="8.28515625" style="2" customWidth="1"/>
    <col min="9999" max="9999" width="9.140625" style="2"/>
    <col min="10000" max="10002" width="7.5703125" style="2" customWidth="1"/>
    <col min="10003" max="10003" width="10.28515625" style="2" customWidth="1"/>
    <col min="10004" max="10004" width="10.5703125" style="2" customWidth="1"/>
    <col min="10005" max="10005" width="11.140625" style="2" customWidth="1"/>
    <col min="10006" max="10006" width="10.42578125" style="2" customWidth="1"/>
    <col min="10007" max="10016" width="11" style="2" customWidth="1"/>
    <col min="10017" max="10017" width="9.140625" style="2" customWidth="1"/>
    <col min="10018" max="10018" width="6.85546875" style="2" customWidth="1"/>
    <col min="10019" max="10019" width="15" style="2" bestFit="1" customWidth="1"/>
    <col min="10020" max="10244" width="9.140625" style="2"/>
    <col min="10245" max="10245" width="4" style="2" customWidth="1"/>
    <col min="10246" max="10246" width="24.42578125" style="2" customWidth="1"/>
    <col min="10247" max="10247" width="19.85546875" style="2" customWidth="1"/>
    <col min="10248" max="10248" width="9.28515625" style="2" customWidth="1"/>
    <col min="10249" max="10249" width="10" style="2" customWidth="1"/>
    <col min="10250" max="10250" width="8.42578125" style="2" customWidth="1"/>
    <col min="10251" max="10251" width="12.28515625" style="2" customWidth="1"/>
    <col min="10252" max="10252" width="7.5703125" style="2" customWidth="1"/>
    <col min="10253" max="10253" width="7.85546875" style="2" customWidth="1"/>
    <col min="10254" max="10254" width="8.28515625" style="2" customWidth="1"/>
    <col min="10255" max="10255" width="9.140625" style="2"/>
    <col min="10256" max="10258" width="7.5703125" style="2" customWidth="1"/>
    <col min="10259" max="10259" width="10.28515625" style="2" customWidth="1"/>
    <col min="10260" max="10260" width="10.5703125" style="2" customWidth="1"/>
    <col min="10261" max="10261" width="11.140625" style="2" customWidth="1"/>
    <col min="10262" max="10262" width="10.42578125" style="2" customWidth="1"/>
    <col min="10263" max="10272" width="11" style="2" customWidth="1"/>
    <col min="10273" max="10273" width="9.140625" style="2" customWidth="1"/>
    <col min="10274" max="10274" width="6.85546875" style="2" customWidth="1"/>
    <col min="10275" max="10275" width="15" style="2" bestFit="1" customWidth="1"/>
    <col min="10276" max="10500" width="9.140625" style="2"/>
    <col min="10501" max="10501" width="4" style="2" customWidth="1"/>
    <col min="10502" max="10502" width="24.42578125" style="2" customWidth="1"/>
    <col min="10503" max="10503" width="19.85546875" style="2" customWidth="1"/>
    <col min="10504" max="10504" width="9.28515625" style="2" customWidth="1"/>
    <col min="10505" max="10505" width="10" style="2" customWidth="1"/>
    <col min="10506" max="10506" width="8.42578125" style="2" customWidth="1"/>
    <col min="10507" max="10507" width="12.28515625" style="2" customWidth="1"/>
    <col min="10508" max="10508" width="7.5703125" style="2" customWidth="1"/>
    <col min="10509" max="10509" width="7.85546875" style="2" customWidth="1"/>
    <col min="10510" max="10510" width="8.28515625" style="2" customWidth="1"/>
    <col min="10511" max="10511" width="9.140625" style="2"/>
    <col min="10512" max="10514" width="7.5703125" style="2" customWidth="1"/>
    <col min="10515" max="10515" width="10.28515625" style="2" customWidth="1"/>
    <col min="10516" max="10516" width="10.5703125" style="2" customWidth="1"/>
    <col min="10517" max="10517" width="11.140625" style="2" customWidth="1"/>
    <col min="10518" max="10518" width="10.42578125" style="2" customWidth="1"/>
    <col min="10519" max="10528" width="11" style="2" customWidth="1"/>
    <col min="10529" max="10529" width="9.140625" style="2" customWidth="1"/>
    <col min="10530" max="10530" width="6.85546875" style="2" customWidth="1"/>
    <col min="10531" max="10531" width="15" style="2" bestFit="1" customWidth="1"/>
    <col min="10532" max="10756" width="9.140625" style="2"/>
    <col min="10757" max="10757" width="4" style="2" customWidth="1"/>
    <col min="10758" max="10758" width="24.42578125" style="2" customWidth="1"/>
    <col min="10759" max="10759" width="19.85546875" style="2" customWidth="1"/>
    <col min="10760" max="10760" width="9.28515625" style="2" customWidth="1"/>
    <col min="10761" max="10761" width="10" style="2" customWidth="1"/>
    <col min="10762" max="10762" width="8.42578125" style="2" customWidth="1"/>
    <col min="10763" max="10763" width="12.28515625" style="2" customWidth="1"/>
    <col min="10764" max="10764" width="7.5703125" style="2" customWidth="1"/>
    <col min="10765" max="10765" width="7.85546875" style="2" customWidth="1"/>
    <col min="10766" max="10766" width="8.28515625" style="2" customWidth="1"/>
    <col min="10767" max="10767" width="9.140625" style="2"/>
    <col min="10768" max="10770" width="7.5703125" style="2" customWidth="1"/>
    <col min="10771" max="10771" width="10.28515625" style="2" customWidth="1"/>
    <col min="10772" max="10772" width="10.5703125" style="2" customWidth="1"/>
    <col min="10773" max="10773" width="11.140625" style="2" customWidth="1"/>
    <col min="10774" max="10774" width="10.42578125" style="2" customWidth="1"/>
    <col min="10775" max="10784" width="11" style="2" customWidth="1"/>
    <col min="10785" max="10785" width="9.140625" style="2" customWidth="1"/>
    <col min="10786" max="10786" width="6.85546875" style="2" customWidth="1"/>
    <col min="10787" max="10787" width="15" style="2" bestFit="1" customWidth="1"/>
    <col min="10788" max="11012" width="9.140625" style="2"/>
    <col min="11013" max="11013" width="4" style="2" customWidth="1"/>
    <col min="11014" max="11014" width="24.42578125" style="2" customWidth="1"/>
    <col min="11015" max="11015" width="19.85546875" style="2" customWidth="1"/>
    <col min="11016" max="11016" width="9.28515625" style="2" customWidth="1"/>
    <col min="11017" max="11017" width="10" style="2" customWidth="1"/>
    <col min="11018" max="11018" width="8.42578125" style="2" customWidth="1"/>
    <col min="11019" max="11019" width="12.28515625" style="2" customWidth="1"/>
    <col min="11020" max="11020" width="7.5703125" style="2" customWidth="1"/>
    <col min="11021" max="11021" width="7.85546875" style="2" customWidth="1"/>
    <col min="11022" max="11022" width="8.28515625" style="2" customWidth="1"/>
    <col min="11023" max="11023" width="9.140625" style="2"/>
    <col min="11024" max="11026" width="7.5703125" style="2" customWidth="1"/>
    <col min="11027" max="11027" width="10.28515625" style="2" customWidth="1"/>
    <col min="11028" max="11028" width="10.5703125" style="2" customWidth="1"/>
    <col min="11029" max="11029" width="11.140625" style="2" customWidth="1"/>
    <col min="11030" max="11030" width="10.42578125" style="2" customWidth="1"/>
    <col min="11031" max="11040" width="11" style="2" customWidth="1"/>
    <col min="11041" max="11041" width="9.140625" style="2" customWidth="1"/>
    <col min="11042" max="11042" width="6.85546875" style="2" customWidth="1"/>
    <col min="11043" max="11043" width="15" style="2" bestFit="1" customWidth="1"/>
    <col min="11044" max="11268" width="9.140625" style="2"/>
    <col min="11269" max="11269" width="4" style="2" customWidth="1"/>
    <col min="11270" max="11270" width="24.42578125" style="2" customWidth="1"/>
    <col min="11271" max="11271" width="19.85546875" style="2" customWidth="1"/>
    <col min="11272" max="11272" width="9.28515625" style="2" customWidth="1"/>
    <col min="11273" max="11273" width="10" style="2" customWidth="1"/>
    <col min="11274" max="11274" width="8.42578125" style="2" customWidth="1"/>
    <col min="11275" max="11275" width="12.28515625" style="2" customWidth="1"/>
    <col min="11276" max="11276" width="7.5703125" style="2" customWidth="1"/>
    <col min="11277" max="11277" width="7.85546875" style="2" customWidth="1"/>
    <col min="11278" max="11278" width="8.28515625" style="2" customWidth="1"/>
    <col min="11279" max="11279" width="9.140625" style="2"/>
    <col min="11280" max="11282" width="7.5703125" style="2" customWidth="1"/>
    <col min="11283" max="11283" width="10.28515625" style="2" customWidth="1"/>
    <col min="11284" max="11284" width="10.5703125" style="2" customWidth="1"/>
    <col min="11285" max="11285" width="11.140625" style="2" customWidth="1"/>
    <col min="11286" max="11286" width="10.42578125" style="2" customWidth="1"/>
    <col min="11287" max="11296" width="11" style="2" customWidth="1"/>
    <col min="11297" max="11297" width="9.140625" style="2" customWidth="1"/>
    <col min="11298" max="11298" width="6.85546875" style="2" customWidth="1"/>
    <col min="11299" max="11299" width="15" style="2" bestFit="1" customWidth="1"/>
    <col min="11300" max="11524" width="9.140625" style="2"/>
    <col min="11525" max="11525" width="4" style="2" customWidth="1"/>
    <col min="11526" max="11526" width="24.42578125" style="2" customWidth="1"/>
    <col min="11527" max="11527" width="19.85546875" style="2" customWidth="1"/>
    <col min="11528" max="11528" width="9.28515625" style="2" customWidth="1"/>
    <col min="11529" max="11529" width="10" style="2" customWidth="1"/>
    <col min="11530" max="11530" width="8.42578125" style="2" customWidth="1"/>
    <col min="11531" max="11531" width="12.28515625" style="2" customWidth="1"/>
    <col min="11532" max="11532" width="7.5703125" style="2" customWidth="1"/>
    <col min="11533" max="11533" width="7.85546875" style="2" customWidth="1"/>
    <col min="11534" max="11534" width="8.28515625" style="2" customWidth="1"/>
    <col min="11535" max="11535" width="9.140625" style="2"/>
    <col min="11536" max="11538" width="7.5703125" style="2" customWidth="1"/>
    <col min="11539" max="11539" width="10.28515625" style="2" customWidth="1"/>
    <col min="11540" max="11540" width="10.5703125" style="2" customWidth="1"/>
    <col min="11541" max="11541" width="11.140625" style="2" customWidth="1"/>
    <col min="11542" max="11542" width="10.42578125" style="2" customWidth="1"/>
    <col min="11543" max="11552" width="11" style="2" customWidth="1"/>
    <col min="11553" max="11553" width="9.140625" style="2" customWidth="1"/>
    <col min="11554" max="11554" width="6.85546875" style="2" customWidth="1"/>
    <col min="11555" max="11555" width="15" style="2" bestFit="1" customWidth="1"/>
    <col min="11556" max="11780" width="9.140625" style="2"/>
    <col min="11781" max="11781" width="4" style="2" customWidth="1"/>
    <col min="11782" max="11782" width="24.42578125" style="2" customWidth="1"/>
    <col min="11783" max="11783" width="19.85546875" style="2" customWidth="1"/>
    <col min="11784" max="11784" width="9.28515625" style="2" customWidth="1"/>
    <col min="11785" max="11785" width="10" style="2" customWidth="1"/>
    <col min="11786" max="11786" width="8.42578125" style="2" customWidth="1"/>
    <col min="11787" max="11787" width="12.28515625" style="2" customWidth="1"/>
    <col min="11788" max="11788" width="7.5703125" style="2" customWidth="1"/>
    <col min="11789" max="11789" width="7.85546875" style="2" customWidth="1"/>
    <col min="11790" max="11790" width="8.28515625" style="2" customWidth="1"/>
    <col min="11791" max="11791" width="9.140625" style="2"/>
    <col min="11792" max="11794" width="7.5703125" style="2" customWidth="1"/>
    <col min="11795" max="11795" width="10.28515625" style="2" customWidth="1"/>
    <col min="11796" max="11796" width="10.5703125" style="2" customWidth="1"/>
    <col min="11797" max="11797" width="11.140625" style="2" customWidth="1"/>
    <col min="11798" max="11798" width="10.42578125" style="2" customWidth="1"/>
    <col min="11799" max="11808" width="11" style="2" customWidth="1"/>
    <col min="11809" max="11809" width="9.140625" style="2" customWidth="1"/>
    <col min="11810" max="11810" width="6.85546875" style="2" customWidth="1"/>
    <col min="11811" max="11811" width="15" style="2" bestFit="1" customWidth="1"/>
    <col min="11812" max="12036" width="9.140625" style="2"/>
    <col min="12037" max="12037" width="4" style="2" customWidth="1"/>
    <col min="12038" max="12038" width="24.42578125" style="2" customWidth="1"/>
    <col min="12039" max="12039" width="19.85546875" style="2" customWidth="1"/>
    <col min="12040" max="12040" width="9.28515625" style="2" customWidth="1"/>
    <col min="12041" max="12041" width="10" style="2" customWidth="1"/>
    <col min="12042" max="12042" width="8.42578125" style="2" customWidth="1"/>
    <col min="12043" max="12043" width="12.28515625" style="2" customWidth="1"/>
    <col min="12044" max="12044" width="7.5703125" style="2" customWidth="1"/>
    <col min="12045" max="12045" width="7.85546875" style="2" customWidth="1"/>
    <col min="12046" max="12046" width="8.28515625" style="2" customWidth="1"/>
    <col min="12047" max="12047" width="9.140625" style="2"/>
    <col min="12048" max="12050" width="7.5703125" style="2" customWidth="1"/>
    <col min="12051" max="12051" width="10.28515625" style="2" customWidth="1"/>
    <col min="12052" max="12052" width="10.5703125" style="2" customWidth="1"/>
    <col min="12053" max="12053" width="11.140625" style="2" customWidth="1"/>
    <col min="12054" max="12054" width="10.42578125" style="2" customWidth="1"/>
    <col min="12055" max="12064" width="11" style="2" customWidth="1"/>
    <col min="12065" max="12065" width="9.140625" style="2" customWidth="1"/>
    <col min="12066" max="12066" width="6.85546875" style="2" customWidth="1"/>
    <col min="12067" max="12067" width="15" style="2" bestFit="1" customWidth="1"/>
    <col min="12068" max="12292" width="9.140625" style="2"/>
    <col min="12293" max="12293" width="4" style="2" customWidth="1"/>
    <col min="12294" max="12294" width="24.42578125" style="2" customWidth="1"/>
    <col min="12295" max="12295" width="19.85546875" style="2" customWidth="1"/>
    <col min="12296" max="12296" width="9.28515625" style="2" customWidth="1"/>
    <col min="12297" max="12297" width="10" style="2" customWidth="1"/>
    <col min="12298" max="12298" width="8.42578125" style="2" customWidth="1"/>
    <col min="12299" max="12299" width="12.28515625" style="2" customWidth="1"/>
    <col min="12300" max="12300" width="7.5703125" style="2" customWidth="1"/>
    <col min="12301" max="12301" width="7.85546875" style="2" customWidth="1"/>
    <col min="12302" max="12302" width="8.28515625" style="2" customWidth="1"/>
    <col min="12303" max="12303" width="9.140625" style="2"/>
    <col min="12304" max="12306" width="7.5703125" style="2" customWidth="1"/>
    <col min="12307" max="12307" width="10.28515625" style="2" customWidth="1"/>
    <col min="12308" max="12308" width="10.5703125" style="2" customWidth="1"/>
    <col min="12309" max="12309" width="11.140625" style="2" customWidth="1"/>
    <col min="12310" max="12310" width="10.42578125" style="2" customWidth="1"/>
    <col min="12311" max="12320" width="11" style="2" customWidth="1"/>
    <col min="12321" max="12321" width="9.140625" style="2" customWidth="1"/>
    <col min="12322" max="12322" width="6.85546875" style="2" customWidth="1"/>
    <col min="12323" max="12323" width="15" style="2" bestFit="1" customWidth="1"/>
    <col min="12324" max="12548" width="9.140625" style="2"/>
    <col min="12549" max="12549" width="4" style="2" customWidth="1"/>
    <col min="12550" max="12550" width="24.42578125" style="2" customWidth="1"/>
    <col min="12551" max="12551" width="19.85546875" style="2" customWidth="1"/>
    <col min="12552" max="12552" width="9.28515625" style="2" customWidth="1"/>
    <col min="12553" max="12553" width="10" style="2" customWidth="1"/>
    <col min="12554" max="12554" width="8.42578125" style="2" customWidth="1"/>
    <col min="12555" max="12555" width="12.28515625" style="2" customWidth="1"/>
    <col min="12556" max="12556" width="7.5703125" style="2" customWidth="1"/>
    <col min="12557" max="12557" width="7.85546875" style="2" customWidth="1"/>
    <col min="12558" max="12558" width="8.28515625" style="2" customWidth="1"/>
    <col min="12559" max="12559" width="9.140625" style="2"/>
    <col min="12560" max="12562" width="7.5703125" style="2" customWidth="1"/>
    <col min="12563" max="12563" width="10.28515625" style="2" customWidth="1"/>
    <col min="12564" max="12564" width="10.5703125" style="2" customWidth="1"/>
    <col min="12565" max="12565" width="11.140625" style="2" customWidth="1"/>
    <col min="12566" max="12566" width="10.42578125" style="2" customWidth="1"/>
    <col min="12567" max="12576" width="11" style="2" customWidth="1"/>
    <col min="12577" max="12577" width="9.140625" style="2" customWidth="1"/>
    <col min="12578" max="12578" width="6.85546875" style="2" customWidth="1"/>
    <col min="12579" max="12579" width="15" style="2" bestFit="1" customWidth="1"/>
    <col min="12580" max="12804" width="9.140625" style="2"/>
    <col min="12805" max="12805" width="4" style="2" customWidth="1"/>
    <col min="12806" max="12806" width="24.42578125" style="2" customWidth="1"/>
    <col min="12807" max="12807" width="19.85546875" style="2" customWidth="1"/>
    <col min="12808" max="12808" width="9.28515625" style="2" customWidth="1"/>
    <col min="12809" max="12809" width="10" style="2" customWidth="1"/>
    <col min="12810" max="12810" width="8.42578125" style="2" customWidth="1"/>
    <col min="12811" max="12811" width="12.28515625" style="2" customWidth="1"/>
    <col min="12812" max="12812" width="7.5703125" style="2" customWidth="1"/>
    <col min="12813" max="12813" width="7.85546875" style="2" customWidth="1"/>
    <col min="12814" max="12814" width="8.28515625" style="2" customWidth="1"/>
    <col min="12815" max="12815" width="9.140625" style="2"/>
    <col min="12816" max="12818" width="7.5703125" style="2" customWidth="1"/>
    <col min="12819" max="12819" width="10.28515625" style="2" customWidth="1"/>
    <col min="12820" max="12820" width="10.5703125" style="2" customWidth="1"/>
    <col min="12821" max="12821" width="11.140625" style="2" customWidth="1"/>
    <col min="12822" max="12822" width="10.42578125" style="2" customWidth="1"/>
    <col min="12823" max="12832" width="11" style="2" customWidth="1"/>
    <col min="12833" max="12833" width="9.140625" style="2" customWidth="1"/>
    <col min="12834" max="12834" width="6.85546875" style="2" customWidth="1"/>
    <col min="12835" max="12835" width="15" style="2" bestFit="1" customWidth="1"/>
    <col min="12836" max="13060" width="9.140625" style="2"/>
    <col min="13061" max="13061" width="4" style="2" customWidth="1"/>
    <col min="13062" max="13062" width="24.42578125" style="2" customWidth="1"/>
    <col min="13063" max="13063" width="19.85546875" style="2" customWidth="1"/>
    <col min="13064" max="13064" width="9.28515625" style="2" customWidth="1"/>
    <col min="13065" max="13065" width="10" style="2" customWidth="1"/>
    <col min="13066" max="13066" width="8.42578125" style="2" customWidth="1"/>
    <col min="13067" max="13067" width="12.28515625" style="2" customWidth="1"/>
    <col min="13068" max="13068" width="7.5703125" style="2" customWidth="1"/>
    <col min="13069" max="13069" width="7.85546875" style="2" customWidth="1"/>
    <col min="13070" max="13070" width="8.28515625" style="2" customWidth="1"/>
    <col min="13071" max="13071" width="9.140625" style="2"/>
    <col min="13072" max="13074" width="7.5703125" style="2" customWidth="1"/>
    <col min="13075" max="13075" width="10.28515625" style="2" customWidth="1"/>
    <col min="13076" max="13076" width="10.5703125" style="2" customWidth="1"/>
    <col min="13077" max="13077" width="11.140625" style="2" customWidth="1"/>
    <col min="13078" max="13078" width="10.42578125" style="2" customWidth="1"/>
    <col min="13079" max="13088" width="11" style="2" customWidth="1"/>
    <col min="13089" max="13089" width="9.140625" style="2" customWidth="1"/>
    <col min="13090" max="13090" width="6.85546875" style="2" customWidth="1"/>
    <col min="13091" max="13091" width="15" style="2" bestFit="1" customWidth="1"/>
    <col min="13092" max="13316" width="9.140625" style="2"/>
    <col min="13317" max="13317" width="4" style="2" customWidth="1"/>
    <col min="13318" max="13318" width="24.42578125" style="2" customWidth="1"/>
    <col min="13319" max="13319" width="19.85546875" style="2" customWidth="1"/>
    <col min="13320" max="13320" width="9.28515625" style="2" customWidth="1"/>
    <col min="13321" max="13321" width="10" style="2" customWidth="1"/>
    <col min="13322" max="13322" width="8.42578125" style="2" customWidth="1"/>
    <col min="13323" max="13323" width="12.28515625" style="2" customWidth="1"/>
    <col min="13324" max="13324" width="7.5703125" style="2" customWidth="1"/>
    <col min="13325" max="13325" width="7.85546875" style="2" customWidth="1"/>
    <col min="13326" max="13326" width="8.28515625" style="2" customWidth="1"/>
    <col min="13327" max="13327" width="9.140625" style="2"/>
    <col min="13328" max="13330" width="7.5703125" style="2" customWidth="1"/>
    <col min="13331" max="13331" width="10.28515625" style="2" customWidth="1"/>
    <col min="13332" max="13332" width="10.5703125" style="2" customWidth="1"/>
    <col min="13333" max="13333" width="11.140625" style="2" customWidth="1"/>
    <col min="13334" max="13334" width="10.42578125" style="2" customWidth="1"/>
    <col min="13335" max="13344" width="11" style="2" customWidth="1"/>
    <col min="13345" max="13345" width="9.140625" style="2" customWidth="1"/>
    <col min="13346" max="13346" width="6.85546875" style="2" customWidth="1"/>
    <col min="13347" max="13347" width="15" style="2" bestFit="1" customWidth="1"/>
    <col min="13348" max="13572" width="9.140625" style="2"/>
    <col min="13573" max="13573" width="4" style="2" customWidth="1"/>
    <col min="13574" max="13574" width="24.42578125" style="2" customWidth="1"/>
    <col min="13575" max="13575" width="19.85546875" style="2" customWidth="1"/>
    <col min="13576" max="13576" width="9.28515625" style="2" customWidth="1"/>
    <col min="13577" max="13577" width="10" style="2" customWidth="1"/>
    <col min="13578" max="13578" width="8.42578125" style="2" customWidth="1"/>
    <col min="13579" max="13579" width="12.28515625" style="2" customWidth="1"/>
    <col min="13580" max="13580" width="7.5703125" style="2" customWidth="1"/>
    <col min="13581" max="13581" width="7.85546875" style="2" customWidth="1"/>
    <col min="13582" max="13582" width="8.28515625" style="2" customWidth="1"/>
    <col min="13583" max="13583" width="9.140625" style="2"/>
    <col min="13584" max="13586" width="7.5703125" style="2" customWidth="1"/>
    <col min="13587" max="13587" width="10.28515625" style="2" customWidth="1"/>
    <col min="13588" max="13588" width="10.5703125" style="2" customWidth="1"/>
    <col min="13589" max="13589" width="11.140625" style="2" customWidth="1"/>
    <col min="13590" max="13590" width="10.42578125" style="2" customWidth="1"/>
    <col min="13591" max="13600" width="11" style="2" customWidth="1"/>
    <col min="13601" max="13601" width="9.140625" style="2" customWidth="1"/>
    <col min="13602" max="13602" width="6.85546875" style="2" customWidth="1"/>
    <col min="13603" max="13603" width="15" style="2" bestFit="1" customWidth="1"/>
    <col min="13604" max="13828" width="9.140625" style="2"/>
    <col min="13829" max="13829" width="4" style="2" customWidth="1"/>
    <col min="13830" max="13830" width="24.42578125" style="2" customWidth="1"/>
    <col min="13831" max="13831" width="19.85546875" style="2" customWidth="1"/>
    <col min="13832" max="13832" width="9.28515625" style="2" customWidth="1"/>
    <col min="13833" max="13833" width="10" style="2" customWidth="1"/>
    <col min="13834" max="13834" width="8.42578125" style="2" customWidth="1"/>
    <col min="13835" max="13835" width="12.28515625" style="2" customWidth="1"/>
    <col min="13836" max="13836" width="7.5703125" style="2" customWidth="1"/>
    <col min="13837" max="13837" width="7.85546875" style="2" customWidth="1"/>
    <col min="13838" max="13838" width="8.28515625" style="2" customWidth="1"/>
    <col min="13839" max="13839" width="9.140625" style="2"/>
    <col min="13840" max="13842" width="7.5703125" style="2" customWidth="1"/>
    <col min="13843" max="13843" width="10.28515625" style="2" customWidth="1"/>
    <col min="13844" max="13844" width="10.5703125" style="2" customWidth="1"/>
    <col min="13845" max="13845" width="11.140625" style="2" customWidth="1"/>
    <col min="13846" max="13846" width="10.42578125" style="2" customWidth="1"/>
    <col min="13847" max="13856" width="11" style="2" customWidth="1"/>
    <col min="13857" max="13857" width="9.140625" style="2" customWidth="1"/>
    <col min="13858" max="13858" width="6.85546875" style="2" customWidth="1"/>
    <col min="13859" max="13859" width="15" style="2" bestFit="1" customWidth="1"/>
    <col min="13860" max="14084" width="9.140625" style="2"/>
    <col min="14085" max="14085" width="4" style="2" customWidth="1"/>
    <col min="14086" max="14086" width="24.42578125" style="2" customWidth="1"/>
    <col min="14087" max="14087" width="19.85546875" style="2" customWidth="1"/>
    <col min="14088" max="14088" width="9.28515625" style="2" customWidth="1"/>
    <col min="14089" max="14089" width="10" style="2" customWidth="1"/>
    <col min="14090" max="14090" width="8.42578125" style="2" customWidth="1"/>
    <col min="14091" max="14091" width="12.28515625" style="2" customWidth="1"/>
    <col min="14092" max="14092" width="7.5703125" style="2" customWidth="1"/>
    <col min="14093" max="14093" width="7.85546875" style="2" customWidth="1"/>
    <col min="14094" max="14094" width="8.28515625" style="2" customWidth="1"/>
    <col min="14095" max="14095" width="9.140625" style="2"/>
    <col min="14096" max="14098" width="7.5703125" style="2" customWidth="1"/>
    <col min="14099" max="14099" width="10.28515625" style="2" customWidth="1"/>
    <col min="14100" max="14100" width="10.5703125" style="2" customWidth="1"/>
    <col min="14101" max="14101" width="11.140625" style="2" customWidth="1"/>
    <col min="14102" max="14102" width="10.42578125" style="2" customWidth="1"/>
    <col min="14103" max="14112" width="11" style="2" customWidth="1"/>
    <col min="14113" max="14113" width="9.140625" style="2" customWidth="1"/>
    <col min="14114" max="14114" width="6.85546875" style="2" customWidth="1"/>
    <col min="14115" max="14115" width="15" style="2" bestFit="1" customWidth="1"/>
    <col min="14116" max="14340" width="9.140625" style="2"/>
    <col min="14341" max="14341" width="4" style="2" customWidth="1"/>
    <col min="14342" max="14342" width="24.42578125" style="2" customWidth="1"/>
    <col min="14343" max="14343" width="19.85546875" style="2" customWidth="1"/>
    <col min="14344" max="14344" width="9.28515625" style="2" customWidth="1"/>
    <col min="14345" max="14345" width="10" style="2" customWidth="1"/>
    <col min="14346" max="14346" width="8.42578125" style="2" customWidth="1"/>
    <col min="14347" max="14347" width="12.28515625" style="2" customWidth="1"/>
    <col min="14348" max="14348" width="7.5703125" style="2" customWidth="1"/>
    <col min="14349" max="14349" width="7.85546875" style="2" customWidth="1"/>
    <col min="14350" max="14350" width="8.28515625" style="2" customWidth="1"/>
    <col min="14351" max="14351" width="9.140625" style="2"/>
    <col min="14352" max="14354" width="7.5703125" style="2" customWidth="1"/>
    <col min="14355" max="14355" width="10.28515625" style="2" customWidth="1"/>
    <col min="14356" max="14356" width="10.5703125" style="2" customWidth="1"/>
    <col min="14357" max="14357" width="11.140625" style="2" customWidth="1"/>
    <col min="14358" max="14358" width="10.42578125" style="2" customWidth="1"/>
    <col min="14359" max="14368" width="11" style="2" customWidth="1"/>
    <col min="14369" max="14369" width="9.140625" style="2" customWidth="1"/>
    <col min="14370" max="14370" width="6.85546875" style="2" customWidth="1"/>
    <col min="14371" max="14371" width="15" style="2" bestFit="1" customWidth="1"/>
    <col min="14372" max="14596" width="9.140625" style="2"/>
    <col min="14597" max="14597" width="4" style="2" customWidth="1"/>
    <col min="14598" max="14598" width="24.42578125" style="2" customWidth="1"/>
    <col min="14599" max="14599" width="19.85546875" style="2" customWidth="1"/>
    <col min="14600" max="14600" width="9.28515625" style="2" customWidth="1"/>
    <col min="14601" max="14601" width="10" style="2" customWidth="1"/>
    <col min="14602" max="14602" width="8.42578125" style="2" customWidth="1"/>
    <col min="14603" max="14603" width="12.28515625" style="2" customWidth="1"/>
    <col min="14604" max="14604" width="7.5703125" style="2" customWidth="1"/>
    <col min="14605" max="14605" width="7.85546875" style="2" customWidth="1"/>
    <col min="14606" max="14606" width="8.28515625" style="2" customWidth="1"/>
    <col min="14607" max="14607" width="9.140625" style="2"/>
    <col min="14608" max="14610" width="7.5703125" style="2" customWidth="1"/>
    <col min="14611" max="14611" width="10.28515625" style="2" customWidth="1"/>
    <col min="14612" max="14612" width="10.5703125" style="2" customWidth="1"/>
    <col min="14613" max="14613" width="11.140625" style="2" customWidth="1"/>
    <col min="14614" max="14614" width="10.42578125" style="2" customWidth="1"/>
    <col min="14615" max="14624" width="11" style="2" customWidth="1"/>
    <col min="14625" max="14625" width="9.140625" style="2" customWidth="1"/>
    <col min="14626" max="14626" width="6.85546875" style="2" customWidth="1"/>
    <col min="14627" max="14627" width="15" style="2" bestFit="1" customWidth="1"/>
    <col min="14628" max="14852" width="9.140625" style="2"/>
    <col min="14853" max="14853" width="4" style="2" customWidth="1"/>
    <col min="14854" max="14854" width="24.42578125" style="2" customWidth="1"/>
    <col min="14855" max="14855" width="19.85546875" style="2" customWidth="1"/>
    <col min="14856" max="14856" width="9.28515625" style="2" customWidth="1"/>
    <col min="14857" max="14857" width="10" style="2" customWidth="1"/>
    <col min="14858" max="14858" width="8.42578125" style="2" customWidth="1"/>
    <col min="14859" max="14859" width="12.28515625" style="2" customWidth="1"/>
    <col min="14860" max="14860" width="7.5703125" style="2" customWidth="1"/>
    <col min="14861" max="14861" width="7.85546875" style="2" customWidth="1"/>
    <col min="14862" max="14862" width="8.28515625" style="2" customWidth="1"/>
    <col min="14863" max="14863" width="9.140625" style="2"/>
    <col min="14864" max="14866" width="7.5703125" style="2" customWidth="1"/>
    <col min="14867" max="14867" width="10.28515625" style="2" customWidth="1"/>
    <col min="14868" max="14868" width="10.5703125" style="2" customWidth="1"/>
    <col min="14869" max="14869" width="11.140625" style="2" customWidth="1"/>
    <col min="14870" max="14870" width="10.42578125" style="2" customWidth="1"/>
    <col min="14871" max="14880" width="11" style="2" customWidth="1"/>
    <col min="14881" max="14881" width="9.140625" style="2" customWidth="1"/>
    <col min="14882" max="14882" width="6.85546875" style="2" customWidth="1"/>
    <col min="14883" max="14883" width="15" style="2" bestFit="1" customWidth="1"/>
    <col min="14884" max="15108" width="9.140625" style="2"/>
    <col min="15109" max="15109" width="4" style="2" customWidth="1"/>
    <col min="15110" max="15110" width="24.42578125" style="2" customWidth="1"/>
    <col min="15111" max="15111" width="19.85546875" style="2" customWidth="1"/>
    <col min="15112" max="15112" width="9.28515625" style="2" customWidth="1"/>
    <col min="15113" max="15113" width="10" style="2" customWidth="1"/>
    <col min="15114" max="15114" width="8.42578125" style="2" customWidth="1"/>
    <col min="15115" max="15115" width="12.28515625" style="2" customWidth="1"/>
    <col min="15116" max="15116" width="7.5703125" style="2" customWidth="1"/>
    <col min="15117" max="15117" width="7.85546875" style="2" customWidth="1"/>
    <col min="15118" max="15118" width="8.28515625" style="2" customWidth="1"/>
    <col min="15119" max="15119" width="9.140625" style="2"/>
    <col min="15120" max="15122" width="7.5703125" style="2" customWidth="1"/>
    <col min="15123" max="15123" width="10.28515625" style="2" customWidth="1"/>
    <col min="15124" max="15124" width="10.5703125" style="2" customWidth="1"/>
    <col min="15125" max="15125" width="11.140625" style="2" customWidth="1"/>
    <col min="15126" max="15126" width="10.42578125" style="2" customWidth="1"/>
    <col min="15127" max="15136" width="11" style="2" customWidth="1"/>
    <col min="15137" max="15137" width="9.140625" style="2" customWidth="1"/>
    <col min="15138" max="15138" width="6.85546875" style="2" customWidth="1"/>
    <col min="15139" max="15139" width="15" style="2" bestFit="1" customWidth="1"/>
    <col min="15140" max="15364" width="9.140625" style="2"/>
    <col min="15365" max="15365" width="4" style="2" customWidth="1"/>
    <col min="15366" max="15366" width="24.42578125" style="2" customWidth="1"/>
    <col min="15367" max="15367" width="19.85546875" style="2" customWidth="1"/>
    <col min="15368" max="15368" width="9.28515625" style="2" customWidth="1"/>
    <col min="15369" max="15369" width="10" style="2" customWidth="1"/>
    <col min="15370" max="15370" width="8.42578125" style="2" customWidth="1"/>
    <col min="15371" max="15371" width="12.28515625" style="2" customWidth="1"/>
    <col min="15372" max="15372" width="7.5703125" style="2" customWidth="1"/>
    <col min="15373" max="15373" width="7.85546875" style="2" customWidth="1"/>
    <col min="15374" max="15374" width="8.28515625" style="2" customWidth="1"/>
    <col min="15375" max="15375" width="9.140625" style="2"/>
    <col min="15376" max="15378" width="7.5703125" style="2" customWidth="1"/>
    <col min="15379" max="15379" width="10.28515625" style="2" customWidth="1"/>
    <col min="15380" max="15380" width="10.5703125" style="2" customWidth="1"/>
    <col min="15381" max="15381" width="11.140625" style="2" customWidth="1"/>
    <col min="15382" max="15382" width="10.42578125" style="2" customWidth="1"/>
    <col min="15383" max="15392" width="11" style="2" customWidth="1"/>
    <col min="15393" max="15393" width="9.140625" style="2" customWidth="1"/>
    <col min="15394" max="15394" width="6.85546875" style="2" customWidth="1"/>
    <col min="15395" max="15395" width="15" style="2" bestFit="1" customWidth="1"/>
    <col min="15396" max="15620" width="9.140625" style="2"/>
    <col min="15621" max="15621" width="4" style="2" customWidth="1"/>
    <col min="15622" max="15622" width="24.42578125" style="2" customWidth="1"/>
    <col min="15623" max="15623" width="19.85546875" style="2" customWidth="1"/>
    <col min="15624" max="15624" width="9.28515625" style="2" customWidth="1"/>
    <col min="15625" max="15625" width="10" style="2" customWidth="1"/>
    <col min="15626" max="15626" width="8.42578125" style="2" customWidth="1"/>
    <col min="15627" max="15627" width="12.28515625" style="2" customWidth="1"/>
    <col min="15628" max="15628" width="7.5703125" style="2" customWidth="1"/>
    <col min="15629" max="15629" width="7.85546875" style="2" customWidth="1"/>
    <col min="15630" max="15630" width="8.28515625" style="2" customWidth="1"/>
    <col min="15631" max="15631" width="9.140625" style="2"/>
    <col min="15632" max="15634" width="7.5703125" style="2" customWidth="1"/>
    <col min="15635" max="15635" width="10.28515625" style="2" customWidth="1"/>
    <col min="15636" max="15636" width="10.5703125" style="2" customWidth="1"/>
    <col min="15637" max="15637" width="11.140625" style="2" customWidth="1"/>
    <col min="15638" max="15638" width="10.42578125" style="2" customWidth="1"/>
    <col min="15639" max="15648" width="11" style="2" customWidth="1"/>
    <col min="15649" max="15649" width="9.140625" style="2" customWidth="1"/>
    <col min="15650" max="15650" width="6.85546875" style="2" customWidth="1"/>
    <col min="15651" max="15651" width="15" style="2" bestFit="1" customWidth="1"/>
    <col min="15652" max="15876" width="9.140625" style="2"/>
    <col min="15877" max="15877" width="4" style="2" customWidth="1"/>
    <col min="15878" max="15878" width="24.42578125" style="2" customWidth="1"/>
    <col min="15879" max="15879" width="19.85546875" style="2" customWidth="1"/>
    <col min="15880" max="15880" width="9.28515625" style="2" customWidth="1"/>
    <col min="15881" max="15881" width="10" style="2" customWidth="1"/>
    <col min="15882" max="15882" width="8.42578125" style="2" customWidth="1"/>
    <col min="15883" max="15883" width="12.28515625" style="2" customWidth="1"/>
    <col min="15884" max="15884" width="7.5703125" style="2" customWidth="1"/>
    <col min="15885" max="15885" width="7.85546875" style="2" customWidth="1"/>
    <col min="15886" max="15886" width="8.28515625" style="2" customWidth="1"/>
    <col min="15887" max="15887" width="9.140625" style="2"/>
    <col min="15888" max="15890" width="7.5703125" style="2" customWidth="1"/>
    <col min="15891" max="15891" width="10.28515625" style="2" customWidth="1"/>
    <col min="15892" max="15892" width="10.5703125" style="2" customWidth="1"/>
    <col min="15893" max="15893" width="11.140625" style="2" customWidth="1"/>
    <col min="15894" max="15894" width="10.42578125" style="2" customWidth="1"/>
    <col min="15895" max="15904" width="11" style="2" customWidth="1"/>
    <col min="15905" max="15905" width="9.140625" style="2" customWidth="1"/>
    <col min="15906" max="15906" width="6.85546875" style="2" customWidth="1"/>
    <col min="15907" max="15907" width="15" style="2" bestFit="1" customWidth="1"/>
    <col min="15908" max="16132" width="9.140625" style="2"/>
    <col min="16133" max="16133" width="4" style="2" customWidth="1"/>
    <col min="16134" max="16134" width="24.42578125" style="2" customWidth="1"/>
    <col min="16135" max="16135" width="19.85546875" style="2" customWidth="1"/>
    <col min="16136" max="16136" width="9.28515625" style="2" customWidth="1"/>
    <col min="16137" max="16137" width="10" style="2" customWidth="1"/>
    <col min="16138" max="16138" width="8.42578125" style="2" customWidth="1"/>
    <col min="16139" max="16139" width="12.28515625" style="2" customWidth="1"/>
    <col min="16140" max="16140" width="7.5703125" style="2" customWidth="1"/>
    <col min="16141" max="16141" width="7.85546875" style="2" customWidth="1"/>
    <col min="16142" max="16142" width="8.28515625" style="2" customWidth="1"/>
    <col min="16143" max="16143" width="9.140625" style="2"/>
    <col min="16144" max="16146" width="7.5703125" style="2" customWidth="1"/>
    <col min="16147" max="16147" width="10.28515625" style="2" customWidth="1"/>
    <col min="16148" max="16148" width="10.5703125" style="2" customWidth="1"/>
    <col min="16149" max="16149" width="11.140625" style="2" customWidth="1"/>
    <col min="16150" max="16150" width="10.42578125" style="2" customWidth="1"/>
    <col min="16151" max="16160" width="11" style="2" customWidth="1"/>
    <col min="16161" max="16161" width="9.140625" style="2" customWidth="1"/>
    <col min="16162" max="16162" width="6.85546875" style="2" customWidth="1"/>
    <col min="16163" max="16163" width="15" style="2" bestFit="1" customWidth="1"/>
    <col min="16164" max="16384" width="9.140625" style="2"/>
  </cols>
  <sheetData>
    <row r="1" spans="1:48" ht="125.25">
      <c r="A1" s="10" t="s">
        <v>17</v>
      </c>
      <c r="B1" s="11"/>
      <c r="C1" s="11" t="s">
        <v>19</v>
      </c>
      <c r="D1" s="12" t="s">
        <v>20</v>
      </c>
      <c r="E1" s="81">
        <v>2017</v>
      </c>
      <c r="F1" s="77" t="s">
        <v>194</v>
      </c>
      <c r="G1" s="77" t="s">
        <v>195</v>
      </c>
      <c r="H1" s="81">
        <v>2019</v>
      </c>
      <c r="I1" s="13" t="s">
        <v>21</v>
      </c>
      <c r="J1" s="4" t="s">
        <v>22</v>
      </c>
      <c r="K1" s="4" t="s">
        <v>23</v>
      </c>
      <c r="L1" s="4" t="s">
        <v>24</v>
      </c>
      <c r="M1" s="4" t="s">
        <v>25</v>
      </c>
      <c r="N1" s="4" t="s">
        <v>26</v>
      </c>
      <c r="O1" s="4" t="s">
        <v>27</v>
      </c>
      <c r="P1" s="4" t="s">
        <v>28</v>
      </c>
      <c r="Q1" s="4" t="s">
        <v>29</v>
      </c>
      <c r="R1" s="4" t="s">
        <v>30</v>
      </c>
      <c r="S1" s="4" t="s">
        <v>31</v>
      </c>
      <c r="T1" s="4" t="s">
        <v>32</v>
      </c>
      <c r="U1" s="4" t="s">
        <v>33</v>
      </c>
      <c r="V1" s="4" t="s">
        <v>34</v>
      </c>
      <c r="W1" s="4" t="s">
        <v>35</v>
      </c>
      <c r="X1" s="4" t="s">
        <v>36</v>
      </c>
      <c r="Y1" s="4" t="s">
        <v>37</v>
      </c>
      <c r="Z1" s="5" t="s">
        <v>38</v>
      </c>
      <c r="AA1" s="5" t="s">
        <v>39</v>
      </c>
      <c r="AB1" s="26" t="s">
        <v>151</v>
      </c>
      <c r="AC1" s="26" t="s">
        <v>152</v>
      </c>
      <c r="AD1" s="26" t="s">
        <v>153</v>
      </c>
      <c r="AG1" s="34" t="s">
        <v>154</v>
      </c>
      <c r="AH1" s="46" t="s">
        <v>155</v>
      </c>
      <c r="AN1" s="47" t="s">
        <v>156</v>
      </c>
      <c r="AP1" s="73" t="s">
        <v>15</v>
      </c>
      <c r="AS1" s="2">
        <v>4</v>
      </c>
      <c r="AT1" s="2">
        <v>12</v>
      </c>
    </row>
    <row r="2" spans="1:48" ht="23.25" hidden="1" customHeight="1">
      <c r="A2" s="90">
        <v>1</v>
      </c>
      <c r="B2" s="14" t="s">
        <v>40</v>
      </c>
      <c r="C2" s="14" t="s">
        <v>40</v>
      </c>
      <c r="D2" s="15" t="s">
        <v>41</v>
      </c>
      <c r="E2" s="78">
        <f t="shared" ref="E2:E14" si="0">AVERAGE(J2:N2)</f>
        <v>43003</v>
      </c>
      <c r="F2" s="78">
        <f t="shared" ref="F2:F14" si="1">AVERAGE(O2:V2)</f>
        <v>46327.875</v>
      </c>
      <c r="G2" s="78">
        <f>AVERAGE(W2:Z2)</f>
        <v>78850.5</v>
      </c>
      <c r="H2" s="78">
        <f>AVERAGE(AA2:AD2)</f>
        <v>68161.5</v>
      </c>
      <c r="I2" s="6">
        <v>115454</v>
      </c>
      <c r="J2" s="6">
        <f>20953+34257</f>
        <v>55210</v>
      </c>
      <c r="K2" s="6">
        <f>11506+18872</f>
        <v>30378</v>
      </c>
      <c r="L2" s="6">
        <f>15483+33338</f>
        <v>48821</v>
      </c>
      <c r="M2" s="6">
        <v>46267</v>
      </c>
      <c r="N2" s="6">
        <f>11097+23242</f>
        <v>34339</v>
      </c>
      <c r="O2" s="6">
        <v>45068</v>
      </c>
      <c r="P2" s="6">
        <v>48843</v>
      </c>
      <c r="Q2" s="6">
        <v>42904</v>
      </c>
      <c r="R2" s="6">
        <v>47723</v>
      </c>
      <c r="S2" s="6">
        <v>55332</v>
      </c>
      <c r="T2" s="6">
        <v>37415</v>
      </c>
      <c r="U2" s="6">
        <v>47983</v>
      </c>
      <c r="V2" s="6">
        <v>45355</v>
      </c>
      <c r="W2" s="6">
        <v>67196</v>
      </c>
      <c r="X2" s="6">
        <v>82706</v>
      </c>
      <c r="Y2" s="6">
        <v>78158</v>
      </c>
      <c r="Z2" s="6">
        <v>87342</v>
      </c>
      <c r="AA2" s="6">
        <v>85341</v>
      </c>
      <c r="AB2" s="27">
        <v>76252</v>
      </c>
      <c r="AC2" s="27">
        <v>70654</v>
      </c>
      <c r="AD2" s="27">
        <v>40399</v>
      </c>
      <c r="AE2" s="33">
        <f>SUM(I2:AD2)</f>
        <v>1289140</v>
      </c>
      <c r="AF2" s="33"/>
      <c r="AG2" s="35">
        <v>5.8500000000000003E-2</v>
      </c>
      <c r="AH2" s="33">
        <f>AE2*AG2</f>
        <v>75414.69</v>
      </c>
      <c r="AI2" s="46">
        <f>AH2/$AH$44*100</f>
        <v>1.8157100298096203</v>
      </c>
      <c r="AJ2" s="46">
        <f>AI2*$AJ$44/100</f>
        <v>363142.00596192403</v>
      </c>
      <c r="AK2" s="46">
        <f>AJ2/AG2</f>
        <v>6207555.6574687865</v>
      </c>
      <c r="AL2" s="46">
        <f t="shared" ref="AL2:AL17" si="2">AK2/AS2</f>
        <v>290992.39936629747</v>
      </c>
      <c r="AM2" s="46">
        <f>AK2/AT2</f>
        <v>24249.366613858125</v>
      </c>
      <c r="AN2" s="48">
        <v>12852</v>
      </c>
      <c r="AP2" s="74">
        <f>საპენსიო!D2</f>
        <v>92.063670411985015</v>
      </c>
      <c r="AQ2" s="74">
        <f>შშმპ!D2</f>
        <v>78.595238095238102</v>
      </c>
      <c r="AR2" s="9">
        <f>AVERAGE(AP2:AQ2)</f>
        <v>85.329454253611559</v>
      </c>
      <c r="AS2" s="9">
        <f>AR2/$AS$1</f>
        <v>21.33236356340289</v>
      </c>
      <c r="AT2" s="9">
        <f>AS2*$AT$1</f>
        <v>255.98836276083466</v>
      </c>
      <c r="AU2" s="76">
        <f t="shared" ref="AU2:AU17" si="3">AN2/AR2</f>
        <v>150.61622170700852</v>
      </c>
      <c r="AV2" s="76">
        <f>AN2/AS2</f>
        <v>602.46488682803408</v>
      </c>
    </row>
    <row r="3" spans="1:48" hidden="1">
      <c r="A3" s="90"/>
      <c r="B3" s="16" t="s">
        <v>42</v>
      </c>
      <c r="C3" s="16" t="s">
        <v>43</v>
      </c>
      <c r="D3" s="15" t="s">
        <v>44</v>
      </c>
      <c r="E3" s="78">
        <f t="shared" si="0"/>
        <v>62600.6</v>
      </c>
      <c r="F3" s="78">
        <f t="shared" si="1"/>
        <v>82328.125</v>
      </c>
      <c r="G3" s="78">
        <f t="shared" ref="G3:G43" si="4">AVERAGE(W3:Z3)</f>
        <v>138558</v>
      </c>
      <c r="H3" s="78">
        <f t="shared" ref="H3:H43" si="5">AVERAGE(AA3:AD3)</f>
        <v>136314</v>
      </c>
      <c r="I3" s="6">
        <v>128708</v>
      </c>
      <c r="J3" s="6">
        <f>68841</f>
        <v>68841</v>
      </c>
      <c r="K3" s="6">
        <f>41674</f>
        <v>41674</v>
      </c>
      <c r="L3" s="6">
        <f>77476</f>
        <v>77476</v>
      </c>
      <c r="M3" s="6">
        <v>71438</v>
      </c>
      <c r="N3" s="6">
        <f>180+53394</f>
        <v>53574</v>
      </c>
      <c r="O3" s="6">
        <v>68830</v>
      </c>
      <c r="P3" s="6">
        <v>87699</v>
      </c>
      <c r="Q3" s="6">
        <v>79766</v>
      </c>
      <c r="R3" s="6">
        <v>76260</v>
      </c>
      <c r="S3" s="6">
        <v>95079</v>
      </c>
      <c r="T3" s="6">
        <v>75991</v>
      </c>
      <c r="U3" s="6">
        <v>86045</v>
      </c>
      <c r="V3" s="6">
        <v>88955</v>
      </c>
      <c r="W3" s="6">
        <v>117285</v>
      </c>
      <c r="X3" s="6">
        <v>156780</v>
      </c>
      <c r="Y3" s="6">
        <v>143245</v>
      </c>
      <c r="Z3" s="6">
        <v>136922</v>
      </c>
      <c r="AA3" s="6">
        <v>138365</v>
      </c>
      <c r="AB3" s="27">
        <v>134077</v>
      </c>
      <c r="AC3" s="27">
        <v>133218</v>
      </c>
      <c r="AD3" s="27">
        <v>139596</v>
      </c>
      <c r="AE3" s="33">
        <f t="shared" ref="AE3:AE43" si="6">SUM(I3:AD3)</f>
        <v>2199824</v>
      </c>
      <c r="AF3" s="33"/>
      <c r="AG3" s="36">
        <v>6.4500000000000002E-2</v>
      </c>
      <c r="AH3" s="33">
        <f t="shared" ref="AH3:AH43" si="7">AE3*AG3</f>
        <v>141888.64800000002</v>
      </c>
      <c r="AI3" s="46">
        <f t="shared" ref="AI3:AI43" si="8">AH3/$AH$44*100</f>
        <v>3.4161599191049747</v>
      </c>
      <c r="AJ3" s="46">
        <f t="shared" ref="AJ3:AJ43" si="9">AI3*$AJ$44/100</f>
        <v>683231.98382099497</v>
      </c>
      <c r="AK3" s="46">
        <f t="shared" ref="AK3:AK42" si="10">AJ3/AG3</f>
        <v>10592743.935209224</v>
      </c>
      <c r="AL3" s="46">
        <f t="shared" si="2"/>
        <v>461404.90161337459</v>
      </c>
      <c r="AM3" s="46">
        <f t="shared" ref="AM3:AM43" si="11">AK3/AT3</f>
        <v>38450.408467781221</v>
      </c>
      <c r="AN3" s="48">
        <v>970805</v>
      </c>
      <c r="AP3" s="74">
        <f>საპენსიო!D3</f>
        <v>87.473209249858996</v>
      </c>
      <c r="AQ3" s="74">
        <f>შშმპ!D3</f>
        <v>96.1875</v>
      </c>
      <c r="AR3" s="9">
        <f t="shared" ref="AR3:AR43" si="12">AVERAGE(AP3:AQ3)</f>
        <v>91.830354624929498</v>
      </c>
      <c r="AS3" s="9">
        <f t="shared" ref="AS3:AS43" si="13">AR3/$AS$1</f>
        <v>22.957588656232375</v>
      </c>
      <c r="AT3" s="9">
        <f t="shared" ref="AT3:AT43" si="14">AS3*$AT$1</f>
        <v>275.49106387478849</v>
      </c>
      <c r="AU3" s="76">
        <f t="shared" si="3"/>
        <v>10571.722215003319</v>
      </c>
      <c r="AV3" s="76">
        <f t="shared" ref="AV3:AV17" si="15">AN3/AS3</f>
        <v>42286.888860013278</v>
      </c>
    </row>
    <row r="4" spans="1:48" hidden="1">
      <c r="A4" s="16">
        <v>2</v>
      </c>
      <c r="B4" s="16" t="s">
        <v>45</v>
      </c>
      <c r="C4" s="16" t="s">
        <v>46</v>
      </c>
      <c r="D4" s="17" t="s">
        <v>47</v>
      </c>
      <c r="E4" s="78">
        <f t="shared" si="0"/>
        <v>44461.8</v>
      </c>
      <c r="F4" s="78">
        <f t="shared" si="1"/>
        <v>62495.625</v>
      </c>
      <c r="G4" s="78">
        <f t="shared" si="4"/>
        <v>127965.25</v>
      </c>
      <c r="H4" s="78">
        <f t="shared" si="5"/>
        <v>92294.25</v>
      </c>
      <c r="I4" s="6">
        <v>74656</v>
      </c>
      <c r="J4" s="6">
        <f>894+48877</f>
        <v>49771</v>
      </c>
      <c r="K4" s="6">
        <f>304+29577</f>
        <v>29881</v>
      </c>
      <c r="L4" s="6">
        <f>49670</f>
        <v>49670</v>
      </c>
      <c r="M4" s="6">
        <v>52667</v>
      </c>
      <c r="N4" s="6">
        <f>92+40228</f>
        <v>40320</v>
      </c>
      <c r="O4" s="6">
        <v>51024</v>
      </c>
      <c r="P4" s="6">
        <v>63258</v>
      </c>
      <c r="Q4" s="6">
        <v>59752</v>
      </c>
      <c r="R4" s="6">
        <v>57385</v>
      </c>
      <c r="S4" s="6">
        <v>78187</v>
      </c>
      <c r="T4" s="6">
        <v>57063</v>
      </c>
      <c r="U4" s="6">
        <v>65543</v>
      </c>
      <c r="V4" s="6">
        <v>67753</v>
      </c>
      <c r="W4" s="6">
        <v>107766</v>
      </c>
      <c r="X4" s="6">
        <v>143166</v>
      </c>
      <c r="Y4" s="6">
        <v>134239</v>
      </c>
      <c r="Z4" s="6">
        <v>126690</v>
      </c>
      <c r="AA4" s="6">
        <v>118049</v>
      </c>
      <c r="AB4" s="28">
        <f>2143+6105+111108</f>
        <v>119356</v>
      </c>
      <c r="AC4" s="28">
        <v>102458</v>
      </c>
      <c r="AD4" s="28">
        <v>29314</v>
      </c>
      <c r="AE4" s="33">
        <f t="shared" si="6"/>
        <v>1677968</v>
      </c>
      <c r="AF4" s="33"/>
      <c r="AG4" s="36">
        <v>0.21840000000000001</v>
      </c>
      <c r="AH4" s="33">
        <f t="shared" si="7"/>
        <v>366468.21120000002</v>
      </c>
      <c r="AI4" s="46">
        <f t="shared" si="8"/>
        <v>8.8232147699901748</v>
      </c>
      <c r="AJ4" s="46">
        <f t="shared" si="9"/>
        <v>1764642.9539980348</v>
      </c>
      <c r="AK4" s="46">
        <f t="shared" si="10"/>
        <v>8079867.0054855067</v>
      </c>
      <c r="AL4" s="46">
        <f t="shared" si="2"/>
        <v>518126.98224935157</v>
      </c>
      <c r="AM4" s="46">
        <f t="shared" si="11"/>
        <v>43177.2485207793</v>
      </c>
      <c r="AN4" s="48">
        <v>160907</v>
      </c>
      <c r="AP4" s="74">
        <f>საპენსიო!D4</f>
        <v>66.601855287569578</v>
      </c>
      <c r="AQ4" s="74">
        <f>შშმპ!D9</f>
        <v>58.153153153153156</v>
      </c>
      <c r="AR4" s="9">
        <f t="shared" si="12"/>
        <v>62.377504220361367</v>
      </c>
      <c r="AS4" s="9">
        <f t="shared" si="13"/>
        <v>15.594376055090342</v>
      </c>
      <c r="AT4" s="9">
        <f t="shared" si="14"/>
        <v>187.13251266108409</v>
      </c>
      <c r="AU4" s="76">
        <f t="shared" si="3"/>
        <v>2579.5677786588403</v>
      </c>
      <c r="AV4" s="76">
        <f t="shared" si="15"/>
        <v>10318.271114635361</v>
      </c>
    </row>
    <row r="5" spans="1:48" hidden="1">
      <c r="A5" s="16">
        <v>3</v>
      </c>
      <c r="B5" s="16" t="s">
        <v>48</v>
      </c>
      <c r="C5" s="16" t="s">
        <v>48</v>
      </c>
      <c r="D5" s="18" t="s">
        <v>49</v>
      </c>
      <c r="E5" s="78">
        <f t="shared" si="0"/>
        <v>55445</v>
      </c>
      <c r="F5" s="78">
        <f t="shared" si="1"/>
        <v>108836.625</v>
      </c>
      <c r="G5" s="78">
        <f t="shared" si="4"/>
        <v>216440.25</v>
      </c>
      <c r="H5" s="78">
        <f t="shared" si="5"/>
        <v>227824</v>
      </c>
      <c r="I5" s="6">
        <v>0</v>
      </c>
      <c r="J5" s="6">
        <v>0</v>
      </c>
      <c r="K5" s="6">
        <v>11654</v>
      </c>
      <c r="L5" s="6">
        <f>125527</f>
        <v>125527</v>
      </c>
      <c r="M5" s="6">
        <v>76906</v>
      </c>
      <c r="N5" s="6">
        <f>63138</f>
        <v>63138</v>
      </c>
      <c r="O5" s="6">
        <v>94802</v>
      </c>
      <c r="P5" s="6">
        <v>103039</v>
      </c>
      <c r="Q5" s="6">
        <v>106262</v>
      </c>
      <c r="R5" s="6">
        <v>109933</v>
      </c>
      <c r="S5" s="6">
        <v>124788</v>
      </c>
      <c r="T5" s="6">
        <v>101734</v>
      </c>
      <c r="U5" s="6">
        <v>117850</v>
      </c>
      <c r="V5" s="6">
        <v>112285</v>
      </c>
      <c r="W5" s="6">
        <v>174735</v>
      </c>
      <c r="X5" s="6">
        <v>241015</v>
      </c>
      <c r="Y5" s="6">
        <v>224504</v>
      </c>
      <c r="Z5" s="6">
        <v>225507</v>
      </c>
      <c r="AA5" s="6">
        <v>231313</v>
      </c>
      <c r="AB5" s="27">
        <v>231431</v>
      </c>
      <c r="AC5" s="27">
        <v>237975</v>
      </c>
      <c r="AD5" s="27">
        <v>210577</v>
      </c>
      <c r="AE5" s="33">
        <f t="shared" si="6"/>
        <v>2924975</v>
      </c>
      <c r="AF5" s="33"/>
      <c r="AG5" s="37">
        <v>4.1000000000000002E-2</v>
      </c>
      <c r="AH5" s="33">
        <f t="shared" si="7"/>
        <v>119923.97500000001</v>
      </c>
      <c r="AI5" s="46">
        <f t="shared" si="8"/>
        <v>2.8873308929883312</v>
      </c>
      <c r="AJ5" s="46">
        <f t="shared" si="9"/>
        <v>577466.17859766621</v>
      </c>
      <c r="AK5" s="46">
        <f t="shared" si="10"/>
        <v>14084540.941406492</v>
      </c>
      <c r="AL5" s="46">
        <f t="shared" si="2"/>
        <v>493655.95469381614</v>
      </c>
      <c r="AM5" s="46">
        <f t="shared" si="11"/>
        <v>41137.996224484676</v>
      </c>
      <c r="AN5" s="48">
        <v>1304050</v>
      </c>
      <c r="AP5" s="74">
        <f>საპენსიო!D17</f>
        <v>110.81858766233766</v>
      </c>
      <c r="AQ5" s="74">
        <f>შშმპ!D16</f>
        <v>117.43010752688173</v>
      </c>
      <c r="AR5" s="9">
        <f t="shared" si="12"/>
        <v>114.1243475946097</v>
      </c>
      <c r="AS5" s="9">
        <f t="shared" si="13"/>
        <v>28.531086898652426</v>
      </c>
      <c r="AT5" s="9">
        <f t="shared" si="14"/>
        <v>342.37304278382908</v>
      </c>
      <c r="AU5" s="76">
        <f t="shared" si="3"/>
        <v>11426.571345075472</v>
      </c>
      <c r="AV5" s="76">
        <f t="shared" si="15"/>
        <v>45706.285380301888</v>
      </c>
    </row>
    <row r="6" spans="1:48" ht="27" hidden="1" customHeight="1">
      <c r="A6" s="16">
        <v>4</v>
      </c>
      <c r="B6" s="16" t="s">
        <v>50</v>
      </c>
      <c r="C6" s="16" t="s">
        <v>51</v>
      </c>
      <c r="D6" s="19" t="s">
        <v>52</v>
      </c>
      <c r="E6" s="78">
        <f t="shared" si="0"/>
        <v>28665.599999999999</v>
      </c>
      <c r="F6" s="78">
        <f t="shared" si="1"/>
        <v>37865.25</v>
      </c>
      <c r="G6" s="78">
        <f t="shared" si="4"/>
        <v>71543.75</v>
      </c>
      <c r="H6" s="78">
        <f t="shared" si="5"/>
        <v>58414</v>
      </c>
      <c r="I6" s="6">
        <v>71359</v>
      </c>
      <c r="J6" s="6">
        <f>103+23+219+92+90+92+5463+17825+10070</f>
        <v>33977</v>
      </c>
      <c r="K6" s="6">
        <f>71+46+91+92+2667+9088+6961</f>
        <v>19016</v>
      </c>
      <c r="L6" s="6">
        <f>90+230+5697+14666+13155</f>
        <v>33838</v>
      </c>
      <c r="M6" s="6">
        <v>31458</v>
      </c>
      <c r="N6" s="6">
        <f>1+138+115+2448+8277+14060</f>
        <v>25039</v>
      </c>
      <c r="O6" s="6">
        <v>32180</v>
      </c>
      <c r="P6" s="6">
        <v>40242</v>
      </c>
      <c r="Q6" s="6">
        <v>34672</v>
      </c>
      <c r="R6" s="6">
        <v>37150</v>
      </c>
      <c r="S6" s="6">
        <v>44130</v>
      </c>
      <c r="T6" s="6">
        <v>33373</v>
      </c>
      <c r="U6" s="6">
        <v>39863</v>
      </c>
      <c r="V6" s="6">
        <v>41312</v>
      </c>
      <c r="W6" s="6">
        <v>62328</v>
      </c>
      <c r="X6" s="6">
        <v>81237</v>
      </c>
      <c r="Y6" s="6">
        <v>72170</v>
      </c>
      <c r="Z6" s="6">
        <v>70440</v>
      </c>
      <c r="AA6" s="6">
        <v>70692</v>
      </c>
      <c r="AB6" s="27">
        <v>71155</v>
      </c>
      <c r="AC6" s="27">
        <v>64086</v>
      </c>
      <c r="AD6" s="27">
        <v>27723</v>
      </c>
      <c r="AE6" s="33">
        <f t="shared" si="6"/>
        <v>1037440</v>
      </c>
      <c r="AF6" s="33"/>
      <c r="AG6" s="37">
        <v>4.7500000000000001E-2</v>
      </c>
      <c r="AH6" s="33">
        <f t="shared" si="7"/>
        <v>49278.400000000001</v>
      </c>
      <c r="AI6" s="46">
        <f t="shared" si="8"/>
        <v>1.1864437171719513</v>
      </c>
      <c r="AJ6" s="46">
        <f t="shared" si="9"/>
        <v>237288.74343439029</v>
      </c>
      <c r="AK6" s="46">
        <f t="shared" si="10"/>
        <v>4995552.4933555853</v>
      </c>
      <c r="AL6" s="46">
        <f t="shared" si="2"/>
        <v>333075.57899198943</v>
      </c>
      <c r="AM6" s="46">
        <f t="shared" si="11"/>
        <v>27756.298249332449</v>
      </c>
      <c r="AN6" s="48">
        <v>6776</v>
      </c>
      <c r="AP6" s="74">
        <f>საპენსიო!D6</f>
        <v>57.986040609137056</v>
      </c>
      <c r="AQ6" s="74">
        <f>შშმპ!D4</f>
        <v>62</v>
      </c>
      <c r="AR6" s="9">
        <f t="shared" si="12"/>
        <v>59.993020304568532</v>
      </c>
      <c r="AS6" s="9">
        <f t="shared" si="13"/>
        <v>14.998255076142133</v>
      </c>
      <c r="AT6" s="9">
        <f t="shared" si="14"/>
        <v>179.97906091370561</v>
      </c>
      <c r="AU6" s="76">
        <f t="shared" si="3"/>
        <v>112.94647219960019</v>
      </c>
      <c r="AV6" s="76">
        <f t="shared" si="15"/>
        <v>451.78588879840078</v>
      </c>
    </row>
    <row r="7" spans="1:48" ht="30" hidden="1" customHeight="1">
      <c r="A7" s="16">
        <v>5</v>
      </c>
      <c r="B7" s="14" t="s">
        <v>53</v>
      </c>
      <c r="C7" s="16" t="s">
        <v>54</v>
      </c>
      <c r="D7" s="18" t="s">
        <v>55</v>
      </c>
      <c r="E7" s="78">
        <f t="shared" si="0"/>
        <v>12809.8</v>
      </c>
      <c r="F7" s="78">
        <f t="shared" si="1"/>
        <v>16399.375</v>
      </c>
      <c r="G7" s="78">
        <f t="shared" si="4"/>
        <v>36643.75</v>
      </c>
      <c r="H7" s="78">
        <f t="shared" si="5"/>
        <v>40709</v>
      </c>
      <c r="I7" s="6">
        <v>35172</v>
      </c>
      <c r="J7" s="6">
        <f>14677+300</f>
        <v>14977</v>
      </c>
      <c r="K7" s="6">
        <f>7169</f>
        <v>7169</v>
      </c>
      <c r="L7" s="6">
        <f>16509</f>
        <v>16509</v>
      </c>
      <c r="M7" s="6">
        <v>14056</v>
      </c>
      <c r="N7" s="6">
        <f>11338</f>
        <v>11338</v>
      </c>
      <c r="O7" s="6">
        <v>15140</v>
      </c>
      <c r="P7" s="6">
        <v>16835</v>
      </c>
      <c r="Q7" s="6">
        <v>15104</v>
      </c>
      <c r="R7" s="6">
        <v>15293</v>
      </c>
      <c r="S7" s="6">
        <v>18158</v>
      </c>
      <c r="T7" s="6">
        <v>14011</v>
      </c>
      <c r="U7" s="6">
        <v>19170</v>
      </c>
      <c r="V7" s="6">
        <v>17484</v>
      </c>
      <c r="W7" s="6">
        <v>31052</v>
      </c>
      <c r="X7" s="6">
        <v>40073</v>
      </c>
      <c r="Y7" s="6">
        <v>38322</v>
      </c>
      <c r="Z7" s="6">
        <v>37128</v>
      </c>
      <c r="AA7" s="6">
        <v>38507</v>
      </c>
      <c r="AB7" s="27">
        <v>37090</v>
      </c>
      <c r="AC7" s="27">
        <v>43811</v>
      </c>
      <c r="AD7" s="27">
        <v>43428</v>
      </c>
      <c r="AE7" s="33">
        <f t="shared" si="6"/>
        <v>539827</v>
      </c>
      <c r="AF7" s="33"/>
      <c r="AG7" s="38">
        <v>0.1034559</v>
      </c>
      <c r="AH7" s="33">
        <f t="shared" si="7"/>
        <v>55848.288129300003</v>
      </c>
      <c r="AI7" s="46">
        <f t="shared" si="8"/>
        <v>1.3446226047480614</v>
      </c>
      <c r="AJ7" s="46">
        <f t="shared" si="9"/>
        <v>268924.52094961226</v>
      </c>
      <c r="AK7" s="46">
        <f t="shared" si="10"/>
        <v>2599412.1258392441</v>
      </c>
      <c r="AL7" s="46">
        <f t="shared" si="2"/>
        <v>120855.50166763978</v>
      </c>
      <c r="AM7" s="46">
        <f t="shared" si="11"/>
        <v>10071.291805636649</v>
      </c>
      <c r="AN7" s="48">
        <v>516988</v>
      </c>
      <c r="AP7" s="74">
        <f>საპენსიო!D7</f>
        <v>84.567441860465109</v>
      </c>
      <c r="AQ7" s="74">
        <f>შშმპ!D5</f>
        <v>87.5</v>
      </c>
      <c r="AR7" s="9">
        <f t="shared" si="12"/>
        <v>86.033720930232562</v>
      </c>
      <c r="AS7" s="9">
        <f t="shared" si="13"/>
        <v>21.50843023255814</v>
      </c>
      <c r="AT7" s="9">
        <f t="shared" si="14"/>
        <v>258.10116279069769</v>
      </c>
      <c r="AU7" s="76">
        <f t="shared" si="3"/>
        <v>6009.1321682952866</v>
      </c>
      <c r="AV7" s="76">
        <f t="shared" si="15"/>
        <v>24036.528673181147</v>
      </c>
    </row>
    <row r="8" spans="1:48" ht="25.5" hidden="1" customHeight="1">
      <c r="A8" s="16">
        <v>6</v>
      </c>
      <c r="B8" s="16" t="s">
        <v>56</v>
      </c>
      <c r="C8" s="16" t="s">
        <v>57</v>
      </c>
      <c r="D8" s="19" t="s">
        <v>52</v>
      </c>
      <c r="E8" s="78">
        <f t="shared" si="0"/>
        <v>3011.4</v>
      </c>
      <c r="F8" s="78">
        <f t="shared" si="1"/>
        <v>3165.375</v>
      </c>
      <c r="G8" s="78">
        <f t="shared" si="4"/>
        <v>8302.5</v>
      </c>
      <c r="H8" s="78">
        <f t="shared" si="5"/>
        <v>10258.5</v>
      </c>
      <c r="I8" s="6">
        <v>0</v>
      </c>
      <c r="J8" s="6">
        <v>2759</v>
      </c>
      <c r="K8" s="6">
        <v>3999</v>
      </c>
      <c r="L8" s="6">
        <f>2385</f>
        <v>2385</v>
      </c>
      <c r="M8" s="6">
        <v>2844</v>
      </c>
      <c r="N8" s="6">
        <f>3070</f>
        <v>3070</v>
      </c>
      <c r="O8" s="6">
        <v>2441</v>
      </c>
      <c r="P8" s="6">
        <v>2913</v>
      </c>
      <c r="Q8" s="6">
        <v>3614</v>
      </c>
      <c r="R8" s="6">
        <v>3529</v>
      </c>
      <c r="S8" s="6">
        <v>3254</v>
      </c>
      <c r="T8" s="6">
        <v>3147</v>
      </c>
      <c r="U8" s="6">
        <v>3592</v>
      </c>
      <c r="V8" s="6">
        <v>2833</v>
      </c>
      <c r="W8" s="6">
        <v>8669</v>
      </c>
      <c r="X8" s="6">
        <v>7654</v>
      </c>
      <c r="Y8" s="6">
        <v>7780</v>
      </c>
      <c r="Z8" s="6">
        <v>9107</v>
      </c>
      <c r="AA8" s="6">
        <v>9951</v>
      </c>
      <c r="AB8" s="27">
        <v>10209</v>
      </c>
      <c r="AC8" s="27">
        <v>10994</v>
      </c>
      <c r="AD8" s="27">
        <v>9880</v>
      </c>
      <c r="AE8" s="33">
        <f t="shared" si="6"/>
        <v>114624</v>
      </c>
      <c r="AF8" s="33"/>
      <c r="AG8" s="37">
        <v>0.188</v>
      </c>
      <c r="AH8" s="33">
        <f t="shared" si="7"/>
        <v>21549.312000000002</v>
      </c>
      <c r="AI8" s="46">
        <f t="shared" si="8"/>
        <v>0.51882865173743753</v>
      </c>
      <c r="AJ8" s="46">
        <f t="shared" si="9"/>
        <v>103765.73034748749</v>
      </c>
      <c r="AK8" s="46">
        <f t="shared" si="10"/>
        <v>551945.37418876321</v>
      </c>
      <c r="AL8" s="46">
        <f t="shared" si="2"/>
        <v>22825.255630135849</v>
      </c>
      <c r="AM8" s="46">
        <f t="shared" si="11"/>
        <v>1902.104635844654</v>
      </c>
      <c r="AN8" s="48">
        <v>27649</v>
      </c>
      <c r="AP8" s="74">
        <f>საპენსიო!D15</f>
        <v>77.575757575757578</v>
      </c>
      <c r="AQ8" s="74">
        <f>შშმპ!D15</f>
        <v>115.875</v>
      </c>
      <c r="AR8" s="9">
        <f t="shared" si="12"/>
        <v>96.725378787878782</v>
      </c>
      <c r="AS8" s="9">
        <f t="shared" si="13"/>
        <v>24.181344696969695</v>
      </c>
      <c r="AT8" s="9">
        <f t="shared" si="14"/>
        <v>290.17613636363637</v>
      </c>
      <c r="AU8" s="76">
        <f t="shared" si="3"/>
        <v>285.85052182256078</v>
      </c>
      <c r="AV8" s="76">
        <f t="shared" si="15"/>
        <v>1143.4020872902431</v>
      </c>
    </row>
    <row r="9" spans="1:48" ht="24.75" hidden="1" customHeight="1">
      <c r="A9" s="16">
        <v>7</v>
      </c>
      <c r="B9" s="16" t="s">
        <v>58</v>
      </c>
      <c r="C9" s="16" t="s">
        <v>59</v>
      </c>
      <c r="D9" s="19" t="s">
        <v>60</v>
      </c>
      <c r="E9" s="78">
        <f t="shared" si="0"/>
        <v>20840.8</v>
      </c>
      <c r="F9" s="78">
        <f t="shared" si="1"/>
        <v>29990.375</v>
      </c>
      <c r="G9" s="78">
        <f t="shared" si="4"/>
        <v>66727.75</v>
      </c>
      <c r="H9" s="78">
        <f t="shared" si="5"/>
        <v>75478</v>
      </c>
      <c r="I9" s="6">
        <v>56943</v>
      </c>
      <c r="J9" s="6">
        <v>22075</v>
      </c>
      <c r="K9" s="6">
        <v>12111</v>
      </c>
      <c r="L9" s="6">
        <f>26890</f>
        <v>26890</v>
      </c>
      <c r="M9" s="6">
        <v>24446</v>
      </c>
      <c r="N9" s="6">
        <f>18682</f>
        <v>18682</v>
      </c>
      <c r="O9" s="6">
        <v>27577</v>
      </c>
      <c r="P9" s="6">
        <v>31298</v>
      </c>
      <c r="Q9" s="6">
        <v>24233</v>
      </c>
      <c r="R9" s="6">
        <v>30732</v>
      </c>
      <c r="S9" s="6">
        <v>32988</v>
      </c>
      <c r="T9" s="6">
        <v>26408</v>
      </c>
      <c r="U9" s="6">
        <v>34308</v>
      </c>
      <c r="V9" s="6">
        <v>32379</v>
      </c>
      <c r="W9" s="6">
        <v>57431</v>
      </c>
      <c r="X9" s="6">
        <v>72802</v>
      </c>
      <c r="Y9" s="6">
        <v>68970</v>
      </c>
      <c r="Z9" s="6">
        <v>67708</v>
      </c>
      <c r="AA9" s="6">
        <v>74700</v>
      </c>
      <c r="AB9" s="28">
        <v>74139</v>
      </c>
      <c r="AC9" s="28">
        <v>76518</v>
      </c>
      <c r="AD9" s="28">
        <v>76555</v>
      </c>
      <c r="AE9" s="33">
        <f t="shared" si="6"/>
        <v>969893</v>
      </c>
      <c r="AF9" s="33"/>
      <c r="AG9" s="37">
        <v>6.6000000000000003E-2</v>
      </c>
      <c r="AH9" s="33">
        <f t="shared" si="7"/>
        <v>64012.938000000002</v>
      </c>
      <c r="AI9" s="46">
        <f t="shared" si="8"/>
        <v>1.5411975248347687</v>
      </c>
      <c r="AJ9" s="46">
        <f t="shared" si="9"/>
        <v>308239.50496695371</v>
      </c>
      <c r="AK9" s="46">
        <f t="shared" si="10"/>
        <v>4670295.5298023289</v>
      </c>
      <c r="AL9" s="46">
        <f t="shared" si="2"/>
        <v>152330.37571742694</v>
      </c>
      <c r="AM9" s="46">
        <f t="shared" si="11"/>
        <v>12694.197976452246</v>
      </c>
      <c r="AN9" s="48">
        <v>1682441</v>
      </c>
      <c r="AP9" s="74">
        <f>საპენსიო!D8</f>
        <v>117.69565217391305</v>
      </c>
      <c r="AQ9" s="74">
        <f>შშმპ!D11</f>
        <v>127.57627118644068</v>
      </c>
      <c r="AR9" s="9">
        <f t="shared" si="12"/>
        <v>122.63596168017686</v>
      </c>
      <c r="AS9" s="9">
        <f t="shared" si="13"/>
        <v>30.658990420044216</v>
      </c>
      <c r="AT9" s="9">
        <f t="shared" si="14"/>
        <v>367.90788504053057</v>
      </c>
      <c r="AU9" s="76">
        <f t="shared" si="3"/>
        <v>13718.985662522458</v>
      </c>
      <c r="AV9" s="76">
        <f t="shared" si="15"/>
        <v>54875.942650089833</v>
      </c>
    </row>
    <row r="10" spans="1:48" ht="25.5" hidden="1" customHeight="1">
      <c r="A10" s="16">
        <v>8</v>
      </c>
      <c r="B10" s="16" t="s">
        <v>61</v>
      </c>
      <c r="C10" s="16" t="s">
        <v>62</v>
      </c>
      <c r="D10" s="20" t="s">
        <v>63</v>
      </c>
      <c r="E10" s="78">
        <f t="shared" si="0"/>
        <v>32143.4</v>
      </c>
      <c r="F10" s="78">
        <f t="shared" si="1"/>
        <v>38286.375</v>
      </c>
      <c r="G10" s="78">
        <f t="shared" si="4"/>
        <v>70734.5</v>
      </c>
      <c r="H10" s="78">
        <f t="shared" si="5"/>
        <v>79779</v>
      </c>
      <c r="I10" s="6">
        <v>37254</v>
      </c>
      <c r="J10" s="6">
        <v>49150</v>
      </c>
      <c r="K10" s="6">
        <f>668+13686+92+5642</f>
        <v>20088</v>
      </c>
      <c r="L10" s="6">
        <f>1102+11045+1028+18908</f>
        <v>32083</v>
      </c>
      <c r="M10" s="6">
        <v>34438</v>
      </c>
      <c r="N10" s="6">
        <f>1174+18698+5086</f>
        <v>24958</v>
      </c>
      <c r="O10" s="6">
        <v>30837</v>
      </c>
      <c r="P10" s="6">
        <v>39593</v>
      </c>
      <c r="Q10" s="6">
        <v>35795</v>
      </c>
      <c r="R10" s="6">
        <v>32955</v>
      </c>
      <c r="S10" s="6">
        <v>48160</v>
      </c>
      <c r="T10" s="6">
        <v>37230</v>
      </c>
      <c r="U10" s="6">
        <v>39410</v>
      </c>
      <c r="V10" s="6">
        <v>42311</v>
      </c>
      <c r="W10" s="6">
        <v>66372</v>
      </c>
      <c r="X10" s="6">
        <v>80964</v>
      </c>
      <c r="Y10" s="6">
        <v>75701</v>
      </c>
      <c r="Z10" s="6">
        <v>59901</v>
      </c>
      <c r="AA10" s="6">
        <v>72905</v>
      </c>
      <c r="AB10" s="27">
        <v>81999</v>
      </c>
      <c r="AC10" s="27">
        <v>83146</v>
      </c>
      <c r="AD10" s="27">
        <v>81066</v>
      </c>
      <c r="AE10" s="33">
        <f t="shared" si="6"/>
        <v>1106316</v>
      </c>
      <c r="AF10" s="33"/>
      <c r="AG10" s="37">
        <v>0.155</v>
      </c>
      <c r="AH10" s="33">
        <f t="shared" si="7"/>
        <v>171478.98</v>
      </c>
      <c r="AI10" s="46">
        <f t="shared" si="8"/>
        <v>4.1285869356159033</v>
      </c>
      <c r="AJ10" s="46">
        <f t="shared" si="9"/>
        <v>825717.38712318067</v>
      </c>
      <c r="AK10" s="46">
        <f t="shared" si="10"/>
        <v>5327208.949181811</v>
      </c>
      <c r="AL10" s="46">
        <f t="shared" si="2"/>
        <v>267282.54940084589</v>
      </c>
      <c r="AM10" s="46">
        <f t="shared" si="11"/>
        <v>22273.545783403824</v>
      </c>
      <c r="AN10" s="48">
        <v>124143</v>
      </c>
      <c r="AP10" s="74">
        <f>საპენსიო!D14</f>
        <v>77.405156537753228</v>
      </c>
      <c r="AQ10" s="74">
        <f>შშმპ!D14</f>
        <v>82.042857142857144</v>
      </c>
      <c r="AR10" s="9">
        <f t="shared" si="12"/>
        <v>79.724006840305179</v>
      </c>
      <c r="AS10" s="9">
        <f t="shared" si="13"/>
        <v>19.931001710076295</v>
      </c>
      <c r="AT10" s="9">
        <f t="shared" si="14"/>
        <v>239.17202052091554</v>
      </c>
      <c r="AU10" s="76">
        <f t="shared" si="3"/>
        <v>1557.1595673643237</v>
      </c>
      <c r="AV10" s="76">
        <f t="shared" si="15"/>
        <v>6228.6382694572949</v>
      </c>
    </row>
    <row r="11" spans="1:48" ht="40.5" hidden="1" customHeight="1">
      <c r="A11" s="16">
        <v>9</v>
      </c>
      <c r="B11" s="16" t="s">
        <v>64</v>
      </c>
      <c r="C11" s="16" t="s">
        <v>65</v>
      </c>
      <c r="D11" s="20" t="s">
        <v>66</v>
      </c>
      <c r="E11" s="78">
        <f t="shared" si="0"/>
        <v>15407.6</v>
      </c>
      <c r="F11" s="78">
        <f t="shared" si="1"/>
        <v>17747.875</v>
      </c>
      <c r="G11" s="78">
        <f t="shared" si="4"/>
        <v>32779.25</v>
      </c>
      <c r="H11" s="78">
        <f t="shared" si="5"/>
        <v>34241.25</v>
      </c>
      <c r="I11" s="6">
        <v>39979</v>
      </c>
      <c r="J11" s="6">
        <f>2529+14404+837+2536</f>
        <v>20306</v>
      </c>
      <c r="K11" s="6">
        <f>1774+7298+1212+1147</f>
        <v>11431</v>
      </c>
      <c r="L11" s="6">
        <f>2120+11319+1962+1944</f>
        <v>17345</v>
      </c>
      <c r="M11" s="6">
        <v>15502</v>
      </c>
      <c r="N11" s="6">
        <f>1800+7254+2436+964</f>
        <v>12454</v>
      </c>
      <c r="O11" s="6">
        <v>17248</v>
      </c>
      <c r="P11" s="6">
        <v>20487</v>
      </c>
      <c r="Q11" s="6">
        <v>14079</v>
      </c>
      <c r="R11" s="6">
        <v>18864</v>
      </c>
      <c r="S11" s="6">
        <v>19832</v>
      </c>
      <c r="T11" s="6">
        <v>13412</v>
      </c>
      <c r="U11" s="6">
        <v>19005</v>
      </c>
      <c r="V11" s="6">
        <v>19056</v>
      </c>
      <c r="W11" s="6">
        <v>32198</v>
      </c>
      <c r="X11" s="6">
        <v>38592</v>
      </c>
      <c r="Y11" s="6">
        <v>33194</v>
      </c>
      <c r="Z11" s="6">
        <v>27133</v>
      </c>
      <c r="AA11" s="6">
        <v>34869</v>
      </c>
      <c r="AB11" s="27">
        <v>37403</v>
      </c>
      <c r="AC11" s="27">
        <v>32044</v>
      </c>
      <c r="AD11" s="27">
        <v>32649</v>
      </c>
      <c r="AE11" s="33">
        <f t="shared" si="6"/>
        <v>527082</v>
      </c>
      <c r="AF11" s="33"/>
      <c r="AG11" s="37">
        <v>2.9399999999999999E-2</v>
      </c>
      <c r="AH11" s="33">
        <f t="shared" si="7"/>
        <v>15496.210799999999</v>
      </c>
      <c r="AI11" s="46">
        <f t="shared" si="8"/>
        <v>0.37309210411929239</v>
      </c>
      <c r="AJ11" s="46">
        <f t="shared" si="9"/>
        <v>74618.420823858469</v>
      </c>
      <c r="AK11" s="46">
        <f t="shared" si="10"/>
        <v>2538041.5246210364</v>
      </c>
      <c r="AL11" s="46">
        <f t="shared" si="2"/>
        <v>134337.65085347873</v>
      </c>
      <c r="AM11" s="46">
        <f t="shared" si="11"/>
        <v>11194.804237789895</v>
      </c>
      <c r="AN11" s="48">
        <v>121039</v>
      </c>
      <c r="AP11" s="74">
        <f>საპენსიო!D9</f>
        <v>70.788461538461533</v>
      </c>
      <c r="AQ11" s="74">
        <f>შშმპ!D17</f>
        <v>80.355555555555554</v>
      </c>
      <c r="AR11" s="9">
        <f t="shared" si="12"/>
        <v>75.572008547008551</v>
      </c>
      <c r="AS11" s="9">
        <f t="shared" si="13"/>
        <v>18.893002136752138</v>
      </c>
      <c r="AT11" s="9">
        <f t="shared" si="14"/>
        <v>226.71602564102565</v>
      </c>
      <c r="AU11" s="76">
        <f t="shared" si="3"/>
        <v>1601.6379917269146</v>
      </c>
      <c r="AV11" s="76">
        <f t="shared" si="15"/>
        <v>6406.5519669076584</v>
      </c>
    </row>
    <row r="12" spans="1:48" ht="37.5" hidden="1" customHeight="1">
      <c r="A12" s="16">
        <v>10</v>
      </c>
      <c r="B12" s="16" t="s">
        <v>67</v>
      </c>
      <c r="C12" s="16" t="s">
        <v>67</v>
      </c>
      <c r="D12" s="15" t="s">
        <v>68</v>
      </c>
      <c r="E12" s="78">
        <f t="shared" si="0"/>
        <v>8689.4</v>
      </c>
      <c r="F12" s="78">
        <f t="shared" si="1"/>
        <v>13555.5</v>
      </c>
      <c r="G12" s="78">
        <f t="shared" si="4"/>
        <v>24737.25</v>
      </c>
      <c r="H12" s="78">
        <f t="shared" si="5"/>
        <v>28414</v>
      </c>
      <c r="I12" s="6">
        <v>0</v>
      </c>
      <c r="J12" s="6">
        <v>0</v>
      </c>
      <c r="K12" s="6">
        <v>7868</v>
      </c>
      <c r="L12" s="6">
        <f>14375</f>
        <v>14375</v>
      </c>
      <c r="M12" s="6">
        <v>11156</v>
      </c>
      <c r="N12" s="6">
        <f>10048</f>
        <v>10048</v>
      </c>
      <c r="O12" s="6">
        <v>12392</v>
      </c>
      <c r="P12" s="6">
        <v>14103</v>
      </c>
      <c r="Q12" s="6">
        <v>13297</v>
      </c>
      <c r="R12" s="6">
        <v>12604</v>
      </c>
      <c r="S12" s="6">
        <v>14359</v>
      </c>
      <c r="T12" s="6">
        <v>12716</v>
      </c>
      <c r="U12" s="6">
        <v>14051</v>
      </c>
      <c r="V12" s="6">
        <v>14922</v>
      </c>
      <c r="W12" s="6">
        <v>22164</v>
      </c>
      <c r="X12" s="6">
        <v>27374</v>
      </c>
      <c r="Y12" s="6">
        <v>25245</v>
      </c>
      <c r="Z12" s="6">
        <v>24166</v>
      </c>
      <c r="AA12" s="6">
        <v>27361</v>
      </c>
      <c r="AB12" s="27">
        <v>28311</v>
      </c>
      <c r="AC12" s="27">
        <v>29744</v>
      </c>
      <c r="AD12" s="27">
        <v>28240</v>
      </c>
      <c r="AE12" s="33">
        <f t="shared" si="6"/>
        <v>364496</v>
      </c>
      <c r="AF12" s="33"/>
      <c r="AG12" s="36">
        <v>6.1499999999999999E-2</v>
      </c>
      <c r="AH12" s="33">
        <f t="shared" si="7"/>
        <v>22416.504000000001</v>
      </c>
      <c r="AI12" s="46">
        <f t="shared" si="8"/>
        <v>0.5397074647667115</v>
      </c>
      <c r="AJ12" s="46">
        <f t="shared" si="9"/>
        <v>107941.4929533423</v>
      </c>
      <c r="AK12" s="46">
        <f t="shared" si="10"/>
        <v>1755146.2268836147</v>
      </c>
      <c r="AL12" s="46">
        <f t="shared" si="2"/>
        <v>177680.03416618693</v>
      </c>
      <c r="AM12" s="46">
        <f t="shared" si="11"/>
        <v>14806.669513848912</v>
      </c>
      <c r="AN12" s="48">
        <v>845871</v>
      </c>
      <c r="AP12" s="74">
        <f>საპენსიო!D16</f>
        <v>39.715504978662871</v>
      </c>
      <c r="AQ12" s="74">
        <f>შშმპ!D13</f>
        <v>39.30952380952381</v>
      </c>
      <c r="AR12" s="9">
        <f t="shared" si="12"/>
        <v>39.512514394093344</v>
      </c>
      <c r="AS12" s="9">
        <f t="shared" si="13"/>
        <v>9.878128598523336</v>
      </c>
      <c r="AT12" s="9">
        <f t="shared" si="14"/>
        <v>118.53754318228003</v>
      </c>
      <c r="AU12" s="76">
        <f t="shared" si="3"/>
        <v>21407.673314924443</v>
      </c>
      <c r="AV12" s="76">
        <f t="shared" si="15"/>
        <v>85630.693259697771</v>
      </c>
    </row>
    <row r="13" spans="1:48" ht="51" hidden="1" customHeight="1">
      <c r="A13" s="16">
        <v>11</v>
      </c>
      <c r="B13" s="16" t="s">
        <v>69</v>
      </c>
      <c r="C13" s="16" t="s">
        <v>70</v>
      </c>
      <c r="D13" s="15" t="s">
        <v>71</v>
      </c>
      <c r="E13" s="78">
        <f t="shared" si="0"/>
        <v>44384.4</v>
      </c>
      <c r="F13" s="78">
        <f t="shared" si="1"/>
        <v>58376</v>
      </c>
      <c r="G13" s="78">
        <f t="shared" si="4"/>
        <v>107546.25</v>
      </c>
      <c r="H13" s="78">
        <f t="shared" si="5"/>
        <v>119633.25</v>
      </c>
      <c r="I13" s="6">
        <v>116872</v>
      </c>
      <c r="J13" s="6">
        <v>54518</v>
      </c>
      <c r="K13" s="6">
        <f>368+9138+18725</f>
        <v>28231</v>
      </c>
      <c r="L13" s="6">
        <f>504+13261+39087</f>
        <v>52852</v>
      </c>
      <c r="M13" s="6">
        <v>49931</v>
      </c>
      <c r="N13" s="6">
        <f>10476+25914</f>
        <v>36390</v>
      </c>
      <c r="O13" s="6">
        <v>53175</v>
      </c>
      <c r="P13" s="6">
        <v>16046</v>
      </c>
      <c r="Q13" s="6">
        <v>97151</v>
      </c>
      <c r="R13" s="6">
        <v>57469</v>
      </c>
      <c r="S13" s="6">
        <v>66296</v>
      </c>
      <c r="T13" s="6">
        <v>51563</v>
      </c>
      <c r="U13" s="6">
        <v>64649</v>
      </c>
      <c r="V13" s="6">
        <v>60659</v>
      </c>
      <c r="W13" s="6">
        <v>97657</v>
      </c>
      <c r="X13" s="6">
        <v>118246</v>
      </c>
      <c r="Y13" s="6">
        <v>107252</v>
      </c>
      <c r="Z13" s="6">
        <v>107030</v>
      </c>
      <c r="AA13" s="6">
        <v>117604</v>
      </c>
      <c r="AB13" s="27">
        <v>114148</v>
      </c>
      <c r="AC13" s="27">
        <v>124387</v>
      </c>
      <c r="AD13" s="27">
        <v>122394</v>
      </c>
      <c r="AE13" s="33">
        <f t="shared" si="6"/>
        <v>1714520</v>
      </c>
      <c r="AF13" s="33"/>
      <c r="AG13" s="36">
        <v>0.1205</v>
      </c>
      <c r="AH13" s="33">
        <f t="shared" si="7"/>
        <v>206599.66</v>
      </c>
      <c r="AI13" s="46">
        <f t="shared" si="8"/>
        <v>4.9741645138003934</v>
      </c>
      <c r="AJ13" s="46">
        <f t="shared" si="9"/>
        <v>994832.90276007866</v>
      </c>
      <c r="AK13" s="46">
        <f t="shared" si="10"/>
        <v>8255874.7117018979</v>
      </c>
      <c r="AL13" s="46">
        <f t="shared" si="2"/>
        <v>335127.09448478837</v>
      </c>
      <c r="AM13" s="46">
        <f t="shared" si="11"/>
        <v>27927.257873732367</v>
      </c>
      <c r="AN13" s="48">
        <v>759525</v>
      </c>
      <c r="AP13" s="74">
        <f>საპენსიო!D10</f>
        <v>93.378066378066379</v>
      </c>
      <c r="AQ13" s="74">
        <f>შშმპ!D12</f>
        <v>103.70238095238095</v>
      </c>
      <c r="AR13" s="9">
        <f t="shared" si="12"/>
        <v>98.540223665223664</v>
      </c>
      <c r="AS13" s="9">
        <f t="shared" si="13"/>
        <v>24.635055916305916</v>
      </c>
      <c r="AT13" s="9">
        <f t="shared" si="14"/>
        <v>295.62067099567099</v>
      </c>
      <c r="AU13" s="76">
        <f t="shared" si="3"/>
        <v>7707.7661461412727</v>
      </c>
      <c r="AV13" s="76">
        <f t="shared" si="15"/>
        <v>30831.064584565091</v>
      </c>
    </row>
    <row r="14" spans="1:48" ht="46.5" hidden="1" customHeight="1">
      <c r="A14" s="16">
        <v>12</v>
      </c>
      <c r="B14" s="16" t="s">
        <v>72</v>
      </c>
      <c r="C14" s="16" t="s">
        <v>73</v>
      </c>
      <c r="D14" s="20" t="s">
        <v>74</v>
      </c>
      <c r="E14" s="78">
        <f t="shared" si="0"/>
        <v>48634.2</v>
      </c>
      <c r="F14" s="78">
        <f t="shared" si="1"/>
        <v>66894.25</v>
      </c>
      <c r="G14" s="78">
        <f t="shared" si="4"/>
        <v>100176.75</v>
      </c>
      <c r="H14" s="78">
        <f t="shared" si="5"/>
        <v>128898.75</v>
      </c>
      <c r="I14" s="6">
        <v>70352</v>
      </c>
      <c r="J14" s="6">
        <f>57648</f>
        <v>57648</v>
      </c>
      <c r="K14" s="6">
        <f>32988</f>
        <v>32988</v>
      </c>
      <c r="L14" s="6">
        <f>52491</f>
        <v>52491</v>
      </c>
      <c r="M14" s="6">
        <v>57398</v>
      </c>
      <c r="N14" s="6">
        <f>42646</f>
        <v>42646</v>
      </c>
      <c r="O14" s="6">
        <v>55777</v>
      </c>
      <c r="P14" s="6">
        <v>67473</v>
      </c>
      <c r="Q14" s="6">
        <v>63449</v>
      </c>
      <c r="R14" s="6">
        <v>61564</v>
      </c>
      <c r="S14" s="6">
        <v>82603</v>
      </c>
      <c r="T14" s="6">
        <v>62189</v>
      </c>
      <c r="U14" s="6">
        <v>68137</v>
      </c>
      <c r="V14" s="6">
        <v>73962</v>
      </c>
      <c r="W14" s="6">
        <v>131382</v>
      </c>
      <c r="X14" s="6">
        <v>164451</v>
      </c>
      <c r="Y14" s="6">
        <v>89377</v>
      </c>
      <c r="Z14" s="6">
        <v>15497</v>
      </c>
      <c r="AA14" s="6">
        <v>88710</v>
      </c>
      <c r="AB14" s="27">
        <v>128733</v>
      </c>
      <c r="AC14" s="27">
        <v>149378</v>
      </c>
      <c r="AD14" s="27">
        <v>148774</v>
      </c>
      <c r="AE14" s="33">
        <f t="shared" si="6"/>
        <v>1764979</v>
      </c>
      <c r="AF14" s="33"/>
      <c r="AG14" s="39">
        <v>0.09</v>
      </c>
      <c r="AH14" s="33">
        <f t="shared" si="7"/>
        <v>158848.10999999999</v>
      </c>
      <c r="AI14" s="46">
        <f t="shared" si="8"/>
        <v>3.8244817626818044</v>
      </c>
      <c r="AJ14" s="46">
        <f t="shared" si="9"/>
        <v>764896.35253636097</v>
      </c>
      <c r="AK14" s="46">
        <f t="shared" si="10"/>
        <v>8498848.3615151215</v>
      </c>
      <c r="AL14" s="46">
        <f t="shared" si="2"/>
        <v>467190.50322795869</v>
      </c>
      <c r="AM14" s="46">
        <f t="shared" si="11"/>
        <v>38932.541935663226</v>
      </c>
      <c r="AN14" s="48">
        <v>156923</v>
      </c>
      <c r="AP14" s="74">
        <f>საპენსიო!D12</f>
        <v>70.693345742205679</v>
      </c>
      <c r="AQ14" s="74">
        <f>შშმპ!D7</f>
        <v>74.837837837837839</v>
      </c>
      <c r="AR14" s="9">
        <f t="shared" si="12"/>
        <v>72.765591790021759</v>
      </c>
      <c r="AS14" s="9">
        <f t="shared" si="13"/>
        <v>18.19139794750544</v>
      </c>
      <c r="AT14" s="9">
        <f t="shared" si="14"/>
        <v>218.29677537006529</v>
      </c>
      <c r="AU14" s="76">
        <f t="shared" si="3"/>
        <v>2156.5549889682698</v>
      </c>
      <c r="AV14" s="76">
        <f t="shared" si="15"/>
        <v>8626.219955873079</v>
      </c>
    </row>
    <row r="15" spans="1:48" ht="46.5" hidden="1" customHeight="1">
      <c r="A15" s="16">
        <v>13</v>
      </c>
      <c r="B15" s="16" t="s">
        <v>75</v>
      </c>
      <c r="C15" s="16" t="s">
        <v>75</v>
      </c>
      <c r="D15" s="20" t="s">
        <v>76</v>
      </c>
      <c r="E15" s="78"/>
      <c r="F15" s="78"/>
      <c r="G15" s="78">
        <f t="shared" si="4"/>
        <v>99656.5</v>
      </c>
      <c r="H15" s="78">
        <f t="shared" si="5"/>
        <v>67065.75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>
        <v>0</v>
      </c>
      <c r="Z15" s="6">
        <v>199313</v>
      </c>
      <c r="AA15" s="6">
        <v>138489</v>
      </c>
      <c r="AB15" s="27">
        <v>43957</v>
      </c>
      <c r="AC15" s="27">
        <v>53947</v>
      </c>
      <c r="AD15" s="27">
        <v>31870</v>
      </c>
      <c r="AE15" s="33">
        <f t="shared" si="6"/>
        <v>467576</v>
      </c>
      <c r="AF15" s="33"/>
      <c r="AG15" s="39">
        <v>0.105</v>
      </c>
      <c r="AH15" s="33">
        <f t="shared" si="7"/>
        <v>49095.479999999996</v>
      </c>
      <c r="AI15" s="46">
        <f t="shared" si="8"/>
        <v>1.1820396723014788</v>
      </c>
      <c r="AJ15" s="46">
        <f t="shared" si="9"/>
        <v>236407.93446029574</v>
      </c>
      <c r="AK15" s="46">
        <f t="shared" si="10"/>
        <v>2251504.1377171022</v>
      </c>
      <c r="AL15" s="46">
        <f t="shared" si="2"/>
        <v>91686.631625454684</v>
      </c>
      <c r="AM15" s="46">
        <f t="shared" si="11"/>
        <v>7640.5526354545582</v>
      </c>
      <c r="AN15" s="48">
        <v>1735389</v>
      </c>
      <c r="AP15" s="74">
        <f>საპენსიო!D11</f>
        <v>97.300604229607245</v>
      </c>
      <c r="AQ15" s="74">
        <f>შშმპ!D6</f>
        <v>99.151515151515156</v>
      </c>
      <c r="AR15" s="9">
        <f t="shared" si="12"/>
        <v>98.2260596905612</v>
      </c>
      <c r="AS15" s="9">
        <f t="shared" si="13"/>
        <v>24.5565149226403</v>
      </c>
      <c r="AT15" s="9">
        <f t="shared" si="14"/>
        <v>294.67817907168359</v>
      </c>
      <c r="AU15" s="76">
        <f t="shared" si="3"/>
        <v>17667.297308544668</v>
      </c>
      <c r="AV15" s="76">
        <f t="shared" si="15"/>
        <v>70669.189234178673</v>
      </c>
    </row>
    <row r="16" spans="1:48" ht="46.5" hidden="1" customHeight="1">
      <c r="A16" s="16">
        <v>14</v>
      </c>
      <c r="B16" s="16" t="s">
        <v>77</v>
      </c>
      <c r="C16" s="16" t="s">
        <v>78</v>
      </c>
      <c r="D16" s="20" t="s">
        <v>79</v>
      </c>
      <c r="E16" s="78"/>
      <c r="F16" s="78"/>
      <c r="G16" s="78">
        <f t="shared" si="4"/>
        <v>5203.5</v>
      </c>
      <c r="H16" s="78">
        <f t="shared" si="5"/>
        <v>13615.75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>
        <v>0</v>
      </c>
      <c r="Z16" s="6">
        <v>10407</v>
      </c>
      <c r="AA16" s="6">
        <v>11936</v>
      </c>
      <c r="AB16" s="27">
        <v>13690</v>
      </c>
      <c r="AC16" s="27">
        <v>14570</v>
      </c>
      <c r="AD16" s="27">
        <v>14267</v>
      </c>
      <c r="AE16" s="33">
        <f t="shared" si="6"/>
        <v>64870</v>
      </c>
      <c r="AF16" s="33"/>
      <c r="AG16" s="40">
        <v>0.23400000000000001</v>
      </c>
      <c r="AH16" s="33">
        <f t="shared" si="7"/>
        <v>15179.580000000002</v>
      </c>
      <c r="AI16" s="46">
        <f t="shared" si="8"/>
        <v>0.36546879201250471</v>
      </c>
      <c r="AJ16" s="46">
        <f t="shared" si="9"/>
        <v>73093.758402500942</v>
      </c>
      <c r="AK16" s="46">
        <f t="shared" si="10"/>
        <v>312366.48889957665</v>
      </c>
      <c r="AL16" s="46">
        <f t="shared" si="2"/>
        <v>35627.122790332658</v>
      </c>
      <c r="AM16" s="46">
        <f t="shared" si="11"/>
        <v>2968.9268991943882</v>
      </c>
      <c r="AN16" s="48">
        <v>408402</v>
      </c>
      <c r="AP16" s="74">
        <f>საპენსიო!D13</f>
        <v>37.95945945945946</v>
      </c>
      <c r="AQ16" s="74">
        <f>შშმპ!D8</f>
        <v>32.18181818181818</v>
      </c>
      <c r="AR16" s="9">
        <f t="shared" si="12"/>
        <v>35.07063882063882</v>
      </c>
      <c r="AS16" s="9">
        <f t="shared" si="13"/>
        <v>8.7676597051597049</v>
      </c>
      <c r="AT16" s="9">
        <f t="shared" si="14"/>
        <v>105.21191646191646</v>
      </c>
      <c r="AU16" s="76">
        <f t="shared" si="3"/>
        <v>11645.12577283475</v>
      </c>
      <c r="AV16" s="76">
        <f t="shared" si="15"/>
        <v>46580.503091339</v>
      </c>
    </row>
    <row r="17" spans="1:48" ht="46.5" hidden="1" customHeight="1">
      <c r="A17" s="16">
        <v>15</v>
      </c>
      <c r="B17" s="21" t="s">
        <v>80</v>
      </c>
      <c r="C17" s="16" t="s">
        <v>81</v>
      </c>
      <c r="D17" s="20" t="s">
        <v>68</v>
      </c>
      <c r="E17" s="78"/>
      <c r="F17" s="78"/>
      <c r="G17" s="78">
        <f t="shared" si="4"/>
        <v>0</v>
      </c>
      <c r="H17" s="78">
        <f t="shared" si="5"/>
        <v>22701.5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>
        <v>0</v>
      </c>
      <c r="AA17" s="6">
        <v>9963</v>
      </c>
      <c r="AB17" s="27">
        <v>21402</v>
      </c>
      <c r="AC17" s="27">
        <v>23577</v>
      </c>
      <c r="AD17" s="27">
        <v>35864</v>
      </c>
      <c r="AE17" s="33">
        <f t="shared" si="6"/>
        <v>90806</v>
      </c>
      <c r="AF17" s="33"/>
      <c r="AG17" s="39">
        <v>0.316</v>
      </c>
      <c r="AH17" s="33">
        <f t="shared" si="7"/>
        <v>28694.696</v>
      </c>
      <c r="AI17" s="46">
        <f t="shared" si="8"/>
        <v>0.6908633759488767</v>
      </c>
      <c r="AJ17" s="46">
        <f t="shared" si="9"/>
        <v>138172.67518977533</v>
      </c>
      <c r="AK17" s="46">
        <f t="shared" si="10"/>
        <v>437255.30123346625</v>
      </c>
      <c r="AL17" s="46">
        <f t="shared" si="2"/>
        <v>58300.706831128831</v>
      </c>
      <c r="AM17" s="46">
        <f t="shared" si="11"/>
        <v>4858.3922359274029</v>
      </c>
      <c r="AN17" s="48">
        <v>743338</v>
      </c>
      <c r="AP17" s="74"/>
      <c r="AQ17" s="74">
        <f>შშმპ!D28</f>
        <v>30</v>
      </c>
      <c r="AR17" s="9">
        <f t="shared" si="12"/>
        <v>30</v>
      </c>
      <c r="AS17" s="9">
        <f t="shared" si="13"/>
        <v>7.5</v>
      </c>
      <c r="AT17" s="9">
        <f t="shared" si="14"/>
        <v>90</v>
      </c>
      <c r="AU17" s="76">
        <f t="shared" si="3"/>
        <v>24777.933333333334</v>
      </c>
      <c r="AV17" s="76">
        <f t="shared" si="15"/>
        <v>99111.733333333337</v>
      </c>
    </row>
    <row r="18" spans="1:48" ht="46.5" hidden="1" customHeight="1">
      <c r="A18" s="16">
        <v>16</v>
      </c>
      <c r="B18" s="21" t="s">
        <v>82</v>
      </c>
      <c r="C18" s="16" t="s">
        <v>83</v>
      </c>
      <c r="D18" s="20" t="s">
        <v>68</v>
      </c>
      <c r="E18" s="78"/>
      <c r="F18" s="78"/>
      <c r="G18" s="78">
        <f t="shared" si="4"/>
        <v>92</v>
      </c>
      <c r="H18" s="78">
        <f t="shared" si="5"/>
        <v>41466.75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>
        <v>92</v>
      </c>
      <c r="AA18" s="6">
        <v>18621</v>
      </c>
      <c r="AB18" s="27">
        <v>37794</v>
      </c>
      <c r="AC18" s="27">
        <v>50309</v>
      </c>
      <c r="AD18" s="27">
        <v>59143</v>
      </c>
      <c r="AE18" s="33">
        <f t="shared" si="6"/>
        <v>165959</v>
      </c>
      <c r="AF18" s="33"/>
      <c r="AG18" s="39">
        <v>0.38</v>
      </c>
      <c r="AH18" s="33">
        <f t="shared" si="7"/>
        <v>63064.42</v>
      </c>
      <c r="AI18" s="46">
        <f t="shared" si="8"/>
        <v>1.5183606790417943</v>
      </c>
      <c r="AJ18" s="46">
        <f t="shared" si="9"/>
        <v>303672.13580835884</v>
      </c>
      <c r="AK18" s="46">
        <f t="shared" si="10"/>
        <v>799137.1994956811</v>
      </c>
      <c r="AN18" s="48">
        <v>851106</v>
      </c>
      <c r="AP18" s="74"/>
      <c r="AQ18" s="74"/>
      <c r="AR18" s="9"/>
      <c r="AS18" s="9">
        <f t="shared" si="13"/>
        <v>0</v>
      </c>
      <c r="AT18" s="9">
        <f t="shared" si="14"/>
        <v>0</v>
      </c>
      <c r="AU18" s="76"/>
    </row>
    <row r="19" spans="1:48" ht="46.5" hidden="1" customHeight="1">
      <c r="A19" s="16">
        <v>18</v>
      </c>
      <c r="B19" s="21" t="s">
        <v>84</v>
      </c>
      <c r="C19" s="16" t="s">
        <v>85</v>
      </c>
      <c r="D19" s="20" t="s">
        <v>86</v>
      </c>
      <c r="E19" s="78"/>
      <c r="F19" s="78"/>
      <c r="G19" s="78">
        <f t="shared" si="4"/>
        <v>14476</v>
      </c>
      <c r="H19" s="78">
        <f t="shared" si="5"/>
        <v>83265.75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>
        <v>14476</v>
      </c>
      <c r="AA19" s="6">
        <v>64466</v>
      </c>
      <c r="AB19" s="27">
        <v>102410</v>
      </c>
      <c r="AC19" s="27">
        <v>128627</v>
      </c>
      <c r="AD19" s="27">
        <v>37560</v>
      </c>
      <c r="AE19" s="33">
        <f t="shared" si="6"/>
        <v>347539</v>
      </c>
      <c r="AF19" s="33"/>
      <c r="AG19" s="36">
        <v>6.7500000000000004E-2</v>
      </c>
      <c r="AH19" s="33">
        <f t="shared" si="7"/>
        <v>23458.882500000003</v>
      </c>
      <c r="AI19" s="46">
        <f t="shared" si="8"/>
        <v>0.56480412825903525</v>
      </c>
      <c r="AJ19" s="46">
        <f t="shared" si="9"/>
        <v>112960.82565180706</v>
      </c>
      <c r="AK19" s="46">
        <f t="shared" si="10"/>
        <v>1673493.7133601045</v>
      </c>
      <c r="AN19" s="48">
        <v>1812679</v>
      </c>
      <c r="AP19" s="74"/>
      <c r="AQ19" s="74"/>
      <c r="AR19" s="9"/>
      <c r="AS19" s="9">
        <f t="shared" si="13"/>
        <v>0</v>
      </c>
      <c r="AT19" s="9">
        <f t="shared" si="14"/>
        <v>0</v>
      </c>
      <c r="AU19" s="76"/>
    </row>
    <row r="20" spans="1:48" ht="46.5" hidden="1" customHeight="1">
      <c r="A20" s="16">
        <v>19</v>
      </c>
      <c r="B20" s="21" t="s">
        <v>87</v>
      </c>
      <c r="C20" s="16" t="s">
        <v>88</v>
      </c>
      <c r="D20" s="20" t="s">
        <v>89</v>
      </c>
      <c r="E20" s="78"/>
      <c r="F20" s="78"/>
      <c r="G20" s="78">
        <f t="shared" si="4"/>
        <v>152</v>
      </c>
      <c r="H20" s="78">
        <f t="shared" si="5"/>
        <v>34770.75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>
        <v>152</v>
      </c>
      <c r="AA20" s="6">
        <v>19619</v>
      </c>
      <c r="AB20" s="27">
        <v>36603</v>
      </c>
      <c r="AC20" s="27">
        <v>40167</v>
      </c>
      <c r="AD20" s="27">
        <v>42694</v>
      </c>
      <c r="AE20" s="33">
        <f t="shared" si="6"/>
        <v>139235</v>
      </c>
      <c r="AF20" s="33"/>
      <c r="AG20" s="39">
        <v>0.06</v>
      </c>
      <c r="AH20" s="33">
        <f t="shared" si="7"/>
        <v>8354.1</v>
      </c>
      <c r="AI20" s="46">
        <f t="shared" si="8"/>
        <v>0.2011361865974991</v>
      </c>
      <c r="AJ20" s="46">
        <f t="shared" si="9"/>
        <v>40227.237319499822</v>
      </c>
      <c r="AK20" s="46">
        <f t="shared" si="10"/>
        <v>670453.95532499708</v>
      </c>
      <c r="AL20" s="46">
        <f t="shared" ref="AL20:AL31" si="16">AK20/AS20</f>
        <v>43964.193791803089</v>
      </c>
      <c r="AM20" s="46">
        <f t="shared" si="11"/>
        <v>3663.6828159835904</v>
      </c>
      <c r="AN20" s="48">
        <v>1501133</v>
      </c>
      <c r="AP20" s="74">
        <f>საპენსიო!D29</f>
        <v>61</v>
      </c>
      <c r="AQ20" s="74"/>
      <c r="AR20" s="9">
        <f t="shared" si="12"/>
        <v>61</v>
      </c>
      <c r="AS20" s="9">
        <f t="shared" si="13"/>
        <v>15.25</v>
      </c>
      <c r="AT20" s="9">
        <f t="shared" si="14"/>
        <v>183</v>
      </c>
      <c r="AU20" s="76">
        <f t="shared" ref="AU20:AU31" si="17">AN20/AR20</f>
        <v>24608.737704918032</v>
      </c>
    </row>
    <row r="21" spans="1:48" ht="46.5" hidden="1" customHeight="1">
      <c r="A21" s="16">
        <v>20</v>
      </c>
      <c r="B21" s="21" t="s">
        <v>90</v>
      </c>
      <c r="C21" s="21" t="s">
        <v>91</v>
      </c>
      <c r="D21" s="20" t="s">
        <v>86</v>
      </c>
      <c r="E21" s="78"/>
      <c r="F21" s="78"/>
      <c r="G21" s="78">
        <f t="shared" si="4"/>
        <v>5620</v>
      </c>
      <c r="H21" s="78">
        <f t="shared" si="5"/>
        <v>35194.75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>
        <v>5620</v>
      </c>
      <c r="AA21" s="6">
        <v>23666</v>
      </c>
      <c r="AB21" s="27">
        <v>35141</v>
      </c>
      <c r="AC21" s="27">
        <v>40081</v>
      </c>
      <c r="AD21" s="27">
        <v>41891</v>
      </c>
      <c r="AE21" s="33">
        <f t="shared" si="6"/>
        <v>146399</v>
      </c>
      <c r="AF21" s="33"/>
      <c r="AG21" s="40">
        <v>0.14899999999999999</v>
      </c>
      <c r="AH21" s="33">
        <f t="shared" si="7"/>
        <v>21813.450999999997</v>
      </c>
      <c r="AI21" s="46">
        <f t="shared" si="8"/>
        <v>0.525188153202787</v>
      </c>
      <c r="AJ21" s="46">
        <f t="shared" si="9"/>
        <v>105037.63064055741</v>
      </c>
      <c r="AK21" s="46">
        <f t="shared" si="10"/>
        <v>704950.54121179471</v>
      </c>
      <c r="AL21" s="46">
        <f t="shared" si="16"/>
        <v>60842.20438674411</v>
      </c>
      <c r="AM21" s="46">
        <f t="shared" si="11"/>
        <v>5070.1836988953419</v>
      </c>
      <c r="AN21" s="48">
        <v>1800628</v>
      </c>
      <c r="AP21" s="74">
        <f>საპენსიო!D35</f>
        <v>54.692307692307693</v>
      </c>
      <c r="AQ21" s="74">
        <f>შშმპ!D36</f>
        <v>38</v>
      </c>
      <c r="AR21" s="9">
        <f t="shared" si="12"/>
        <v>46.346153846153847</v>
      </c>
      <c r="AS21" s="9">
        <f t="shared" si="13"/>
        <v>11.586538461538462</v>
      </c>
      <c r="AT21" s="9">
        <f t="shared" si="14"/>
        <v>139.03846153846155</v>
      </c>
      <c r="AU21" s="76">
        <f t="shared" si="17"/>
        <v>38851.724481327801</v>
      </c>
    </row>
    <row r="22" spans="1:48" ht="46.5" hidden="1" customHeight="1">
      <c r="A22" s="16">
        <v>22</v>
      </c>
      <c r="B22" s="21" t="s">
        <v>92</v>
      </c>
      <c r="C22" s="16" t="s">
        <v>93</v>
      </c>
      <c r="D22" s="20" t="s">
        <v>94</v>
      </c>
      <c r="E22" s="78"/>
      <c r="F22" s="78"/>
      <c r="G22" s="78">
        <f t="shared" si="4"/>
        <v>16901</v>
      </c>
      <c r="H22" s="78">
        <f t="shared" si="5"/>
        <v>132485.75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>
        <v>16901</v>
      </c>
      <c r="AA22" s="6">
        <v>84884</v>
      </c>
      <c r="AB22" s="27">
        <v>131581</v>
      </c>
      <c r="AC22" s="27">
        <v>153370</v>
      </c>
      <c r="AD22" s="27">
        <v>160108</v>
      </c>
      <c r="AE22" s="33">
        <f t="shared" si="6"/>
        <v>546844</v>
      </c>
      <c r="AF22" s="33"/>
      <c r="AG22" s="39">
        <v>7.2099999999999997E-2</v>
      </c>
      <c r="AH22" s="33">
        <f t="shared" si="7"/>
        <v>39427.452400000002</v>
      </c>
      <c r="AI22" s="46">
        <f t="shared" si="8"/>
        <v>0.94926891262857926</v>
      </c>
      <c r="AJ22" s="46">
        <f t="shared" si="9"/>
        <v>189853.78252571585</v>
      </c>
      <c r="AK22" s="46">
        <f t="shared" si="10"/>
        <v>2633200.8672082643</v>
      </c>
      <c r="AL22" s="46">
        <f t="shared" si="16"/>
        <v>152883.9464895417</v>
      </c>
      <c r="AM22" s="46">
        <f t="shared" si="11"/>
        <v>12740.328874128476</v>
      </c>
      <c r="AN22" s="48">
        <v>20329792</v>
      </c>
      <c r="AP22" s="74">
        <f>საპენსიო!D31</f>
        <v>72.359649122807014</v>
      </c>
      <c r="AQ22" s="74">
        <f>შშმპ!D31</f>
        <v>65.428571428571431</v>
      </c>
      <c r="AR22" s="9">
        <f t="shared" si="12"/>
        <v>68.894110275689229</v>
      </c>
      <c r="AS22" s="9">
        <f t="shared" si="13"/>
        <v>17.223527568922307</v>
      </c>
      <c r="AT22" s="9">
        <f t="shared" si="14"/>
        <v>206.68233082706769</v>
      </c>
      <c r="AU22" s="76">
        <f t="shared" si="17"/>
        <v>295087.517911873</v>
      </c>
    </row>
    <row r="23" spans="1:48" ht="46.5" hidden="1" customHeight="1">
      <c r="A23" s="16">
        <v>23</v>
      </c>
      <c r="B23" s="21" t="s">
        <v>95</v>
      </c>
      <c r="C23" s="16" t="s">
        <v>96</v>
      </c>
      <c r="D23" s="20" t="s">
        <v>97</v>
      </c>
      <c r="E23" s="78"/>
      <c r="F23" s="78"/>
      <c r="G23" s="78">
        <f t="shared" si="4"/>
        <v>2114</v>
      </c>
      <c r="H23" s="78">
        <f t="shared" si="5"/>
        <v>21529.5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>
        <v>2114</v>
      </c>
      <c r="AA23" s="6">
        <v>15922</v>
      </c>
      <c r="AB23" s="27">
        <v>19185</v>
      </c>
      <c r="AC23" s="27">
        <v>23726</v>
      </c>
      <c r="AD23" s="27">
        <v>27285</v>
      </c>
      <c r="AE23" s="33">
        <f t="shared" si="6"/>
        <v>88232</v>
      </c>
      <c r="AF23" s="33"/>
      <c r="AG23" s="39">
        <v>0.08</v>
      </c>
      <c r="AH23" s="33">
        <f t="shared" si="7"/>
        <v>7058.56</v>
      </c>
      <c r="AI23" s="46">
        <f t="shared" si="8"/>
        <v>0.16994431970764576</v>
      </c>
      <c r="AJ23" s="46">
        <f t="shared" si="9"/>
        <v>33988.863941529155</v>
      </c>
      <c r="AK23" s="46">
        <f t="shared" si="10"/>
        <v>424860.79926911445</v>
      </c>
      <c r="AL23" s="46">
        <f t="shared" si="16"/>
        <v>28448.82884973806</v>
      </c>
      <c r="AM23" s="46">
        <f t="shared" si="11"/>
        <v>2370.7357374781714</v>
      </c>
      <c r="AN23" s="48">
        <v>4642341</v>
      </c>
      <c r="AP23" s="74">
        <f>საპენსიო!D30</f>
        <v>59.736842105263158</v>
      </c>
      <c r="AQ23" s="74"/>
      <c r="AR23" s="9">
        <f t="shared" si="12"/>
        <v>59.736842105263158</v>
      </c>
      <c r="AS23" s="9">
        <f t="shared" si="13"/>
        <v>14.934210526315789</v>
      </c>
      <c r="AT23" s="9">
        <f t="shared" si="14"/>
        <v>179.21052631578948</v>
      </c>
      <c r="AU23" s="76">
        <f t="shared" si="17"/>
        <v>77713.197356828197</v>
      </c>
    </row>
    <row r="24" spans="1:48" ht="33.75" customHeight="1">
      <c r="A24" s="16">
        <v>24</v>
      </c>
      <c r="B24" s="16" t="s">
        <v>98</v>
      </c>
      <c r="C24" s="16" t="s">
        <v>99</v>
      </c>
      <c r="D24" s="19" t="s">
        <v>100</v>
      </c>
      <c r="E24" s="78">
        <f t="shared" ref="E24:E31" si="18">AVERAGE(J24:N24)</f>
        <v>111386.8</v>
      </c>
      <c r="F24" s="78">
        <f t="shared" ref="F24:F31" si="19">AVERAGE(O24:V24)</f>
        <v>170083.625</v>
      </c>
      <c r="G24" s="78">
        <f t="shared" si="4"/>
        <v>340627</v>
      </c>
      <c r="H24" s="78">
        <f t="shared" si="5"/>
        <v>413211</v>
      </c>
      <c r="I24" s="6">
        <v>255662</v>
      </c>
      <c r="J24" s="6">
        <v>103969</v>
      </c>
      <c r="K24" s="6">
        <f>14393+31795+12615+6244+1102</f>
        <v>66149</v>
      </c>
      <c r="L24" s="6">
        <f>31487+100998+25728+1020</f>
        <v>159233</v>
      </c>
      <c r="M24" s="6">
        <v>129089</v>
      </c>
      <c r="N24" s="22">
        <f>6352+51394+39920+828</f>
        <v>98494</v>
      </c>
      <c r="O24" s="22">
        <v>168080</v>
      </c>
      <c r="P24" s="22">
        <v>168944</v>
      </c>
      <c r="Q24" s="22">
        <v>137425</v>
      </c>
      <c r="R24" s="22">
        <v>172936</v>
      </c>
      <c r="S24" s="22">
        <v>195246</v>
      </c>
      <c r="T24" s="22">
        <v>141714</v>
      </c>
      <c r="U24" s="22">
        <v>185410</v>
      </c>
      <c r="V24" s="22">
        <v>190914</v>
      </c>
      <c r="W24" s="22">
        <v>277656</v>
      </c>
      <c r="X24" s="22">
        <v>352098</v>
      </c>
      <c r="Y24" s="22">
        <v>363351</v>
      </c>
      <c r="Z24" s="22">
        <v>369403</v>
      </c>
      <c r="AA24" s="22">
        <v>398024</v>
      </c>
      <c r="AB24" s="29">
        <v>426880</v>
      </c>
      <c r="AC24" s="29">
        <v>422016</v>
      </c>
      <c r="AD24" s="29">
        <v>405924</v>
      </c>
      <c r="AE24" s="33">
        <f t="shared" si="6"/>
        <v>5188617</v>
      </c>
      <c r="AF24" s="33"/>
      <c r="AG24" s="40">
        <v>8.4500000000000006E-2</v>
      </c>
      <c r="AH24" s="33">
        <f t="shared" si="7"/>
        <v>438438.13650000002</v>
      </c>
      <c r="AI24" s="46">
        <f t="shared" si="8"/>
        <v>10.555987459394043</v>
      </c>
      <c r="AJ24" s="46">
        <f t="shared" si="9"/>
        <v>2111197.4918788085</v>
      </c>
      <c r="AK24" s="46">
        <f t="shared" si="10"/>
        <v>24984585.70270779</v>
      </c>
      <c r="AL24" s="46">
        <f t="shared" si="16"/>
        <v>690732.3753495625</v>
      </c>
      <c r="AM24" s="46">
        <f t="shared" si="11"/>
        <v>57561.031279130213</v>
      </c>
      <c r="AN24" s="48">
        <v>823420</v>
      </c>
      <c r="AP24" s="74">
        <f>საპენსიო!D18</f>
        <v>143.02982162764772</v>
      </c>
      <c r="AQ24" s="74">
        <f>შშმპ!D19</f>
        <v>146.33939393939394</v>
      </c>
      <c r="AR24" s="9">
        <f t="shared" si="12"/>
        <v>144.68460778352085</v>
      </c>
      <c r="AS24" s="9">
        <f t="shared" si="13"/>
        <v>36.171151945880212</v>
      </c>
      <c r="AT24" s="9">
        <f t="shared" si="14"/>
        <v>434.05382335056254</v>
      </c>
      <c r="AU24" s="76">
        <f t="shared" si="17"/>
        <v>5691.1375205302602</v>
      </c>
    </row>
    <row r="25" spans="1:48" ht="51.75" customHeight="1">
      <c r="A25" s="16">
        <v>25</v>
      </c>
      <c r="B25" s="16" t="s">
        <v>101</v>
      </c>
      <c r="C25" s="16" t="s">
        <v>102</v>
      </c>
      <c r="D25" s="20" t="s">
        <v>103</v>
      </c>
      <c r="E25" s="78">
        <f t="shared" si="18"/>
        <v>29537.8</v>
      </c>
      <c r="F25" s="78">
        <f t="shared" si="19"/>
        <v>59391.375</v>
      </c>
      <c r="G25" s="78">
        <f t="shared" si="4"/>
        <v>107459.75</v>
      </c>
      <c r="H25" s="78">
        <f t="shared" si="5"/>
        <v>148344.75</v>
      </c>
      <c r="I25" s="6">
        <v>22614</v>
      </c>
      <c r="J25" s="6">
        <f>3092+8803</f>
        <v>11895</v>
      </c>
      <c r="K25" s="6">
        <v>700</v>
      </c>
      <c r="L25" s="6">
        <f>562+329+28856</f>
        <v>29747</v>
      </c>
      <c r="M25" s="6">
        <v>79226</v>
      </c>
      <c r="N25" s="6">
        <f>26120+1</f>
        <v>26121</v>
      </c>
      <c r="O25" s="6">
        <v>51767</v>
      </c>
      <c r="P25" s="6">
        <v>64413</v>
      </c>
      <c r="Q25" s="6">
        <v>45245</v>
      </c>
      <c r="R25" s="6">
        <v>53493</v>
      </c>
      <c r="S25" s="6">
        <v>75130</v>
      </c>
      <c r="T25" s="6">
        <v>47604</v>
      </c>
      <c r="U25" s="6">
        <v>60976</v>
      </c>
      <c r="V25" s="6">
        <v>76503</v>
      </c>
      <c r="W25" s="6">
        <v>99668</v>
      </c>
      <c r="X25" s="6">
        <v>130154</v>
      </c>
      <c r="Y25" s="6">
        <v>97303</v>
      </c>
      <c r="Z25" s="6">
        <v>102714</v>
      </c>
      <c r="AA25" s="6">
        <v>167394</v>
      </c>
      <c r="AB25" s="27">
        <v>142531</v>
      </c>
      <c r="AC25" s="27">
        <v>138106</v>
      </c>
      <c r="AD25" s="27">
        <v>145348</v>
      </c>
      <c r="AE25" s="33">
        <f t="shared" si="6"/>
        <v>1668652</v>
      </c>
      <c r="AF25" s="33"/>
      <c r="AG25" s="41">
        <v>0.1119</v>
      </c>
      <c r="AH25" s="33">
        <f t="shared" si="7"/>
        <v>186722.1588</v>
      </c>
      <c r="AI25" s="46">
        <f t="shared" si="8"/>
        <v>4.4955869542242324</v>
      </c>
      <c r="AJ25" s="46">
        <f t="shared" si="9"/>
        <v>899117.39084484649</v>
      </c>
      <c r="AK25" s="46">
        <f t="shared" si="10"/>
        <v>8035007.9610799504</v>
      </c>
      <c r="AL25" s="46">
        <f t="shared" si="16"/>
        <v>380995.92534833838</v>
      </c>
      <c r="AM25" s="46">
        <f t="shared" si="11"/>
        <v>31749.660445694863</v>
      </c>
      <c r="AN25" s="48">
        <v>610238</v>
      </c>
      <c r="AP25" s="74">
        <f>საპენსიო!D20</f>
        <v>83.653382275825905</v>
      </c>
      <c r="AQ25" s="74">
        <f>შშმპ!D20</f>
        <v>85.0625</v>
      </c>
      <c r="AR25" s="9">
        <f t="shared" si="12"/>
        <v>84.357941137912945</v>
      </c>
      <c r="AS25" s="9">
        <f t="shared" si="13"/>
        <v>21.089485284478236</v>
      </c>
      <c r="AT25" s="9">
        <f t="shared" si="14"/>
        <v>253.07382341373884</v>
      </c>
      <c r="AU25" s="76">
        <f t="shared" si="17"/>
        <v>7233.9129164182632</v>
      </c>
    </row>
    <row r="26" spans="1:48">
      <c r="A26" s="16">
        <v>26</v>
      </c>
      <c r="B26" s="16" t="s">
        <v>104</v>
      </c>
      <c r="C26" s="16" t="s">
        <v>105</v>
      </c>
      <c r="D26" s="23" t="s">
        <v>106</v>
      </c>
      <c r="E26" s="78">
        <f t="shared" si="18"/>
        <v>32737.8</v>
      </c>
      <c r="F26" s="78">
        <f t="shared" si="19"/>
        <v>54173.125</v>
      </c>
      <c r="G26" s="78">
        <f t="shared" si="4"/>
        <v>105344.25</v>
      </c>
      <c r="H26" s="78">
        <f t="shared" si="5"/>
        <v>131738.25</v>
      </c>
      <c r="I26" s="6">
        <v>35404</v>
      </c>
      <c r="J26" s="6">
        <f>630+300</f>
        <v>930</v>
      </c>
      <c r="K26" s="6">
        <v>24</v>
      </c>
      <c r="L26" s="6">
        <f>2+18170+30+84119</f>
        <v>102321</v>
      </c>
      <c r="M26" s="6">
        <v>38566</v>
      </c>
      <c r="N26" s="6">
        <f>3538+30+18280</f>
        <v>21848</v>
      </c>
      <c r="O26" s="6">
        <v>72462</v>
      </c>
      <c r="P26" s="6">
        <v>48945</v>
      </c>
      <c r="Q26" s="6">
        <v>33097</v>
      </c>
      <c r="R26" s="6">
        <v>65867</v>
      </c>
      <c r="S26" s="6">
        <v>59457</v>
      </c>
      <c r="T26" s="6">
        <v>34447</v>
      </c>
      <c r="U26" s="6">
        <v>64628</v>
      </c>
      <c r="V26" s="6">
        <v>54482</v>
      </c>
      <c r="W26" s="6">
        <v>84344</v>
      </c>
      <c r="X26" s="6">
        <v>130224</v>
      </c>
      <c r="Y26" s="6">
        <v>103094</v>
      </c>
      <c r="Z26" s="6">
        <v>103715</v>
      </c>
      <c r="AA26" s="6">
        <v>136114</v>
      </c>
      <c r="AB26" s="27">
        <v>128423</v>
      </c>
      <c r="AC26" s="27">
        <v>130971</v>
      </c>
      <c r="AD26" s="27">
        <v>131445</v>
      </c>
      <c r="AE26" s="33">
        <f t="shared" si="6"/>
        <v>1580808</v>
      </c>
      <c r="AF26" s="33"/>
      <c r="AG26" s="42">
        <v>0.109</v>
      </c>
      <c r="AH26" s="33">
        <f t="shared" si="7"/>
        <v>172308.07199999999</v>
      </c>
      <c r="AI26" s="46">
        <f t="shared" si="8"/>
        <v>4.1485484399333625</v>
      </c>
      <c r="AJ26" s="46">
        <f t="shared" si="9"/>
        <v>829709.68798667251</v>
      </c>
      <c r="AK26" s="46">
        <f t="shared" si="10"/>
        <v>7612015.4861162612</v>
      </c>
      <c r="AL26" s="46">
        <f t="shared" si="16"/>
        <v>259106.61317650956</v>
      </c>
      <c r="AM26" s="46">
        <f t="shared" si="11"/>
        <v>21592.21776470913</v>
      </c>
      <c r="AN26" s="48">
        <v>304248</v>
      </c>
      <c r="AP26" s="74">
        <f>საპენსიო!D19</f>
        <v>119.85441176470589</v>
      </c>
      <c r="AQ26" s="74">
        <f>შშმპ!D18</f>
        <v>115.16901408450704</v>
      </c>
      <c r="AR26" s="9">
        <f t="shared" si="12"/>
        <v>117.51171292460646</v>
      </c>
      <c r="AS26" s="9">
        <f t="shared" si="13"/>
        <v>29.377928231151614</v>
      </c>
      <c r="AT26" s="9">
        <f t="shared" si="14"/>
        <v>352.53513877381937</v>
      </c>
      <c r="AU26" s="76">
        <f t="shared" si="17"/>
        <v>2589.0865891402709</v>
      </c>
    </row>
    <row r="27" spans="1:48" hidden="1">
      <c r="A27" s="16">
        <v>27</v>
      </c>
      <c r="B27" s="16" t="s">
        <v>107</v>
      </c>
      <c r="C27" s="16" t="s">
        <v>108</v>
      </c>
      <c r="D27" s="20" t="s">
        <v>109</v>
      </c>
      <c r="E27" s="78">
        <f t="shared" si="18"/>
        <v>3042.2</v>
      </c>
      <c r="F27" s="78">
        <f t="shared" si="19"/>
        <v>3862.625</v>
      </c>
      <c r="G27" s="78">
        <f t="shared" si="4"/>
        <v>8559.25</v>
      </c>
      <c r="H27" s="78">
        <f t="shared" si="5"/>
        <v>7996.333333333333</v>
      </c>
      <c r="I27" s="6">
        <v>2774</v>
      </c>
      <c r="J27" s="6">
        <v>3424</v>
      </c>
      <c r="K27" s="6">
        <v>2384</v>
      </c>
      <c r="L27" s="6">
        <f>2117</f>
        <v>2117</v>
      </c>
      <c r="M27" s="6">
        <v>4162</v>
      </c>
      <c r="N27" s="6">
        <f>2480+644</f>
        <v>3124</v>
      </c>
      <c r="O27" s="6">
        <v>2678</v>
      </c>
      <c r="P27" s="6">
        <v>2208</v>
      </c>
      <c r="Q27" s="6">
        <v>5712</v>
      </c>
      <c r="R27" s="6">
        <v>2577</v>
      </c>
      <c r="S27" s="6">
        <v>4044</v>
      </c>
      <c r="T27" s="6">
        <v>5261</v>
      </c>
      <c r="U27" s="6">
        <v>4810</v>
      </c>
      <c r="V27" s="6">
        <v>3611</v>
      </c>
      <c r="W27" s="6">
        <v>6970</v>
      </c>
      <c r="X27" s="6">
        <v>10729</v>
      </c>
      <c r="Y27" s="6">
        <v>7133</v>
      </c>
      <c r="Z27" s="6">
        <v>9405</v>
      </c>
      <c r="AA27" s="6">
        <v>6884</v>
      </c>
      <c r="AB27" s="27">
        <v>10015</v>
      </c>
      <c r="AC27" s="27">
        <v>7090</v>
      </c>
      <c r="AD27" s="27"/>
      <c r="AE27" s="33">
        <f t="shared" si="6"/>
        <v>107112</v>
      </c>
      <c r="AF27" s="33"/>
      <c r="AG27" s="36">
        <v>0.16520000000000001</v>
      </c>
      <c r="AH27" s="33">
        <f t="shared" si="7"/>
        <v>17694.902400000003</v>
      </c>
      <c r="AI27" s="46">
        <f t="shared" si="8"/>
        <v>0.42602855974323206</v>
      </c>
      <c r="AJ27" s="46">
        <f t="shared" si="9"/>
        <v>85205.711948646422</v>
      </c>
      <c r="AK27" s="46">
        <f t="shared" si="10"/>
        <v>515773.07474967564</v>
      </c>
      <c r="AL27" s="46">
        <f t="shared" si="16"/>
        <v>15842.754968978164</v>
      </c>
      <c r="AM27" s="46">
        <f t="shared" si="11"/>
        <v>1320.2295807481803</v>
      </c>
      <c r="AN27" s="48">
        <v>21710</v>
      </c>
      <c r="AP27" s="74">
        <f>საპენსიო!D27</f>
        <v>189.44615384615383</v>
      </c>
      <c r="AQ27" s="74">
        <f>შშმპ!D26</f>
        <v>71</v>
      </c>
      <c r="AR27" s="9">
        <f t="shared" si="12"/>
        <v>130.22307692307692</v>
      </c>
      <c r="AS27" s="9">
        <f t="shared" si="13"/>
        <v>32.555769230769229</v>
      </c>
      <c r="AT27" s="9">
        <f t="shared" si="14"/>
        <v>390.66923076923075</v>
      </c>
      <c r="AU27" s="76">
        <f t="shared" si="17"/>
        <v>166.71392285427373</v>
      </c>
    </row>
    <row r="28" spans="1:48" ht="27.75" hidden="1" customHeight="1">
      <c r="A28" s="16">
        <v>28</v>
      </c>
      <c r="B28" s="16" t="s">
        <v>110</v>
      </c>
      <c r="C28" s="16" t="s">
        <v>111</v>
      </c>
      <c r="D28" s="20" t="s">
        <v>112</v>
      </c>
      <c r="E28" s="78">
        <f t="shared" si="18"/>
        <v>28454.799999999999</v>
      </c>
      <c r="F28" s="78">
        <f t="shared" si="19"/>
        <v>36332.375</v>
      </c>
      <c r="G28" s="78">
        <f t="shared" si="4"/>
        <v>89779</v>
      </c>
      <c r="H28" s="78">
        <f t="shared" si="5"/>
        <v>101791.75</v>
      </c>
      <c r="I28" s="6">
        <v>0</v>
      </c>
      <c r="J28" s="6">
        <v>21555</v>
      </c>
      <c r="K28" s="6">
        <v>35764</v>
      </c>
      <c r="L28" s="6">
        <f>21573</f>
        <v>21573</v>
      </c>
      <c r="M28" s="6">
        <v>28139</v>
      </c>
      <c r="N28" s="6">
        <f>35243</f>
        <v>35243</v>
      </c>
      <c r="O28" s="6">
        <v>25652</v>
      </c>
      <c r="P28" s="6">
        <v>31840</v>
      </c>
      <c r="Q28" s="6">
        <v>43499</v>
      </c>
      <c r="R28" s="6">
        <v>34555</v>
      </c>
      <c r="S28" s="6">
        <v>39389</v>
      </c>
      <c r="T28" s="6">
        <v>38730</v>
      </c>
      <c r="U28" s="6">
        <v>38749</v>
      </c>
      <c r="V28" s="6">
        <v>38245</v>
      </c>
      <c r="W28" s="6">
        <v>74463</v>
      </c>
      <c r="X28" s="6">
        <v>85375</v>
      </c>
      <c r="Y28" s="6">
        <v>97444</v>
      </c>
      <c r="Z28" s="6">
        <v>101834</v>
      </c>
      <c r="AA28" s="6">
        <v>85627</v>
      </c>
      <c r="AB28" s="27">
        <v>103526</v>
      </c>
      <c r="AC28" s="27">
        <v>127741</v>
      </c>
      <c r="AD28" s="27">
        <v>90273</v>
      </c>
      <c r="AE28" s="33">
        <f t="shared" si="6"/>
        <v>1199216</v>
      </c>
      <c r="AF28" s="33"/>
      <c r="AG28" s="40">
        <v>4.4999999999999998E-2</v>
      </c>
      <c r="AH28" s="33">
        <f t="shared" si="7"/>
        <v>53964.72</v>
      </c>
      <c r="AI28" s="46">
        <f t="shared" si="8"/>
        <v>1.2992731702519471</v>
      </c>
      <c r="AJ28" s="46">
        <f t="shared" si="9"/>
        <v>259854.6340503894</v>
      </c>
      <c r="AK28" s="46">
        <f t="shared" si="10"/>
        <v>5774547.4233419867</v>
      </c>
      <c r="AL28" s="46">
        <f t="shared" si="16"/>
        <v>183394.43311081282</v>
      </c>
      <c r="AM28" s="46">
        <f t="shared" si="11"/>
        <v>15282.86942590107</v>
      </c>
      <c r="AN28" s="48">
        <v>46718</v>
      </c>
      <c r="AP28" s="74">
        <f>საპენსიო!D28</f>
        <v>118.71681415929204</v>
      </c>
      <c r="AQ28" s="74">
        <f>შშმპ!D27</f>
        <v>133.17948717948718</v>
      </c>
      <c r="AR28" s="9">
        <f t="shared" si="12"/>
        <v>125.94815066938961</v>
      </c>
      <c r="AS28" s="9">
        <f t="shared" si="13"/>
        <v>31.487037667347401</v>
      </c>
      <c r="AT28" s="9">
        <f t="shared" si="14"/>
        <v>377.84445200816879</v>
      </c>
      <c r="AU28" s="76">
        <f t="shared" si="17"/>
        <v>370.93041661749726</v>
      </c>
    </row>
    <row r="29" spans="1:48" ht="26.25" hidden="1" customHeight="1">
      <c r="A29" s="16">
        <v>29</v>
      </c>
      <c r="B29" s="16" t="s">
        <v>113</v>
      </c>
      <c r="C29" s="16" t="s">
        <v>114</v>
      </c>
      <c r="D29" s="20" t="s">
        <v>79</v>
      </c>
      <c r="E29" s="78">
        <f t="shared" si="18"/>
        <v>754.2</v>
      </c>
      <c r="F29" s="78">
        <f t="shared" si="19"/>
        <v>1018.25</v>
      </c>
      <c r="G29" s="78">
        <f t="shared" si="4"/>
        <v>1003.75</v>
      </c>
      <c r="H29" s="78">
        <f t="shared" si="5"/>
        <v>1529</v>
      </c>
      <c r="I29" s="6">
        <v>547</v>
      </c>
      <c r="J29" s="6">
        <v>464</v>
      </c>
      <c r="K29" s="6">
        <v>356</v>
      </c>
      <c r="L29" s="6">
        <v>1050</v>
      </c>
      <c r="M29" s="6">
        <v>1342</v>
      </c>
      <c r="N29" s="6">
        <f>559</f>
        <v>559</v>
      </c>
      <c r="O29" s="6">
        <v>776</v>
      </c>
      <c r="P29" s="6">
        <v>1012</v>
      </c>
      <c r="Q29" s="6">
        <v>664</v>
      </c>
      <c r="R29" s="6">
        <v>926</v>
      </c>
      <c r="S29" s="6">
        <v>1161</v>
      </c>
      <c r="T29" s="6">
        <v>918</v>
      </c>
      <c r="U29" s="6">
        <v>1668</v>
      </c>
      <c r="V29" s="6">
        <v>1021</v>
      </c>
      <c r="W29" s="6">
        <v>513</v>
      </c>
      <c r="X29" s="6">
        <v>1320</v>
      </c>
      <c r="Y29" s="6">
        <v>1348</v>
      </c>
      <c r="Z29" s="6">
        <v>834</v>
      </c>
      <c r="AA29" s="6">
        <f>1971+1640</f>
        <v>3611</v>
      </c>
      <c r="AB29" s="27">
        <v>1204</v>
      </c>
      <c r="AC29" s="27">
        <v>898</v>
      </c>
      <c r="AD29" s="27">
        <v>403</v>
      </c>
      <c r="AE29" s="33">
        <f t="shared" si="6"/>
        <v>22595</v>
      </c>
      <c r="AF29" s="33"/>
      <c r="AG29" s="50">
        <v>3.2294999999999998</v>
      </c>
      <c r="AH29" s="33">
        <f t="shared" si="7"/>
        <v>72970.552499999991</v>
      </c>
      <c r="AI29" s="46">
        <f t="shared" si="8"/>
        <v>1.7568641342290137</v>
      </c>
      <c r="AJ29" s="46">
        <f t="shared" si="9"/>
        <v>351372.82684580272</v>
      </c>
      <c r="AK29" s="46">
        <f t="shared" si="10"/>
        <v>108800.99917813987</v>
      </c>
      <c r="AL29" s="46">
        <f t="shared" si="16"/>
        <v>36571.764429626848</v>
      </c>
      <c r="AM29" s="46">
        <f t="shared" si="11"/>
        <v>3047.647035802237</v>
      </c>
      <c r="AN29" s="51">
        <v>2687</v>
      </c>
      <c r="AP29" s="74">
        <f>საპენსიო!D25</f>
        <v>14.3</v>
      </c>
      <c r="AQ29" s="74">
        <f>შშმპ!D25</f>
        <v>9.5</v>
      </c>
      <c r="AR29" s="9">
        <f t="shared" si="12"/>
        <v>11.9</v>
      </c>
      <c r="AS29" s="9">
        <f t="shared" si="13"/>
        <v>2.9750000000000001</v>
      </c>
      <c r="AT29" s="9">
        <f t="shared" si="14"/>
        <v>35.700000000000003</v>
      </c>
      <c r="AU29" s="76">
        <f t="shared" si="17"/>
        <v>225.79831932773109</v>
      </c>
    </row>
    <row r="30" spans="1:48" ht="39.75" hidden="1" customHeight="1">
      <c r="A30" s="16">
        <v>30</v>
      </c>
      <c r="B30" s="16" t="s">
        <v>115</v>
      </c>
      <c r="C30" s="16" t="s">
        <v>116</v>
      </c>
      <c r="D30" s="20" t="s">
        <v>117</v>
      </c>
      <c r="E30" s="78">
        <f t="shared" si="18"/>
        <v>105.2</v>
      </c>
      <c r="F30" s="78">
        <f t="shared" si="19"/>
        <v>119.375</v>
      </c>
      <c r="G30" s="78">
        <f t="shared" si="4"/>
        <v>107.5</v>
      </c>
      <c r="H30" s="78">
        <f t="shared" si="5"/>
        <v>1125</v>
      </c>
      <c r="I30" s="6">
        <v>290</v>
      </c>
      <c r="J30" s="6">
        <v>46</v>
      </c>
      <c r="K30" s="6">
        <v>110</v>
      </c>
      <c r="L30" s="6">
        <v>131</v>
      </c>
      <c r="M30" s="6">
        <v>165</v>
      </c>
      <c r="N30" s="6">
        <f>74</f>
        <v>74</v>
      </c>
      <c r="O30" s="6">
        <v>0</v>
      </c>
      <c r="P30" s="6">
        <v>55</v>
      </c>
      <c r="Q30" s="6">
        <v>100</v>
      </c>
      <c r="R30" s="6">
        <v>400</v>
      </c>
      <c r="S30" s="6">
        <v>80</v>
      </c>
      <c r="T30" s="6">
        <v>90</v>
      </c>
      <c r="U30" s="6">
        <v>184</v>
      </c>
      <c r="V30" s="6">
        <v>46</v>
      </c>
      <c r="W30" s="6">
        <v>40</v>
      </c>
      <c r="X30" s="6">
        <v>120</v>
      </c>
      <c r="Y30" s="6">
        <v>203</v>
      </c>
      <c r="Z30" s="6">
        <v>67</v>
      </c>
      <c r="AA30" s="6">
        <v>1125</v>
      </c>
      <c r="AB30" s="32"/>
      <c r="AC30" s="32"/>
      <c r="AD30" s="32"/>
      <c r="AE30" s="54">
        <f t="shared" si="6"/>
        <v>3326</v>
      </c>
      <c r="AF30" s="54"/>
      <c r="AG30" s="32"/>
      <c r="AH30" s="54">
        <f t="shared" si="7"/>
        <v>0</v>
      </c>
      <c r="AI30" s="46">
        <f t="shared" si="8"/>
        <v>0</v>
      </c>
      <c r="AJ30" s="46">
        <f t="shared" si="9"/>
        <v>0</v>
      </c>
      <c r="AL30" s="46">
        <f t="shared" si="16"/>
        <v>0</v>
      </c>
      <c r="AM30" s="46">
        <f t="shared" si="11"/>
        <v>0</v>
      </c>
      <c r="AN30" s="32"/>
      <c r="AP30" s="74">
        <f>საპენსიო!D21</f>
        <v>30</v>
      </c>
      <c r="AQ30" s="74"/>
      <c r="AR30" s="9">
        <f t="shared" si="12"/>
        <v>30</v>
      </c>
      <c r="AS30" s="9">
        <f t="shared" si="13"/>
        <v>7.5</v>
      </c>
      <c r="AT30" s="9">
        <f t="shared" si="14"/>
        <v>90</v>
      </c>
      <c r="AU30" s="76">
        <f t="shared" si="17"/>
        <v>0</v>
      </c>
    </row>
    <row r="31" spans="1:48" ht="60.75" hidden="1" customHeight="1">
      <c r="A31" s="16">
        <v>31</v>
      </c>
      <c r="B31" s="16" t="s">
        <v>118</v>
      </c>
      <c r="C31" s="16" t="s">
        <v>119</v>
      </c>
      <c r="D31" s="20" t="s">
        <v>120</v>
      </c>
      <c r="E31" s="78">
        <f t="shared" si="18"/>
        <v>952.6</v>
      </c>
      <c r="F31" s="78">
        <f t="shared" si="19"/>
        <v>1313.125</v>
      </c>
      <c r="G31" s="78">
        <f t="shared" si="4"/>
        <v>1168.5</v>
      </c>
      <c r="H31" s="78">
        <f t="shared" si="5"/>
        <v>1485.5</v>
      </c>
      <c r="I31" s="6">
        <v>2050</v>
      </c>
      <c r="J31" s="6">
        <f>40+3+752</f>
        <v>795</v>
      </c>
      <c r="K31" s="6">
        <v>579</v>
      </c>
      <c r="L31" s="6">
        <f>52+45+1091+191</f>
        <v>1379</v>
      </c>
      <c r="M31" s="6">
        <v>1075</v>
      </c>
      <c r="N31" s="6">
        <f>12+393+530</f>
        <v>935</v>
      </c>
      <c r="O31" s="6">
        <v>1306</v>
      </c>
      <c r="P31" s="6">
        <v>1200</v>
      </c>
      <c r="Q31" s="6">
        <v>1273</v>
      </c>
      <c r="R31" s="6">
        <v>684</v>
      </c>
      <c r="S31" s="6">
        <v>1911</v>
      </c>
      <c r="T31" s="6">
        <v>1457</v>
      </c>
      <c r="U31" s="6">
        <v>1090</v>
      </c>
      <c r="V31" s="6">
        <v>1584</v>
      </c>
      <c r="W31" s="6">
        <v>2118</v>
      </c>
      <c r="X31" s="6">
        <v>1484</v>
      </c>
      <c r="Y31" s="6">
        <v>916</v>
      </c>
      <c r="Z31" s="6">
        <v>156</v>
      </c>
      <c r="AA31" s="6">
        <v>2685</v>
      </c>
      <c r="AB31" s="27">
        <v>854</v>
      </c>
      <c r="AC31" s="27">
        <v>1062</v>
      </c>
      <c r="AD31" s="27">
        <v>1341</v>
      </c>
      <c r="AE31" s="33">
        <f t="shared" si="6"/>
        <v>27934</v>
      </c>
      <c r="AF31" s="33"/>
      <c r="AG31" s="52">
        <v>30.998999999999999</v>
      </c>
      <c r="AH31" s="33">
        <f t="shared" si="7"/>
        <v>865926.06599999999</v>
      </c>
      <c r="AI31" s="46">
        <f t="shared" si="8"/>
        <v>20.848333966628878</v>
      </c>
      <c r="AJ31" s="46">
        <f t="shared" si="9"/>
        <v>4169666.7933257758</v>
      </c>
      <c r="AK31" s="46">
        <f t="shared" si="10"/>
        <v>134509.71945307191</v>
      </c>
      <c r="AL31" s="46">
        <f t="shared" si="16"/>
        <v>291234.75565687951</v>
      </c>
      <c r="AM31" s="46">
        <f t="shared" si="11"/>
        <v>24269.562971406627</v>
      </c>
      <c r="AN31" s="48">
        <v>5045</v>
      </c>
      <c r="AP31" s="74">
        <f>საპენსიო!D22</f>
        <v>1.9014925373134328</v>
      </c>
      <c r="AQ31" s="74">
        <f>შშმპ!D22</f>
        <v>1.7933884297520661</v>
      </c>
      <c r="AR31" s="9">
        <f t="shared" si="12"/>
        <v>1.8474404835327496</v>
      </c>
      <c r="AS31" s="9">
        <f t="shared" si="13"/>
        <v>0.4618601208831874</v>
      </c>
      <c r="AT31" s="9">
        <f t="shared" si="14"/>
        <v>5.5423214505982488</v>
      </c>
      <c r="AU31" s="76">
        <f t="shared" si="17"/>
        <v>2730.8051571722349</v>
      </c>
    </row>
    <row r="32" spans="1:48" ht="60.75" hidden="1" customHeight="1">
      <c r="A32" s="16">
        <v>32</v>
      </c>
      <c r="B32" s="16" t="s">
        <v>121</v>
      </c>
      <c r="C32" s="16" t="s">
        <v>122</v>
      </c>
      <c r="D32" s="20" t="s">
        <v>68</v>
      </c>
      <c r="E32" s="78"/>
      <c r="F32" s="78"/>
      <c r="G32" s="78" t="e">
        <f t="shared" si="4"/>
        <v>#DIV/0!</v>
      </c>
      <c r="H32" s="78">
        <f t="shared" si="5"/>
        <v>642.5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>
        <v>168</v>
      </c>
      <c r="AB32" s="27">
        <v>1752</v>
      </c>
      <c r="AC32" s="27">
        <v>472</v>
      </c>
      <c r="AD32" s="27">
        <v>178</v>
      </c>
      <c r="AE32" s="33">
        <f t="shared" si="6"/>
        <v>2570</v>
      </c>
      <c r="AF32" s="33"/>
      <c r="AG32" s="40">
        <v>25.76</v>
      </c>
      <c r="AH32" s="33">
        <f t="shared" si="7"/>
        <v>66203.199999999997</v>
      </c>
      <c r="AI32" s="46">
        <f t="shared" si="8"/>
        <v>1.5939310265081279</v>
      </c>
      <c r="AJ32" s="46">
        <f t="shared" si="9"/>
        <v>318786.2053016256</v>
      </c>
      <c r="AK32" s="46">
        <f t="shared" si="10"/>
        <v>12375.240889038259</v>
      </c>
      <c r="AN32" s="53">
        <v>4750</v>
      </c>
      <c r="AP32" s="74"/>
      <c r="AQ32" s="74"/>
      <c r="AR32" s="9"/>
      <c r="AS32" s="9">
        <f t="shared" si="13"/>
        <v>0</v>
      </c>
      <c r="AT32" s="9">
        <f t="shared" si="14"/>
        <v>0</v>
      </c>
      <c r="AU32" s="76"/>
    </row>
    <row r="33" spans="1:47" ht="48.75" hidden="1" customHeight="1">
      <c r="A33" s="16">
        <v>33</v>
      </c>
      <c r="B33" s="14" t="s">
        <v>123</v>
      </c>
      <c r="C33" s="14" t="s">
        <v>124</v>
      </c>
      <c r="D33" s="20" t="s">
        <v>47</v>
      </c>
      <c r="E33" s="78">
        <f>AVERAGE(J33:N33)</f>
        <v>401.4</v>
      </c>
      <c r="F33" s="78">
        <f>AVERAGE(O33:V33)</f>
        <v>514.5</v>
      </c>
      <c r="G33" s="78">
        <f t="shared" si="4"/>
        <v>882.75</v>
      </c>
      <c r="H33" s="78">
        <f t="shared" si="5"/>
        <v>838.25</v>
      </c>
      <c r="I33" s="6">
        <v>647</v>
      </c>
      <c r="J33" s="6">
        <f>118+269</f>
        <v>387</v>
      </c>
      <c r="K33" s="6">
        <f>20+54+196</f>
        <v>270</v>
      </c>
      <c r="L33" s="6">
        <f>254+23+229</f>
        <v>506</v>
      </c>
      <c r="M33" s="6">
        <f>90+362</f>
        <v>452</v>
      </c>
      <c r="N33" s="6">
        <f>215+143+8+26</f>
        <v>392</v>
      </c>
      <c r="O33" s="6">
        <v>422</v>
      </c>
      <c r="P33" s="6">
        <v>557</v>
      </c>
      <c r="Q33" s="6">
        <v>504</v>
      </c>
      <c r="R33" s="6">
        <v>431</v>
      </c>
      <c r="S33" s="6">
        <v>653</v>
      </c>
      <c r="T33" s="6">
        <v>459</v>
      </c>
      <c r="U33" s="6">
        <v>534</v>
      </c>
      <c r="V33" s="6">
        <v>556</v>
      </c>
      <c r="W33" s="6">
        <v>849</v>
      </c>
      <c r="X33" s="6">
        <v>896</v>
      </c>
      <c r="Y33" s="6">
        <v>844</v>
      </c>
      <c r="Z33" s="6">
        <v>942</v>
      </c>
      <c r="AA33" s="6">
        <v>956</v>
      </c>
      <c r="AB33" s="27">
        <v>888</v>
      </c>
      <c r="AC33" s="27">
        <v>844</v>
      </c>
      <c r="AD33" s="27">
        <v>665</v>
      </c>
      <c r="AE33" s="33">
        <f t="shared" si="6"/>
        <v>13654</v>
      </c>
      <c r="AF33" s="33"/>
      <c r="AG33" s="43">
        <v>4.8</v>
      </c>
      <c r="AH33" s="33">
        <f t="shared" si="7"/>
        <v>65539.199999999997</v>
      </c>
      <c r="AI33" s="46">
        <f t="shared" si="8"/>
        <v>1.5779443339977752</v>
      </c>
      <c r="AJ33" s="46">
        <f t="shared" si="9"/>
        <v>315588.86679955502</v>
      </c>
      <c r="AK33" s="46">
        <f>AJ33/AG33</f>
        <v>65747.680583240639</v>
      </c>
      <c r="AL33" s="46">
        <f t="shared" ref="AL33:AL41" si="20">AK33/AS33</f>
        <v>131494.49337641359</v>
      </c>
      <c r="AM33" s="46">
        <f t="shared" si="11"/>
        <v>10957.874448034465</v>
      </c>
      <c r="AN33" s="48">
        <v>2015</v>
      </c>
      <c r="AP33" s="74">
        <f>საპენსიო!D23</f>
        <v>1.9255583126550868</v>
      </c>
      <c r="AQ33" s="74">
        <f>შშმპ!D23</f>
        <v>2.0744680851063828</v>
      </c>
      <c r="AR33" s="9">
        <f t="shared" si="12"/>
        <v>2.000013198880735</v>
      </c>
      <c r="AS33" s="9">
        <f t="shared" si="13"/>
        <v>0.50000329972018376</v>
      </c>
      <c r="AT33" s="9">
        <f t="shared" si="14"/>
        <v>6.0000395966422051</v>
      </c>
      <c r="AU33" s="76">
        <f t="shared" ref="AU33:AU41" si="21">AN33/AR33</f>
        <v>1007.4933511077087</v>
      </c>
    </row>
    <row r="34" spans="1:47" ht="85.5" hidden="1" customHeight="1">
      <c r="A34" s="16">
        <v>34</v>
      </c>
      <c r="B34" s="16" t="s">
        <v>125</v>
      </c>
      <c r="C34" s="16" t="s">
        <v>126</v>
      </c>
      <c r="D34" s="20" t="s">
        <v>106</v>
      </c>
      <c r="E34" s="78">
        <f>AVERAGE(J34:N34)</f>
        <v>53.2</v>
      </c>
      <c r="F34" s="78">
        <f>AVERAGE(O34:V34)</f>
        <v>113.75</v>
      </c>
      <c r="G34" s="78">
        <f t="shared" si="4"/>
        <v>252.5</v>
      </c>
      <c r="H34" s="78">
        <f t="shared" si="5"/>
        <v>310.5</v>
      </c>
      <c r="I34" s="6">
        <v>0</v>
      </c>
      <c r="J34" s="6">
        <v>10</v>
      </c>
      <c r="K34" s="6">
        <v>41</v>
      </c>
      <c r="L34" s="6">
        <v>62</v>
      </c>
      <c r="M34" s="6">
        <v>65</v>
      </c>
      <c r="N34" s="6">
        <v>88</v>
      </c>
      <c r="O34" s="6">
        <v>84</v>
      </c>
      <c r="P34" s="6">
        <v>83</v>
      </c>
      <c r="Q34" s="6">
        <v>104</v>
      </c>
      <c r="R34" s="6">
        <v>114</v>
      </c>
      <c r="S34" s="6">
        <v>141</v>
      </c>
      <c r="T34" s="6">
        <v>142</v>
      </c>
      <c r="U34" s="6">
        <v>104</v>
      </c>
      <c r="V34" s="6">
        <v>138</v>
      </c>
      <c r="W34" s="6">
        <v>190</v>
      </c>
      <c r="X34" s="6">
        <v>242</v>
      </c>
      <c r="Y34" s="6">
        <v>258</v>
      </c>
      <c r="Z34" s="6">
        <v>320</v>
      </c>
      <c r="AA34" s="6">
        <v>340</v>
      </c>
      <c r="AB34" s="27">
        <v>282</v>
      </c>
      <c r="AC34" s="27">
        <v>338</v>
      </c>
      <c r="AD34" s="27">
        <v>282</v>
      </c>
      <c r="AE34" s="33">
        <f t="shared" si="6"/>
        <v>3428</v>
      </c>
      <c r="AF34" s="33"/>
      <c r="AG34" s="40">
        <v>79.558000000000007</v>
      </c>
      <c r="AH34" s="33">
        <f t="shared" si="7"/>
        <v>272724.82400000002</v>
      </c>
      <c r="AI34" s="46">
        <f t="shared" si="8"/>
        <v>6.5662167187170493</v>
      </c>
      <c r="AJ34" s="46">
        <f t="shared" si="9"/>
        <v>1313243.3437434097</v>
      </c>
      <c r="AK34" s="46">
        <f t="shared" si="10"/>
        <v>16506.741543822238</v>
      </c>
      <c r="AL34" s="46">
        <f t="shared" si="20"/>
        <v>31818.9425198024</v>
      </c>
      <c r="AM34" s="46">
        <f t="shared" si="11"/>
        <v>2651.5785433168667</v>
      </c>
      <c r="AN34" s="48">
        <v>2530</v>
      </c>
      <c r="AP34" s="74">
        <f>საპენსიო!D26</f>
        <v>2.034782608695652</v>
      </c>
      <c r="AQ34" s="74">
        <f>შშმპ!D24</f>
        <v>2.1153846153846154</v>
      </c>
      <c r="AR34" s="9">
        <f t="shared" si="12"/>
        <v>2.0750836120401335</v>
      </c>
      <c r="AS34" s="9">
        <f t="shared" si="13"/>
        <v>0.51877090301003337</v>
      </c>
      <c r="AT34" s="9">
        <f t="shared" si="14"/>
        <v>6.2252508361204004</v>
      </c>
      <c r="AU34" s="76">
        <f t="shared" si="21"/>
        <v>1219.2279796921591</v>
      </c>
    </row>
    <row r="35" spans="1:47" ht="45" hidden="1" customHeight="1">
      <c r="A35" s="16">
        <v>35</v>
      </c>
      <c r="B35" s="16" t="s">
        <v>127</v>
      </c>
      <c r="C35" s="16" t="s">
        <v>128</v>
      </c>
      <c r="D35" s="20" t="s">
        <v>129</v>
      </c>
      <c r="E35" s="78">
        <f>AVERAGE(J35:N35)</f>
        <v>458.2</v>
      </c>
      <c r="F35" s="78">
        <f>AVERAGE(O35:V35)</f>
        <v>496.5</v>
      </c>
      <c r="G35" s="78">
        <f t="shared" si="4"/>
        <v>733</v>
      </c>
      <c r="H35" s="78">
        <f t="shared" si="5"/>
        <v>713</v>
      </c>
      <c r="I35" s="6">
        <v>401</v>
      </c>
      <c r="J35" s="6">
        <f>101+62</f>
        <v>163</v>
      </c>
      <c r="K35" s="6">
        <f>18+30+176</f>
        <v>224</v>
      </c>
      <c r="L35" s="6">
        <f>25+8+1017</f>
        <v>1050</v>
      </c>
      <c r="M35" s="6">
        <v>539</v>
      </c>
      <c r="N35" s="6">
        <v>315</v>
      </c>
      <c r="O35" s="6">
        <v>419</v>
      </c>
      <c r="P35" s="6">
        <v>564</v>
      </c>
      <c r="Q35" s="6">
        <v>377</v>
      </c>
      <c r="R35" s="6">
        <v>511</v>
      </c>
      <c r="S35" s="6">
        <v>477</v>
      </c>
      <c r="T35" s="6">
        <v>435</v>
      </c>
      <c r="U35" s="6">
        <v>530</v>
      </c>
      <c r="V35" s="6">
        <v>659</v>
      </c>
      <c r="W35" s="6">
        <v>515</v>
      </c>
      <c r="X35" s="6">
        <v>837</v>
      </c>
      <c r="Y35" s="6">
        <v>827</v>
      </c>
      <c r="Z35" s="6">
        <v>753</v>
      </c>
      <c r="AA35" s="6">
        <v>1084</v>
      </c>
      <c r="AB35" s="27">
        <v>482</v>
      </c>
      <c r="AC35" s="27">
        <v>611</v>
      </c>
      <c r="AD35" s="27">
        <v>675</v>
      </c>
      <c r="AE35" s="33">
        <f t="shared" si="6"/>
        <v>12448</v>
      </c>
      <c r="AF35" s="33"/>
      <c r="AG35" s="41">
        <v>0.36980000000000002</v>
      </c>
      <c r="AH35" s="33">
        <f t="shared" si="7"/>
        <v>4603.2704000000003</v>
      </c>
      <c r="AI35" s="46">
        <f t="shared" si="8"/>
        <v>0.11082992232953214</v>
      </c>
      <c r="AJ35" s="46">
        <f t="shared" si="9"/>
        <v>22165.984465906429</v>
      </c>
      <c r="AK35" s="46">
        <f t="shared" si="10"/>
        <v>59940.466376166652</v>
      </c>
      <c r="AL35" s="46">
        <f t="shared" si="20"/>
        <v>16836.977818572112</v>
      </c>
      <c r="AM35" s="46">
        <f t="shared" si="11"/>
        <v>1403.0814848810094</v>
      </c>
      <c r="AN35" s="48">
        <v>8533</v>
      </c>
      <c r="AP35" s="74">
        <f>საპენსიო!D24</f>
        <v>14.980392156862745</v>
      </c>
      <c r="AQ35" s="74">
        <f>შშმპ!D21</f>
        <v>13.5</v>
      </c>
      <c r="AR35" s="9">
        <f t="shared" si="12"/>
        <v>14.240196078431373</v>
      </c>
      <c r="AS35" s="9">
        <f t="shared" si="13"/>
        <v>3.5600490196078431</v>
      </c>
      <c r="AT35" s="9">
        <f t="shared" si="14"/>
        <v>42.720588235294116</v>
      </c>
      <c r="AU35" s="76">
        <f t="shared" si="21"/>
        <v>599.21927710843374</v>
      </c>
    </row>
    <row r="36" spans="1:47" ht="24.75" hidden="1">
      <c r="A36" s="16">
        <v>36</v>
      </c>
      <c r="B36" s="24" t="s">
        <v>130</v>
      </c>
      <c r="C36" s="7" t="s">
        <v>131</v>
      </c>
      <c r="D36" s="8" t="s">
        <v>89</v>
      </c>
      <c r="E36" s="78"/>
      <c r="F36" s="78"/>
      <c r="G36" s="78">
        <f t="shared" si="4"/>
        <v>12111</v>
      </c>
      <c r="H36" s="78">
        <f t="shared" si="5"/>
        <v>40549.5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6">
        <v>12111</v>
      </c>
      <c r="AA36" s="6">
        <v>37545</v>
      </c>
      <c r="AB36" s="27">
        <v>37213</v>
      </c>
      <c r="AC36" s="27">
        <v>44342</v>
      </c>
      <c r="AD36" s="27">
        <v>43098</v>
      </c>
      <c r="AE36" s="33">
        <f t="shared" si="6"/>
        <v>174309</v>
      </c>
      <c r="AF36" s="33"/>
      <c r="AG36" s="43">
        <v>0.57999999999999996</v>
      </c>
      <c r="AH36" s="33">
        <f t="shared" si="7"/>
        <v>101099.21999999999</v>
      </c>
      <c r="AI36" s="46">
        <f t="shared" si="8"/>
        <v>2.4340996132176547</v>
      </c>
      <c r="AJ36" s="46">
        <f t="shared" si="9"/>
        <v>486819.92264353094</v>
      </c>
      <c r="AK36" s="46">
        <f t="shared" si="10"/>
        <v>839344.69421298441</v>
      </c>
      <c r="AL36" s="46">
        <f t="shared" si="20"/>
        <v>28187.520302096942</v>
      </c>
      <c r="AM36" s="46">
        <f t="shared" si="11"/>
        <v>2348.9600251747447</v>
      </c>
      <c r="AN36" s="48">
        <v>310319</v>
      </c>
      <c r="AP36" s="74">
        <f>საპენსიო!D34</f>
        <v>128.21739130434781</v>
      </c>
      <c r="AQ36" s="74">
        <f>შშმპ!D35</f>
        <v>110</v>
      </c>
      <c r="AR36" s="9">
        <f t="shared" si="12"/>
        <v>119.10869565217391</v>
      </c>
      <c r="AS36" s="9">
        <f t="shared" si="13"/>
        <v>29.777173913043477</v>
      </c>
      <c r="AT36" s="9">
        <f t="shared" si="14"/>
        <v>357.32608695652175</v>
      </c>
      <c r="AU36" s="76">
        <f t="shared" si="21"/>
        <v>2605.3429457930279</v>
      </c>
    </row>
    <row r="37" spans="1:47" ht="36.75" hidden="1">
      <c r="A37" s="16">
        <v>37</v>
      </c>
      <c r="B37" s="24" t="s">
        <v>132</v>
      </c>
      <c r="C37" s="7" t="s">
        <v>133</v>
      </c>
      <c r="D37" s="8" t="s">
        <v>106</v>
      </c>
      <c r="E37" s="78"/>
      <c r="F37" s="78"/>
      <c r="G37" s="78">
        <f t="shared" si="4"/>
        <v>2522</v>
      </c>
      <c r="H37" s="78">
        <f t="shared" si="5"/>
        <v>13491.75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6">
        <v>2522</v>
      </c>
      <c r="AA37" s="6">
        <v>11386</v>
      </c>
      <c r="AB37" s="27">
        <v>12128</v>
      </c>
      <c r="AC37" s="27">
        <v>16396</v>
      </c>
      <c r="AD37" s="27">
        <v>14057</v>
      </c>
      <c r="AE37" s="33">
        <f t="shared" si="6"/>
        <v>56489</v>
      </c>
      <c r="AF37" s="33"/>
      <c r="AG37" s="43">
        <v>0.39</v>
      </c>
      <c r="AH37" s="33">
        <f t="shared" si="7"/>
        <v>22030.71</v>
      </c>
      <c r="AI37" s="46">
        <f t="shared" si="8"/>
        <v>0.53041895565475505</v>
      </c>
      <c r="AJ37" s="46">
        <f t="shared" si="9"/>
        <v>106083.79113095101</v>
      </c>
      <c r="AK37" s="46">
        <f t="shared" si="10"/>
        <v>272009.72084859235</v>
      </c>
      <c r="AL37" s="46">
        <f t="shared" si="20"/>
        <v>8053.5816683521052</v>
      </c>
      <c r="AM37" s="46">
        <f t="shared" si="11"/>
        <v>671.13180569600888</v>
      </c>
      <c r="AN37" s="48">
        <v>194503</v>
      </c>
      <c r="AP37" s="74">
        <f>საპენსიო!D33</f>
        <v>170.2</v>
      </c>
      <c r="AQ37" s="74">
        <f>შშმპ!D34</f>
        <v>100</v>
      </c>
      <c r="AR37" s="9">
        <f t="shared" si="12"/>
        <v>135.1</v>
      </c>
      <c r="AS37" s="9">
        <f t="shared" si="13"/>
        <v>33.774999999999999</v>
      </c>
      <c r="AT37" s="9">
        <f t="shared" si="14"/>
        <v>405.29999999999995</v>
      </c>
      <c r="AU37" s="76">
        <f t="shared" si="21"/>
        <v>1439.696521095485</v>
      </c>
    </row>
    <row r="38" spans="1:47" ht="24.75" hidden="1">
      <c r="A38" s="16">
        <v>38</v>
      </c>
      <c r="B38" s="25" t="s">
        <v>134</v>
      </c>
      <c r="C38" s="7" t="s">
        <v>135</v>
      </c>
      <c r="D38" s="8" t="s">
        <v>136</v>
      </c>
      <c r="E38" s="78"/>
      <c r="F38" s="78"/>
      <c r="G38" s="78">
        <f t="shared" si="4"/>
        <v>2254</v>
      </c>
      <c r="H38" s="78">
        <f t="shared" si="5"/>
        <v>13798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6">
        <v>2254</v>
      </c>
      <c r="AA38" s="6">
        <v>9669</v>
      </c>
      <c r="AB38" s="27">
        <v>16679</v>
      </c>
      <c r="AC38" s="27">
        <v>15229</v>
      </c>
      <c r="AD38" s="27">
        <v>13615</v>
      </c>
      <c r="AE38" s="33">
        <f t="shared" si="6"/>
        <v>57446</v>
      </c>
      <c r="AF38" s="33"/>
      <c r="AG38" s="44">
        <v>0.70299999999999996</v>
      </c>
      <c r="AH38" s="33">
        <f t="shared" si="7"/>
        <v>40384.538</v>
      </c>
      <c r="AI38" s="46">
        <f t="shared" si="8"/>
        <v>0.97231203490762541</v>
      </c>
      <c r="AJ38" s="46">
        <f t="shared" si="9"/>
        <v>194462.4069815251</v>
      </c>
      <c r="AK38" s="46">
        <f t="shared" si="10"/>
        <v>276617.93311738991</v>
      </c>
      <c r="AL38" s="46">
        <f t="shared" si="20"/>
        <v>9069.4404300783572</v>
      </c>
      <c r="AM38" s="46">
        <f t="shared" si="11"/>
        <v>755.78670250652976</v>
      </c>
      <c r="AN38" s="48">
        <v>1841431</v>
      </c>
      <c r="AP38" s="74">
        <f>საპენსიო!D32</f>
        <v>30</v>
      </c>
      <c r="AQ38" s="74">
        <f>შშმპ!D33</f>
        <v>214</v>
      </c>
      <c r="AR38" s="9">
        <f t="shared" si="12"/>
        <v>122</v>
      </c>
      <c r="AS38" s="9">
        <f t="shared" si="13"/>
        <v>30.5</v>
      </c>
      <c r="AT38" s="9">
        <f t="shared" si="14"/>
        <v>366</v>
      </c>
      <c r="AU38" s="76">
        <f t="shared" si="21"/>
        <v>15093.696721311475</v>
      </c>
    </row>
    <row r="39" spans="1:47" hidden="1">
      <c r="A39" s="16">
        <v>39</v>
      </c>
      <c r="B39" s="25" t="s">
        <v>137</v>
      </c>
      <c r="C39" s="7" t="s">
        <v>138</v>
      </c>
      <c r="D39" s="8" t="s">
        <v>139</v>
      </c>
      <c r="E39" s="78"/>
      <c r="F39" s="78"/>
      <c r="G39" s="78">
        <f t="shared" si="4"/>
        <v>3581</v>
      </c>
      <c r="H39" s="78">
        <f t="shared" si="5"/>
        <v>34071.75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6">
        <v>3581</v>
      </c>
      <c r="AA39" s="6">
        <v>29394</v>
      </c>
      <c r="AB39" s="27">
        <v>42380</v>
      </c>
      <c r="AC39" s="27">
        <v>29080</v>
      </c>
      <c r="AD39" s="27">
        <v>35433</v>
      </c>
      <c r="AE39" s="33">
        <f t="shared" si="6"/>
        <v>139868</v>
      </c>
      <c r="AF39" s="33"/>
      <c r="AG39" s="41">
        <v>6.9599999999999995E-2</v>
      </c>
      <c r="AH39" s="33">
        <f t="shared" si="7"/>
        <v>9734.8127999999997</v>
      </c>
      <c r="AI39" s="46">
        <f t="shared" si="8"/>
        <v>0.23437870313169851</v>
      </c>
      <c r="AJ39" s="46">
        <f t="shared" si="9"/>
        <v>46875.740626339699</v>
      </c>
      <c r="AK39" s="46">
        <f t="shared" si="10"/>
        <v>673502.02049338655</v>
      </c>
      <c r="AL39" s="46">
        <f t="shared" si="20"/>
        <v>8379.4963669472672</v>
      </c>
      <c r="AM39" s="46">
        <f t="shared" si="11"/>
        <v>698.29136391227223</v>
      </c>
      <c r="AN39" s="48">
        <v>948766</v>
      </c>
      <c r="AP39" s="74">
        <f>საპენსიო!D36</f>
        <v>275</v>
      </c>
      <c r="AQ39" s="74">
        <f>შშმპ!D37</f>
        <v>368</v>
      </c>
      <c r="AR39" s="9">
        <f t="shared" si="12"/>
        <v>321.5</v>
      </c>
      <c r="AS39" s="9">
        <f t="shared" si="13"/>
        <v>80.375</v>
      </c>
      <c r="AT39" s="9">
        <f t="shared" si="14"/>
        <v>964.5</v>
      </c>
      <c r="AU39" s="76">
        <f t="shared" si="21"/>
        <v>2951.0606531881804</v>
      </c>
    </row>
    <row r="40" spans="1:47" ht="24.75" hidden="1">
      <c r="A40" s="16">
        <v>40</v>
      </c>
      <c r="B40" s="24" t="s">
        <v>140</v>
      </c>
      <c r="C40" s="7" t="s">
        <v>141</v>
      </c>
      <c r="D40" s="8" t="s">
        <v>142</v>
      </c>
      <c r="E40" s="78"/>
      <c r="F40" s="78"/>
      <c r="G40" s="78">
        <f t="shared" si="4"/>
        <v>92</v>
      </c>
      <c r="H40" s="78">
        <f t="shared" si="5"/>
        <v>5311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6">
        <v>92</v>
      </c>
      <c r="AA40" s="6">
        <v>5662</v>
      </c>
      <c r="AB40" s="27">
        <v>3330</v>
      </c>
      <c r="AC40" s="27">
        <v>4580</v>
      </c>
      <c r="AD40" s="27">
        <v>7672</v>
      </c>
      <c r="AE40" s="33">
        <f t="shared" si="6"/>
        <v>21336</v>
      </c>
      <c r="AF40" s="33"/>
      <c r="AG40" s="41">
        <f>0.0653*3.0274</f>
        <v>0.19768922</v>
      </c>
      <c r="AH40" s="33">
        <f t="shared" si="7"/>
        <v>4217.8971979199996</v>
      </c>
      <c r="AI40" s="46">
        <f t="shared" si="8"/>
        <v>0.10155154449311185</v>
      </c>
      <c r="AJ40" s="46">
        <f t="shared" si="9"/>
        <v>20310.30889862237</v>
      </c>
      <c r="AK40" s="46">
        <f t="shared" si="10"/>
        <v>102738.57572315967</v>
      </c>
      <c r="AL40" s="46">
        <f t="shared" si="20"/>
        <v>4466.8945966591155</v>
      </c>
      <c r="AM40" s="46">
        <f t="shared" si="11"/>
        <v>372.24121638825966</v>
      </c>
      <c r="AN40" s="48">
        <v>235752</v>
      </c>
      <c r="AP40" s="74"/>
      <c r="AQ40" s="74">
        <f>შშმპ!D29</f>
        <v>92</v>
      </c>
      <c r="AR40" s="9">
        <f t="shared" si="12"/>
        <v>92</v>
      </c>
      <c r="AS40" s="9">
        <f t="shared" si="13"/>
        <v>23</v>
      </c>
      <c r="AT40" s="9">
        <f t="shared" si="14"/>
        <v>276</v>
      </c>
      <c r="AU40" s="76">
        <f t="shared" si="21"/>
        <v>2562.521739130435</v>
      </c>
    </row>
    <row r="41" spans="1:47" ht="24.75" hidden="1">
      <c r="A41" s="16">
        <v>41</v>
      </c>
      <c r="B41" s="24" t="s">
        <v>143</v>
      </c>
      <c r="C41" s="7" t="s">
        <v>144</v>
      </c>
      <c r="D41" s="8" t="s">
        <v>106</v>
      </c>
      <c r="E41" s="78"/>
      <c r="F41" s="78"/>
      <c r="G41" s="78">
        <f t="shared" si="4"/>
        <v>276</v>
      </c>
      <c r="H41" s="78">
        <f t="shared" si="5"/>
        <v>13475.5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6">
        <v>276</v>
      </c>
      <c r="AA41" s="6">
        <v>11673</v>
      </c>
      <c r="AB41" s="27">
        <v>12009</v>
      </c>
      <c r="AC41" s="27">
        <v>11266</v>
      </c>
      <c r="AD41" s="27">
        <v>18954</v>
      </c>
      <c r="AE41" s="33">
        <f t="shared" si="6"/>
        <v>54178</v>
      </c>
      <c r="AF41" s="33"/>
      <c r="AG41" s="41">
        <f>0.0911*3.0274</f>
        <v>0.27579614000000002</v>
      </c>
      <c r="AH41" s="33">
        <f t="shared" si="7"/>
        <v>14942.083272920001</v>
      </c>
      <c r="AI41" s="46">
        <f t="shared" si="8"/>
        <v>0.35975073907870475</v>
      </c>
      <c r="AJ41" s="46">
        <f t="shared" si="9"/>
        <v>71950.147815740944</v>
      </c>
      <c r="AK41" s="46">
        <f t="shared" si="10"/>
        <v>260881.63458611473</v>
      </c>
      <c r="AL41" s="46">
        <f t="shared" si="20"/>
        <v>11594.739314938432</v>
      </c>
      <c r="AM41" s="46">
        <f t="shared" si="11"/>
        <v>966.22827624486933</v>
      </c>
      <c r="AN41" s="48">
        <v>1175322</v>
      </c>
      <c r="AP41" s="74"/>
      <c r="AQ41" s="74">
        <f>შშმპ!D30</f>
        <v>90</v>
      </c>
      <c r="AR41" s="9">
        <f t="shared" si="12"/>
        <v>90</v>
      </c>
      <c r="AS41" s="9">
        <f t="shared" si="13"/>
        <v>22.5</v>
      </c>
      <c r="AT41" s="9">
        <f t="shared" si="14"/>
        <v>270</v>
      </c>
      <c r="AU41" s="76">
        <f t="shared" si="21"/>
        <v>13059.133333333333</v>
      </c>
    </row>
    <row r="42" spans="1:47" hidden="1">
      <c r="A42" s="16">
        <v>42</v>
      </c>
      <c r="B42" s="25" t="s">
        <v>145</v>
      </c>
      <c r="C42" s="7" t="s">
        <v>146</v>
      </c>
      <c r="D42" s="8" t="s">
        <v>147</v>
      </c>
      <c r="E42" s="78"/>
      <c r="F42" s="78"/>
      <c r="G42" s="78"/>
      <c r="H42" s="78">
        <f t="shared" si="5"/>
        <v>2032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6"/>
      <c r="AA42" s="6">
        <v>1803</v>
      </c>
      <c r="AB42" s="27">
        <v>1784</v>
      </c>
      <c r="AC42" s="27">
        <v>1724</v>
      </c>
      <c r="AD42" s="27">
        <v>2817</v>
      </c>
      <c r="AE42" s="33">
        <f t="shared" si="6"/>
        <v>8128</v>
      </c>
      <c r="AF42" s="33"/>
      <c r="AG42" s="41">
        <v>1.0943000000000001</v>
      </c>
      <c r="AH42" s="33">
        <f t="shared" si="7"/>
        <v>8894.4704000000002</v>
      </c>
      <c r="AI42" s="46">
        <f t="shared" si="8"/>
        <v>0.21414633031210215</v>
      </c>
      <c r="AJ42" s="46">
        <f t="shared" si="9"/>
        <v>42829.266062420429</v>
      </c>
      <c r="AK42" s="46">
        <f t="shared" si="10"/>
        <v>39138.505037394156</v>
      </c>
      <c r="AN42" s="48">
        <v>449555</v>
      </c>
      <c r="AP42" s="74"/>
      <c r="AQ42" s="74"/>
      <c r="AR42" s="9"/>
      <c r="AS42" s="9">
        <f t="shared" si="13"/>
        <v>0</v>
      </c>
      <c r="AT42" s="9">
        <f t="shared" si="14"/>
        <v>0</v>
      </c>
      <c r="AU42" s="76"/>
    </row>
    <row r="43" spans="1:47" hidden="1">
      <c r="A43" s="16">
        <v>43</v>
      </c>
      <c r="B43" s="25" t="s">
        <v>148</v>
      </c>
      <c r="C43" s="7" t="s">
        <v>149</v>
      </c>
      <c r="D43" s="8" t="s">
        <v>150</v>
      </c>
      <c r="E43" s="78"/>
      <c r="F43" s="78"/>
      <c r="G43" s="78">
        <f t="shared" si="4"/>
        <v>990</v>
      </c>
      <c r="H43" s="78">
        <f t="shared" si="5"/>
        <v>6296.5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6">
        <v>990</v>
      </c>
      <c r="AA43" s="6">
        <v>2878</v>
      </c>
      <c r="AB43" s="27">
        <v>5373</v>
      </c>
      <c r="AC43" s="27">
        <v>6512</v>
      </c>
      <c r="AD43" s="27">
        <v>10423</v>
      </c>
      <c r="AE43" s="33">
        <f t="shared" si="6"/>
        <v>26176</v>
      </c>
      <c r="AF43" s="33"/>
      <c r="AG43" s="43">
        <v>0.37</v>
      </c>
      <c r="AH43" s="33">
        <f t="shared" si="7"/>
        <v>9685.119999999999</v>
      </c>
      <c r="AI43" s="46">
        <f t="shared" si="8"/>
        <v>0.23318228217751405</v>
      </c>
      <c r="AJ43" s="46">
        <f t="shared" si="9"/>
        <v>46636.456435502812</v>
      </c>
      <c r="AK43" s="46">
        <f>AJ43/AG43</f>
        <v>126044.4768527103</v>
      </c>
      <c r="AL43" s="46">
        <f>AK43/AS43</f>
        <v>3734.6511660062311</v>
      </c>
      <c r="AM43" s="46">
        <f t="shared" si="11"/>
        <v>311.22093050051927</v>
      </c>
      <c r="AN43" s="48">
        <v>165836</v>
      </c>
      <c r="AP43" s="74"/>
      <c r="AQ43" s="74">
        <f>შშმპ!D32</f>
        <v>135</v>
      </c>
      <c r="AR43" s="9">
        <f t="shared" si="12"/>
        <v>135</v>
      </c>
      <c r="AS43" s="9">
        <f t="shared" si="13"/>
        <v>33.75</v>
      </c>
      <c r="AT43" s="9">
        <f t="shared" si="14"/>
        <v>405</v>
      </c>
      <c r="AU43" s="76">
        <f>AN43/AR43</f>
        <v>1228.4148148148149</v>
      </c>
    </row>
    <row r="44" spans="1:47" hidden="1">
      <c r="E44" s="78"/>
      <c r="F44" s="80"/>
      <c r="G44" s="80"/>
      <c r="H44" s="80"/>
      <c r="AB44" s="30"/>
      <c r="AC44" s="30"/>
      <c r="AD44" s="30"/>
      <c r="AE44" s="76">
        <f>SUM(AE2:AE43)</f>
        <v>28656834</v>
      </c>
      <c r="AH44" s="33">
        <f>SUM(AH2:AH43)</f>
        <v>4153454.5033001406</v>
      </c>
      <c r="AJ44" s="46">
        <v>20000000</v>
      </c>
      <c r="AM44" s="46">
        <f>SUM(AM2:AM43)</f>
        <v>529846.14803571731</v>
      </c>
    </row>
  </sheetData>
  <mergeCells count="1">
    <mergeCell ref="A2:A3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45"/>
  <sheetViews>
    <sheetView workbookViewId="0">
      <selection activeCell="E1" sqref="E1:H1"/>
    </sheetView>
  </sheetViews>
  <sheetFormatPr defaultRowHeight="15"/>
  <cols>
    <col min="1" max="1" width="4" style="2" customWidth="1"/>
    <col min="2" max="2" width="24.42578125" style="2" customWidth="1"/>
    <col min="3" max="3" width="19.85546875" style="2" hidden="1" customWidth="1"/>
    <col min="4" max="4" width="9.28515625" style="2" hidden="1" customWidth="1"/>
    <col min="5" max="8" width="11.85546875" style="79" customWidth="1"/>
    <col min="9" max="9" width="8.28515625" style="2" hidden="1" customWidth="1"/>
    <col min="10" max="10" width="0" style="2" hidden="1" customWidth="1"/>
    <col min="11" max="13" width="7.5703125" style="2" hidden="1" customWidth="1"/>
    <col min="14" max="14" width="10.28515625" style="2" hidden="1" customWidth="1"/>
    <col min="15" max="15" width="10.5703125" style="2" hidden="1" customWidth="1"/>
    <col min="16" max="16" width="11.140625" style="2" hidden="1" customWidth="1"/>
    <col min="17" max="17" width="10.42578125" style="2" hidden="1" customWidth="1"/>
    <col min="18" max="25" width="11" style="2" hidden="1" customWidth="1"/>
    <col min="26" max="27" width="11" style="3" hidden="1" customWidth="1"/>
    <col min="28" max="28" width="8.28515625" style="31" hidden="1" customWidth="1"/>
    <col min="29" max="29" width="9.85546875" style="31" hidden="1" customWidth="1"/>
    <col min="30" max="30" width="9.28515625" style="31" hidden="1" customWidth="1"/>
    <col min="31" max="32" width="15.28515625" style="2" hidden="1" customWidth="1"/>
    <col min="33" max="33" width="12.5703125" style="45" hidden="1" customWidth="1"/>
    <col min="34" max="34" width="20.7109375" style="33" hidden="1" customWidth="1"/>
    <col min="35" max="39" width="20.7109375" style="46" hidden="1" customWidth="1"/>
    <col min="40" max="40" width="12.42578125" style="49" hidden="1" customWidth="1"/>
    <col min="41" max="41" width="38.5703125" style="2" hidden="1" customWidth="1"/>
    <col min="42" max="42" width="0" style="73" hidden="1" customWidth="1"/>
    <col min="43" max="46" width="0" style="2" hidden="1" customWidth="1"/>
    <col min="47" max="47" width="13.140625" style="2" hidden="1" customWidth="1"/>
    <col min="48" max="48" width="16.7109375" style="2" hidden="1" customWidth="1"/>
    <col min="49" max="65" width="0" style="2" hidden="1" customWidth="1"/>
    <col min="66" max="260" width="9.140625" style="2"/>
    <col min="261" max="261" width="4" style="2" customWidth="1"/>
    <col min="262" max="262" width="24.42578125" style="2" customWidth="1"/>
    <col min="263" max="263" width="19.85546875" style="2" customWidth="1"/>
    <col min="264" max="264" width="9.28515625" style="2" customWidth="1"/>
    <col min="265" max="265" width="10" style="2" customWidth="1"/>
    <col min="266" max="266" width="8.42578125" style="2" customWidth="1"/>
    <col min="267" max="267" width="12.28515625" style="2" customWidth="1"/>
    <col min="268" max="268" width="7.5703125" style="2" customWidth="1"/>
    <col min="269" max="269" width="7.85546875" style="2" customWidth="1"/>
    <col min="270" max="270" width="8.28515625" style="2" customWidth="1"/>
    <col min="271" max="271" width="9.140625" style="2"/>
    <col min="272" max="274" width="7.5703125" style="2" customWidth="1"/>
    <col min="275" max="275" width="10.28515625" style="2" customWidth="1"/>
    <col min="276" max="276" width="10.5703125" style="2" customWidth="1"/>
    <col min="277" max="277" width="11.140625" style="2" customWidth="1"/>
    <col min="278" max="278" width="10.42578125" style="2" customWidth="1"/>
    <col min="279" max="288" width="11" style="2" customWidth="1"/>
    <col min="289" max="289" width="9.140625" style="2" customWidth="1"/>
    <col min="290" max="290" width="6.85546875" style="2" customWidth="1"/>
    <col min="291" max="291" width="15" style="2" bestFit="1" customWidth="1"/>
    <col min="292" max="516" width="9.140625" style="2"/>
    <col min="517" max="517" width="4" style="2" customWidth="1"/>
    <col min="518" max="518" width="24.42578125" style="2" customWidth="1"/>
    <col min="519" max="519" width="19.85546875" style="2" customWidth="1"/>
    <col min="520" max="520" width="9.28515625" style="2" customWidth="1"/>
    <col min="521" max="521" width="10" style="2" customWidth="1"/>
    <col min="522" max="522" width="8.42578125" style="2" customWidth="1"/>
    <col min="523" max="523" width="12.28515625" style="2" customWidth="1"/>
    <col min="524" max="524" width="7.5703125" style="2" customWidth="1"/>
    <col min="525" max="525" width="7.85546875" style="2" customWidth="1"/>
    <col min="526" max="526" width="8.28515625" style="2" customWidth="1"/>
    <col min="527" max="527" width="9.140625" style="2"/>
    <col min="528" max="530" width="7.5703125" style="2" customWidth="1"/>
    <col min="531" max="531" width="10.28515625" style="2" customWidth="1"/>
    <col min="532" max="532" width="10.5703125" style="2" customWidth="1"/>
    <col min="533" max="533" width="11.140625" style="2" customWidth="1"/>
    <col min="534" max="534" width="10.42578125" style="2" customWidth="1"/>
    <col min="535" max="544" width="11" style="2" customWidth="1"/>
    <col min="545" max="545" width="9.140625" style="2" customWidth="1"/>
    <col min="546" max="546" width="6.85546875" style="2" customWidth="1"/>
    <col min="547" max="547" width="15" style="2" bestFit="1" customWidth="1"/>
    <col min="548" max="772" width="9.140625" style="2"/>
    <col min="773" max="773" width="4" style="2" customWidth="1"/>
    <col min="774" max="774" width="24.42578125" style="2" customWidth="1"/>
    <col min="775" max="775" width="19.85546875" style="2" customWidth="1"/>
    <col min="776" max="776" width="9.28515625" style="2" customWidth="1"/>
    <col min="777" max="777" width="10" style="2" customWidth="1"/>
    <col min="778" max="778" width="8.42578125" style="2" customWidth="1"/>
    <col min="779" max="779" width="12.28515625" style="2" customWidth="1"/>
    <col min="780" max="780" width="7.5703125" style="2" customWidth="1"/>
    <col min="781" max="781" width="7.85546875" style="2" customWidth="1"/>
    <col min="782" max="782" width="8.28515625" style="2" customWidth="1"/>
    <col min="783" max="783" width="9.140625" style="2"/>
    <col min="784" max="786" width="7.5703125" style="2" customWidth="1"/>
    <col min="787" max="787" width="10.28515625" style="2" customWidth="1"/>
    <col min="788" max="788" width="10.5703125" style="2" customWidth="1"/>
    <col min="789" max="789" width="11.140625" style="2" customWidth="1"/>
    <col min="790" max="790" width="10.42578125" style="2" customWidth="1"/>
    <col min="791" max="800" width="11" style="2" customWidth="1"/>
    <col min="801" max="801" width="9.140625" style="2" customWidth="1"/>
    <col min="802" max="802" width="6.85546875" style="2" customWidth="1"/>
    <col min="803" max="803" width="15" style="2" bestFit="1" customWidth="1"/>
    <col min="804" max="1028" width="9.140625" style="2"/>
    <col min="1029" max="1029" width="4" style="2" customWidth="1"/>
    <col min="1030" max="1030" width="24.42578125" style="2" customWidth="1"/>
    <col min="1031" max="1031" width="19.85546875" style="2" customWidth="1"/>
    <col min="1032" max="1032" width="9.28515625" style="2" customWidth="1"/>
    <col min="1033" max="1033" width="10" style="2" customWidth="1"/>
    <col min="1034" max="1034" width="8.42578125" style="2" customWidth="1"/>
    <col min="1035" max="1035" width="12.28515625" style="2" customWidth="1"/>
    <col min="1036" max="1036" width="7.5703125" style="2" customWidth="1"/>
    <col min="1037" max="1037" width="7.85546875" style="2" customWidth="1"/>
    <col min="1038" max="1038" width="8.28515625" style="2" customWidth="1"/>
    <col min="1039" max="1039" width="9.140625" style="2"/>
    <col min="1040" max="1042" width="7.5703125" style="2" customWidth="1"/>
    <col min="1043" max="1043" width="10.28515625" style="2" customWidth="1"/>
    <col min="1044" max="1044" width="10.5703125" style="2" customWidth="1"/>
    <col min="1045" max="1045" width="11.140625" style="2" customWidth="1"/>
    <col min="1046" max="1046" width="10.42578125" style="2" customWidth="1"/>
    <col min="1047" max="1056" width="11" style="2" customWidth="1"/>
    <col min="1057" max="1057" width="9.140625" style="2" customWidth="1"/>
    <col min="1058" max="1058" width="6.85546875" style="2" customWidth="1"/>
    <col min="1059" max="1059" width="15" style="2" bestFit="1" customWidth="1"/>
    <col min="1060" max="1284" width="9.140625" style="2"/>
    <col min="1285" max="1285" width="4" style="2" customWidth="1"/>
    <col min="1286" max="1286" width="24.42578125" style="2" customWidth="1"/>
    <col min="1287" max="1287" width="19.85546875" style="2" customWidth="1"/>
    <col min="1288" max="1288" width="9.28515625" style="2" customWidth="1"/>
    <col min="1289" max="1289" width="10" style="2" customWidth="1"/>
    <col min="1290" max="1290" width="8.42578125" style="2" customWidth="1"/>
    <col min="1291" max="1291" width="12.28515625" style="2" customWidth="1"/>
    <col min="1292" max="1292" width="7.5703125" style="2" customWidth="1"/>
    <col min="1293" max="1293" width="7.85546875" style="2" customWidth="1"/>
    <col min="1294" max="1294" width="8.28515625" style="2" customWidth="1"/>
    <col min="1295" max="1295" width="9.140625" style="2"/>
    <col min="1296" max="1298" width="7.5703125" style="2" customWidth="1"/>
    <col min="1299" max="1299" width="10.28515625" style="2" customWidth="1"/>
    <col min="1300" max="1300" width="10.5703125" style="2" customWidth="1"/>
    <col min="1301" max="1301" width="11.140625" style="2" customWidth="1"/>
    <col min="1302" max="1302" width="10.42578125" style="2" customWidth="1"/>
    <col min="1303" max="1312" width="11" style="2" customWidth="1"/>
    <col min="1313" max="1313" width="9.140625" style="2" customWidth="1"/>
    <col min="1314" max="1314" width="6.85546875" style="2" customWidth="1"/>
    <col min="1315" max="1315" width="15" style="2" bestFit="1" customWidth="1"/>
    <col min="1316" max="1540" width="9.140625" style="2"/>
    <col min="1541" max="1541" width="4" style="2" customWidth="1"/>
    <col min="1542" max="1542" width="24.42578125" style="2" customWidth="1"/>
    <col min="1543" max="1543" width="19.85546875" style="2" customWidth="1"/>
    <col min="1544" max="1544" width="9.28515625" style="2" customWidth="1"/>
    <col min="1545" max="1545" width="10" style="2" customWidth="1"/>
    <col min="1546" max="1546" width="8.42578125" style="2" customWidth="1"/>
    <col min="1547" max="1547" width="12.28515625" style="2" customWidth="1"/>
    <col min="1548" max="1548" width="7.5703125" style="2" customWidth="1"/>
    <col min="1549" max="1549" width="7.85546875" style="2" customWidth="1"/>
    <col min="1550" max="1550" width="8.28515625" style="2" customWidth="1"/>
    <col min="1551" max="1551" width="9.140625" style="2"/>
    <col min="1552" max="1554" width="7.5703125" style="2" customWidth="1"/>
    <col min="1555" max="1555" width="10.28515625" style="2" customWidth="1"/>
    <col min="1556" max="1556" width="10.5703125" style="2" customWidth="1"/>
    <col min="1557" max="1557" width="11.140625" style="2" customWidth="1"/>
    <col min="1558" max="1558" width="10.42578125" style="2" customWidth="1"/>
    <col min="1559" max="1568" width="11" style="2" customWidth="1"/>
    <col min="1569" max="1569" width="9.140625" style="2" customWidth="1"/>
    <col min="1570" max="1570" width="6.85546875" style="2" customWidth="1"/>
    <col min="1571" max="1571" width="15" style="2" bestFit="1" customWidth="1"/>
    <col min="1572" max="1796" width="9.140625" style="2"/>
    <col min="1797" max="1797" width="4" style="2" customWidth="1"/>
    <col min="1798" max="1798" width="24.42578125" style="2" customWidth="1"/>
    <col min="1799" max="1799" width="19.85546875" style="2" customWidth="1"/>
    <col min="1800" max="1800" width="9.28515625" style="2" customWidth="1"/>
    <col min="1801" max="1801" width="10" style="2" customWidth="1"/>
    <col min="1802" max="1802" width="8.42578125" style="2" customWidth="1"/>
    <col min="1803" max="1803" width="12.28515625" style="2" customWidth="1"/>
    <col min="1804" max="1804" width="7.5703125" style="2" customWidth="1"/>
    <col min="1805" max="1805" width="7.85546875" style="2" customWidth="1"/>
    <col min="1806" max="1806" width="8.28515625" style="2" customWidth="1"/>
    <col min="1807" max="1807" width="9.140625" style="2"/>
    <col min="1808" max="1810" width="7.5703125" style="2" customWidth="1"/>
    <col min="1811" max="1811" width="10.28515625" style="2" customWidth="1"/>
    <col min="1812" max="1812" width="10.5703125" style="2" customWidth="1"/>
    <col min="1813" max="1813" width="11.140625" style="2" customWidth="1"/>
    <col min="1814" max="1814" width="10.42578125" style="2" customWidth="1"/>
    <col min="1815" max="1824" width="11" style="2" customWidth="1"/>
    <col min="1825" max="1825" width="9.140625" style="2" customWidth="1"/>
    <col min="1826" max="1826" width="6.85546875" style="2" customWidth="1"/>
    <col min="1827" max="1827" width="15" style="2" bestFit="1" customWidth="1"/>
    <col min="1828" max="2052" width="9.140625" style="2"/>
    <col min="2053" max="2053" width="4" style="2" customWidth="1"/>
    <col min="2054" max="2054" width="24.42578125" style="2" customWidth="1"/>
    <col min="2055" max="2055" width="19.85546875" style="2" customWidth="1"/>
    <col min="2056" max="2056" width="9.28515625" style="2" customWidth="1"/>
    <col min="2057" max="2057" width="10" style="2" customWidth="1"/>
    <col min="2058" max="2058" width="8.42578125" style="2" customWidth="1"/>
    <col min="2059" max="2059" width="12.28515625" style="2" customWidth="1"/>
    <col min="2060" max="2060" width="7.5703125" style="2" customWidth="1"/>
    <col min="2061" max="2061" width="7.85546875" style="2" customWidth="1"/>
    <col min="2062" max="2062" width="8.28515625" style="2" customWidth="1"/>
    <col min="2063" max="2063" width="9.140625" style="2"/>
    <col min="2064" max="2066" width="7.5703125" style="2" customWidth="1"/>
    <col min="2067" max="2067" width="10.28515625" style="2" customWidth="1"/>
    <col min="2068" max="2068" width="10.5703125" style="2" customWidth="1"/>
    <col min="2069" max="2069" width="11.140625" style="2" customWidth="1"/>
    <col min="2070" max="2070" width="10.42578125" style="2" customWidth="1"/>
    <col min="2071" max="2080" width="11" style="2" customWidth="1"/>
    <col min="2081" max="2081" width="9.140625" style="2" customWidth="1"/>
    <col min="2082" max="2082" width="6.85546875" style="2" customWidth="1"/>
    <col min="2083" max="2083" width="15" style="2" bestFit="1" customWidth="1"/>
    <col min="2084" max="2308" width="9.140625" style="2"/>
    <col min="2309" max="2309" width="4" style="2" customWidth="1"/>
    <col min="2310" max="2310" width="24.42578125" style="2" customWidth="1"/>
    <col min="2311" max="2311" width="19.85546875" style="2" customWidth="1"/>
    <col min="2312" max="2312" width="9.28515625" style="2" customWidth="1"/>
    <col min="2313" max="2313" width="10" style="2" customWidth="1"/>
    <col min="2314" max="2314" width="8.42578125" style="2" customWidth="1"/>
    <col min="2315" max="2315" width="12.28515625" style="2" customWidth="1"/>
    <col min="2316" max="2316" width="7.5703125" style="2" customWidth="1"/>
    <col min="2317" max="2317" width="7.85546875" style="2" customWidth="1"/>
    <col min="2318" max="2318" width="8.28515625" style="2" customWidth="1"/>
    <col min="2319" max="2319" width="9.140625" style="2"/>
    <col min="2320" max="2322" width="7.5703125" style="2" customWidth="1"/>
    <col min="2323" max="2323" width="10.28515625" style="2" customWidth="1"/>
    <col min="2324" max="2324" width="10.5703125" style="2" customWidth="1"/>
    <col min="2325" max="2325" width="11.140625" style="2" customWidth="1"/>
    <col min="2326" max="2326" width="10.42578125" style="2" customWidth="1"/>
    <col min="2327" max="2336" width="11" style="2" customWidth="1"/>
    <col min="2337" max="2337" width="9.140625" style="2" customWidth="1"/>
    <col min="2338" max="2338" width="6.85546875" style="2" customWidth="1"/>
    <col min="2339" max="2339" width="15" style="2" bestFit="1" customWidth="1"/>
    <col min="2340" max="2564" width="9.140625" style="2"/>
    <col min="2565" max="2565" width="4" style="2" customWidth="1"/>
    <col min="2566" max="2566" width="24.42578125" style="2" customWidth="1"/>
    <col min="2567" max="2567" width="19.85546875" style="2" customWidth="1"/>
    <col min="2568" max="2568" width="9.28515625" style="2" customWidth="1"/>
    <col min="2569" max="2569" width="10" style="2" customWidth="1"/>
    <col min="2570" max="2570" width="8.42578125" style="2" customWidth="1"/>
    <col min="2571" max="2571" width="12.28515625" style="2" customWidth="1"/>
    <col min="2572" max="2572" width="7.5703125" style="2" customWidth="1"/>
    <col min="2573" max="2573" width="7.85546875" style="2" customWidth="1"/>
    <col min="2574" max="2574" width="8.28515625" style="2" customWidth="1"/>
    <col min="2575" max="2575" width="9.140625" style="2"/>
    <col min="2576" max="2578" width="7.5703125" style="2" customWidth="1"/>
    <col min="2579" max="2579" width="10.28515625" style="2" customWidth="1"/>
    <col min="2580" max="2580" width="10.5703125" style="2" customWidth="1"/>
    <col min="2581" max="2581" width="11.140625" style="2" customWidth="1"/>
    <col min="2582" max="2582" width="10.42578125" style="2" customWidth="1"/>
    <col min="2583" max="2592" width="11" style="2" customWidth="1"/>
    <col min="2593" max="2593" width="9.140625" style="2" customWidth="1"/>
    <col min="2594" max="2594" width="6.85546875" style="2" customWidth="1"/>
    <col min="2595" max="2595" width="15" style="2" bestFit="1" customWidth="1"/>
    <col min="2596" max="2820" width="9.140625" style="2"/>
    <col min="2821" max="2821" width="4" style="2" customWidth="1"/>
    <col min="2822" max="2822" width="24.42578125" style="2" customWidth="1"/>
    <col min="2823" max="2823" width="19.85546875" style="2" customWidth="1"/>
    <col min="2824" max="2824" width="9.28515625" style="2" customWidth="1"/>
    <col min="2825" max="2825" width="10" style="2" customWidth="1"/>
    <col min="2826" max="2826" width="8.42578125" style="2" customWidth="1"/>
    <col min="2827" max="2827" width="12.28515625" style="2" customWidth="1"/>
    <col min="2828" max="2828" width="7.5703125" style="2" customWidth="1"/>
    <col min="2829" max="2829" width="7.85546875" style="2" customWidth="1"/>
    <col min="2830" max="2830" width="8.28515625" style="2" customWidth="1"/>
    <col min="2831" max="2831" width="9.140625" style="2"/>
    <col min="2832" max="2834" width="7.5703125" style="2" customWidth="1"/>
    <col min="2835" max="2835" width="10.28515625" style="2" customWidth="1"/>
    <col min="2836" max="2836" width="10.5703125" style="2" customWidth="1"/>
    <col min="2837" max="2837" width="11.140625" style="2" customWidth="1"/>
    <col min="2838" max="2838" width="10.42578125" style="2" customWidth="1"/>
    <col min="2839" max="2848" width="11" style="2" customWidth="1"/>
    <col min="2849" max="2849" width="9.140625" style="2" customWidth="1"/>
    <col min="2850" max="2850" width="6.85546875" style="2" customWidth="1"/>
    <col min="2851" max="2851" width="15" style="2" bestFit="1" customWidth="1"/>
    <col min="2852" max="3076" width="9.140625" style="2"/>
    <col min="3077" max="3077" width="4" style="2" customWidth="1"/>
    <col min="3078" max="3078" width="24.42578125" style="2" customWidth="1"/>
    <col min="3079" max="3079" width="19.85546875" style="2" customWidth="1"/>
    <col min="3080" max="3080" width="9.28515625" style="2" customWidth="1"/>
    <col min="3081" max="3081" width="10" style="2" customWidth="1"/>
    <col min="3082" max="3082" width="8.42578125" style="2" customWidth="1"/>
    <col min="3083" max="3083" width="12.28515625" style="2" customWidth="1"/>
    <col min="3084" max="3084" width="7.5703125" style="2" customWidth="1"/>
    <col min="3085" max="3085" width="7.85546875" style="2" customWidth="1"/>
    <col min="3086" max="3086" width="8.28515625" style="2" customWidth="1"/>
    <col min="3087" max="3087" width="9.140625" style="2"/>
    <col min="3088" max="3090" width="7.5703125" style="2" customWidth="1"/>
    <col min="3091" max="3091" width="10.28515625" style="2" customWidth="1"/>
    <col min="3092" max="3092" width="10.5703125" style="2" customWidth="1"/>
    <col min="3093" max="3093" width="11.140625" style="2" customWidth="1"/>
    <col min="3094" max="3094" width="10.42578125" style="2" customWidth="1"/>
    <col min="3095" max="3104" width="11" style="2" customWidth="1"/>
    <col min="3105" max="3105" width="9.140625" style="2" customWidth="1"/>
    <col min="3106" max="3106" width="6.85546875" style="2" customWidth="1"/>
    <col min="3107" max="3107" width="15" style="2" bestFit="1" customWidth="1"/>
    <col min="3108" max="3332" width="9.140625" style="2"/>
    <col min="3333" max="3333" width="4" style="2" customWidth="1"/>
    <col min="3334" max="3334" width="24.42578125" style="2" customWidth="1"/>
    <col min="3335" max="3335" width="19.85546875" style="2" customWidth="1"/>
    <col min="3336" max="3336" width="9.28515625" style="2" customWidth="1"/>
    <col min="3337" max="3337" width="10" style="2" customWidth="1"/>
    <col min="3338" max="3338" width="8.42578125" style="2" customWidth="1"/>
    <col min="3339" max="3339" width="12.28515625" style="2" customWidth="1"/>
    <col min="3340" max="3340" width="7.5703125" style="2" customWidth="1"/>
    <col min="3341" max="3341" width="7.85546875" style="2" customWidth="1"/>
    <col min="3342" max="3342" width="8.28515625" style="2" customWidth="1"/>
    <col min="3343" max="3343" width="9.140625" style="2"/>
    <col min="3344" max="3346" width="7.5703125" style="2" customWidth="1"/>
    <col min="3347" max="3347" width="10.28515625" style="2" customWidth="1"/>
    <col min="3348" max="3348" width="10.5703125" style="2" customWidth="1"/>
    <col min="3349" max="3349" width="11.140625" style="2" customWidth="1"/>
    <col min="3350" max="3350" width="10.42578125" style="2" customWidth="1"/>
    <col min="3351" max="3360" width="11" style="2" customWidth="1"/>
    <col min="3361" max="3361" width="9.140625" style="2" customWidth="1"/>
    <col min="3362" max="3362" width="6.85546875" style="2" customWidth="1"/>
    <col min="3363" max="3363" width="15" style="2" bestFit="1" customWidth="1"/>
    <col min="3364" max="3588" width="9.140625" style="2"/>
    <col min="3589" max="3589" width="4" style="2" customWidth="1"/>
    <col min="3590" max="3590" width="24.42578125" style="2" customWidth="1"/>
    <col min="3591" max="3591" width="19.85546875" style="2" customWidth="1"/>
    <col min="3592" max="3592" width="9.28515625" style="2" customWidth="1"/>
    <col min="3593" max="3593" width="10" style="2" customWidth="1"/>
    <col min="3594" max="3594" width="8.42578125" style="2" customWidth="1"/>
    <col min="3595" max="3595" width="12.28515625" style="2" customWidth="1"/>
    <col min="3596" max="3596" width="7.5703125" style="2" customWidth="1"/>
    <col min="3597" max="3597" width="7.85546875" style="2" customWidth="1"/>
    <col min="3598" max="3598" width="8.28515625" style="2" customWidth="1"/>
    <col min="3599" max="3599" width="9.140625" style="2"/>
    <col min="3600" max="3602" width="7.5703125" style="2" customWidth="1"/>
    <col min="3603" max="3603" width="10.28515625" style="2" customWidth="1"/>
    <col min="3604" max="3604" width="10.5703125" style="2" customWidth="1"/>
    <col min="3605" max="3605" width="11.140625" style="2" customWidth="1"/>
    <col min="3606" max="3606" width="10.42578125" style="2" customWidth="1"/>
    <col min="3607" max="3616" width="11" style="2" customWidth="1"/>
    <col min="3617" max="3617" width="9.140625" style="2" customWidth="1"/>
    <col min="3618" max="3618" width="6.85546875" style="2" customWidth="1"/>
    <col min="3619" max="3619" width="15" style="2" bestFit="1" customWidth="1"/>
    <col min="3620" max="3844" width="9.140625" style="2"/>
    <col min="3845" max="3845" width="4" style="2" customWidth="1"/>
    <col min="3846" max="3846" width="24.42578125" style="2" customWidth="1"/>
    <col min="3847" max="3847" width="19.85546875" style="2" customWidth="1"/>
    <col min="3848" max="3848" width="9.28515625" style="2" customWidth="1"/>
    <col min="3849" max="3849" width="10" style="2" customWidth="1"/>
    <col min="3850" max="3850" width="8.42578125" style="2" customWidth="1"/>
    <col min="3851" max="3851" width="12.28515625" style="2" customWidth="1"/>
    <col min="3852" max="3852" width="7.5703125" style="2" customWidth="1"/>
    <col min="3853" max="3853" width="7.85546875" style="2" customWidth="1"/>
    <col min="3854" max="3854" width="8.28515625" style="2" customWidth="1"/>
    <col min="3855" max="3855" width="9.140625" style="2"/>
    <col min="3856" max="3858" width="7.5703125" style="2" customWidth="1"/>
    <col min="3859" max="3859" width="10.28515625" style="2" customWidth="1"/>
    <col min="3860" max="3860" width="10.5703125" style="2" customWidth="1"/>
    <col min="3861" max="3861" width="11.140625" style="2" customWidth="1"/>
    <col min="3862" max="3862" width="10.42578125" style="2" customWidth="1"/>
    <col min="3863" max="3872" width="11" style="2" customWidth="1"/>
    <col min="3873" max="3873" width="9.140625" style="2" customWidth="1"/>
    <col min="3874" max="3874" width="6.85546875" style="2" customWidth="1"/>
    <col min="3875" max="3875" width="15" style="2" bestFit="1" customWidth="1"/>
    <col min="3876" max="4100" width="9.140625" style="2"/>
    <col min="4101" max="4101" width="4" style="2" customWidth="1"/>
    <col min="4102" max="4102" width="24.42578125" style="2" customWidth="1"/>
    <col min="4103" max="4103" width="19.85546875" style="2" customWidth="1"/>
    <col min="4104" max="4104" width="9.28515625" style="2" customWidth="1"/>
    <col min="4105" max="4105" width="10" style="2" customWidth="1"/>
    <col min="4106" max="4106" width="8.42578125" style="2" customWidth="1"/>
    <col min="4107" max="4107" width="12.28515625" style="2" customWidth="1"/>
    <col min="4108" max="4108" width="7.5703125" style="2" customWidth="1"/>
    <col min="4109" max="4109" width="7.85546875" style="2" customWidth="1"/>
    <col min="4110" max="4110" width="8.28515625" style="2" customWidth="1"/>
    <col min="4111" max="4111" width="9.140625" style="2"/>
    <col min="4112" max="4114" width="7.5703125" style="2" customWidth="1"/>
    <col min="4115" max="4115" width="10.28515625" style="2" customWidth="1"/>
    <col min="4116" max="4116" width="10.5703125" style="2" customWidth="1"/>
    <col min="4117" max="4117" width="11.140625" style="2" customWidth="1"/>
    <col min="4118" max="4118" width="10.42578125" style="2" customWidth="1"/>
    <col min="4119" max="4128" width="11" style="2" customWidth="1"/>
    <col min="4129" max="4129" width="9.140625" style="2" customWidth="1"/>
    <col min="4130" max="4130" width="6.85546875" style="2" customWidth="1"/>
    <col min="4131" max="4131" width="15" style="2" bestFit="1" customWidth="1"/>
    <col min="4132" max="4356" width="9.140625" style="2"/>
    <col min="4357" max="4357" width="4" style="2" customWidth="1"/>
    <col min="4358" max="4358" width="24.42578125" style="2" customWidth="1"/>
    <col min="4359" max="4359" width="19.85546875" style="2" customWidth="1"/>
    <col min="4360" max="4360" width="9.28515625" style="2" customWidth="1"/>
    <col min="4361" max="4361" width="10" style="2" customWidth="1"/>
    <col min="4362" max="4362" width="8.42578125" style="2" customWidth="1"/>
    <col min="4363" max="4363" width="12.28515625" style="2" customWidth="1"/>
    <col min="4364" max="4364" width="7.5703125" style="2" customWidth="1"/>
    <col min="4365" max="4365" width="7.85546875" style="2" customWidth="1"/>
    <col min="4366" max="4366" width="8.28515625" style="2" customWidth="1"/>
    <col min="4367" max="4367" width="9.140625" style="2"/>
    <col min="4368" max="4370" width="7.5703125" style="2" customWidth="1"/>
    <col min="4371" max="4371" width="10.28515625" style="2" customWidth="1"/>
    <col min="4372" max="4372" width="10.5703125" style="2" customWidth="1"/>
    <col min="4373" max="4373" width="11.140625" style="2" customWidth="1"/>
    <col min="4374" max="4374" width="10.42578125" style="2" customWidth="1"/>
    <col min="4375" max="4384" width="11" style="2" customWidth="1"/>
    <col min="4385" max="4385" width="9.140625" style="2" customWidth="1"/>
    <col min="4386" max="4386" width="6.85546875" style="2" customWidth="1"/>
    <col min="4387" max="4387" width="15" style="2" bestFit="1" customWidth="1"/>
    <col min="4388" max="4612" width="9.140625" style="2"/>
    <col min="4613" max="4613" width="4" style="2" customWidth="1"/>
    <col min="4614" max="4614" width="24.42578125" style="2" customWidth="1"/>
    <col min="4615" max="4615" width="19.85546875" style="2" customWidth="1"/>
    <col min="4616" max="4616" width="9.28515625" style="2" customWidth="1"/>
    <col min="4617" max="4617" width="10" style="2" customWidth="1"/>
    <col min="4618" max="4618" width="8.42578125" style="2" customWidth="1"/>
    <col min="4619" max="4619" width="12.28515625" style="2" customWidth="1"/>
    <col min="4620" max="4620" width="7.5703125" style="2" customWidth="1"/>
    <col min="4621" max="4621" width="7.85546875" style="2" customWidth="1"/>
    <col min="4622" max="4622" width="8.28515625" style="2" customWidth="1"/>
    <col min="4623" max="4623" width="9.140625" style="2"/>
    <col min="4624" max="4626" width="7.5703125" style="2" customWidth="1"/>
    <col min="4627" max="4627" width="10.28515625" style="2" customWidth="1"/>
    <col min="4628" max="4628" width="10.5703125" style="2" customWidth="1"/>
    <col min="4629" max="4629" width="11.140625" style="2" customWidth="1"/>
    <col min="4630" max="4630" width="10.42578125" style="2" customWidth="1"/>
    <col min="4631" max="4640" width="11" style="2" customWidth="1"/>
    <col min="4641" max="4641" width="9.140625" style="2" customWidth="1"/>
    <col min="4642" max="4642" width="6.85546875" style="2" customWidth="1"/>
    <col min="4643" max="4643" width="15" style="2" bestFit="1" customWidth="1"/>
    <col min="4644" max="4868" width="9.140625" style="2"/>
    <col min="4869" max="4869" width="4" style="2" customWidth="1"/>
    <col min="4870" max="4870" width="24.42578125" style="2" customWidth="1"/>
    <col min="4871" max="4871" width="19.85546875" style="2" customWidth="1"/>
    <col min="4872" max="4872" width="9.28515625" style="2" customWidth="1"/>
    <col min="4873" max="4873" width="10" style="2" customWidth="1"/>
    <col min="4874" max="4874" width="8.42578125" style="2" customWidth="1"/>
    <col min="4875" max="4875" width="12.28515625" style="2" customWidth="1"/>
    <col min="4876" max="4876" width="7.5703125" style="2" customWidth="1"/>
    <col min="4877" max="4877" width="7.85546875" style="2" customWidth="1"/>
    <col min="4878" max="4878" width="8.28515625" style="2" customWidth="1"/>
    <col min="4879" max="4879" width="9.140625" style="2"/>
    <col min="4880" max="4882" width="7.5703125" style="2" customWidth="1"/>
    <col min="4883" max="4883" width="10.28515625" style="2" customWidth="1"/>
    <col min="4884" max="4884" width="10.5703125" style="2" customWidth="1"/>
    <col min="4885" max="4885" width="11.140625" style="2" customWidth="1"/>
    <col min="4886" max="4886" width="10.42578125" style="2" customWidth="1"/>
    <col min="4887" max="4896" width="11" style="2" customWidth="1"/>
    <col min="4897" max="4897" width="9.140625" style="2" customWidth="1"/>
    <col min="4898" max="4898" width="6.85546875" style="2" customWidth="1"/>
    <col min="4899" max="4899" width="15" style="2" bestFit="1" customWidth="1"/>
    <col min="4900" max="5124" width="9.140625" style="2"/>
    <col min="5125" max="5125" width="4" style="2" customWidth="1"/>
    <col min="5126" max="5126" width="24.42578125" style="2" customWidth="1"/>
    <col min="5127" max="5127" width="19.85546875" style="2" customWidth="1"/>
    <col min="5128" max="5128" width="9.28515625" style="2" customWidth="1"/>
    <col min="5129" max="5129" width="10" style="2" customWidth="1"/>
    <col min="5130" max="5130" width="8.42578125" style="2" customWidth="1"/>
    <col min="5131" max="5131" width="12.28515625" style="2" customWidth="1"/>
    <col min="5132" max="5132" width="7.5703125" style="2" customWidth="1"/>
    <col min="5133" max="5133" width="7.85546875" style="2" customWidth="1"/>
    <col min="5134" max="5134" width="8.28515625" style="2" customWidth="1"/>
    <col min="5135" max="5135" width="9.140625" style="2"/>
    <col min="5136" max="5138" width="7.5703125" style="2" customWidth="1"/>
    <col min="5139" max="5139" width="10.28515625" style="2" customWidth="1"/>
    <col min="5140" max="5140" width="10.5703125" style="2" customWidth="1"/>
    <col min="5141" max="5141" width="11.140625" style="2" customWidth="1"/>
    <col min="5142" max="5142" width="10.42578125" style="2" customWidth="1"/>
    <col min="5143" max="5152" width="11" style="2" customWidth="1"/>
    <col min="5153" max="5153" width="9.140625" style="2" customWidth="1"/>
    <col min="5154" max="5154" width="6.85546875" style="2" customWidth="1"/>
    <col min="5155" max="5155" width="15" style="2" bestFit="1" customWidth="1"/>
    <col min="5156" max="5380" width="9.140625" style="2"/>
    <col min="5381" max="5381" width="4" style="2" customWidth="1"/>
    <col min="5382" max="5382" width="24.42578125" style="2" customWidth="1"/>
    <col min="5383" max="5383" width="19.85546875" style="2" customWidth="1"/>
    <col min="5384" max="5384" width="9.28515625" style="2" customWidth="1"/>
    <col min="5385" max="5385" width="10" style="2" customWidth="1"/>
    <col min="5386" max="5386" width="8.42578125" style="2" customWidth="1"/>
    <col min="5387" max="5387" width="12.28515625" style="2" customWidth="1"/>
    <col min="5388" max="5388" width="7.5703125" style="2" customWidth="1"/>
    <col min="5389" max="5389" width="7.85546875" style="2" customWidth="1"/>
    <col min="5390" max="5390" width="8.28515625" style="2" customWidth="1"/>
    <col min="5391" max="5391" width="9.140625" style="2"/>
    <col min="5392" max="5394" width="7.5703125" style="2" customWidth="1"/>
    <col min="5395" max="5395" width="10.28515625" style="2" customWidth="1"/>
    <col min="5396" max="5396" width="10.5703125" style="2" customWidth="1"/>
    <col min="5397" max="5397" width="11.140625" style="2" customWidth="1"/>
    <col min="5398" max="5398" width="10.42578125" style="2" customWidth="1"/>
    <col min="5399" max="5408" width="11" style="2" customWidth="1"/>
    <col min="5409" max="5409" width="9.140625" style="2" customWidth="1"/>
    <col min="5410" max="5410" width="6.85546875" style="2" customWidth="1"/>
    <col min="5411" max="5411" width="15" style="2" bestFit="1" customWidth="1"/>
    <col min="5412" max="5636" width="9.140625" style="2"/>
    <col min="5637" max="5637" width="4" style="2" customWidth="1"/>
    <col min="5638" max="5638" width="24.42578125" style="2" customWidth="1"/>
    <col min="5639" max="5639" width="19.85546875" style="2" customWidth="1"/>
    <col min="5640" max="5640" width="9.28515625" style="2" customWidth="1"/>
    <col min="5641" max="5641" width="10" style="2" customWidth="1"/>
    <col min="5642" max="5642" width="8.42578125" style="2" customWidth="1"/>
    <col min="5643" max="5643" width="12.28515625" style="2" customWidth="1"/>
    <col min="5644" max="5644" width="7.5703125" style="2" customWidth="1"/>
    <col min="5645" max="5645" width="7.85546875" style="2" customWidth="1"/>
    <col min="5646" max="5646" width="8.28515625" style="2" customWidth="1"/>
    <col min="5647" max="5647" width="9.140625" style="2"/>
    <col min="5648" max="5650" width="7.5703125" style="2" customWidth="1"/>
    <col min="5651" max="5651" width="10.28515625" style="2" customWidth="1"/>
    <col min="5652" max="5652" width="10.5703125" style="2" customWidth="1"/>
    <col min="5653" max="5653" width="11.140625" style="2" customWidth="1"/>
    <col min="5654" max="5654" width="10.42578125" style="2" customWidth="1"/>
    <col min="5655" max="5664" width="11" style="2" customWidth="1"/>
    <col min="5665" max="5665" width="9.140625" style="2" customWidth="1"/>
    <col min="5666" max="5666" width="6.85546875" style="2" customWidth="1"/>
    <col min="5667" max="5667" width="15" style="2" bestFit="1" customWidth="1"/>
    <col min="5668" max="5892" width="9.140625" style="2"/>
    <col min="5893" max="5893" width="4" style="2" customWidth="1"/>
    <col min="5894" max="5894" width="24.42578125" style="2" customWidth="1"/>
    <col min="5895" max="5895" width="19.85546875" style="2" customWidth="1"/>
    <col min="5896" max="5896" width="9.28515625" style="2" customWidth="1"/>
    <col min="5897" max="5897" width="10" style="2" customWidth="1"/>
    <col min="5898" max="5898" width="8.42578125" style="2" customWidth="1"/>
    <col min="5899" max="5899" width="12.28515625" style="2" customWidth="1"/>
    <col min="5900" max="5900" width="7.5703125" style="2" customWidth="1"/>
    <col min="5901" max="5901" width="7.85546875" style="2" customWidth="1"/>
    <col min="5902" max="5902" width="8.28515625" style="2" customWidth="1"/>
    <col min="5903" max="5903" width="9.140625" style="2"/>
    <col min="5904" max="5906" width="7.5703125" style="2" customWidth="1"/>
    <col min="5907" max="5907" width="10.28515625" style="2" customWidth="1"/>
    <col min="5908" max="5908" width="10.5703125" style="2" customWidth="1"/>
    <col min="5909" max="5909" width="11.140625" style="2" customWidth="1"/>
    <col min="5910" max="5910" width="10.42578125" style="2" customWidth="1"/>
    <col min="5911" max="5920" width="11" style="2" customWidth="1"/>
    <col min="5921" max="5921" width="9.140625" style="2" customWidth="1"/>
    <col min="5922" max="5922" width="6.85546875" style="2" customWidth="1"/>
    <col min="5923" max="5923" width="15" style="2" bestFit="1" customWidth="1"/>
    <col min="5924" max="6148" width="9.140625" style="2"/>
    <col min="6149" max="6149" width="4" style="2" customWidth="1"/>
    <col min="6150" max="6150" width="24.42578125" style="2" customWidth="1"/>
    <col min="6151" max="6151" width="19.85546875" style="2" customWidth="1"/>
    <col min="6152" max="6152" width="9.28515625" style="2" customWidth="1"/>
    <col min="6153" max="6153" width="10" style="2" customWidth="1"/>
    <col min="6154" max="6154" width="8.42578125" style="2" customWidth="1"/>
    <col min="6155" max="6155" width="12.28515625" style="2" customWidth="1"/>
    <col min="6156" max="6156" width="7.5703125" style="2" customWidth="1"/>
    <col min="6157" max="6157" width="7.85546875" style="2" customWidth="1"/>
    <col min="6158" max="6158" width="8.28515625" style="2" customWidth="1"/>
    <col min="6159" max="6159" width="9.140625" style="2"/>
    <col min="6160" max="6162" width="7.5703125" style="2" customWidth="1"/>
    <col min="6163" max="6163" width="10.28515625" style="2" customWidth="1"/>
    <col min="6164" max="6164" width="10.5703125" style="2" customWidth="1"/>
    <col min="6165" max="6165" width="11.140625" style="2" customWidth="1"/>
    <col min="6166" max="6166" width="10.42578125" style="2" customWidth="1"/>
    <col min="6167" max="6176" width="11" style="2" customWidth="1"/>
    <col min="6177" max="6177" width="9.140625" style="2" customWidth="1"/>
    <col min="6178" max="6178" width="6.85546875" style="2" customWidth="1"/>
    <col min="6179" max="6179" width="15" style="2" bestFit="1" customWidth="1"/>
    <col min="6180" max="6404" width="9.140625" style="2"/>
    <col min="6405" max="6405" width="4" style="2" customWidth="1"/>
    <col min="6406" max="6406" width="24.42578125" style="2" customWidth="1"/>
    <col min="6407" max="6407" width="19.85546875" style="2" customWidth="1"/>
    <col min="6408" max="6408" width="9.28515625" style="2" customWidth="1"/>
    <col min="6409" max="6409" width="10" style="2" customWidth="1"/>
    <col min="6410" max="6410" width="8.42578125" style="2" customWidth="1"/>
    <col min="6411" max="6411" width="12.28515625" style="2" customWidth="1"/>
    <col min="6412" max="6412" width="7.5703125" style="2" customWidth="1"/>
    <col min="6413" max="6413" width="7.85546875" style="2" customWidth="1"/>
    <col min="6414" max="6414" width="8.28515625" style="2" customWidth="1"/>
    <col min="6415" max="6415" width="9.140625" style="2"/>
    <col min="6416" max="6418" width="7.5703125" style="2" customWidth="1"/>
    <col min="6419" max="6419" width="10.28515625" style="2" customWidth="1"/>
    <col min="6420" max="6420" width="10.5703125" style="2" customWidth="1"/>
    <col min="6421" max="6421" width="11.140625" style="2" customWidth="1"/>
    <col min="6422" max="6422" width="10.42578125" style="2" customWidth="1"/>
    <col min="6423" max="6432" width="11" style="2" customWidth="1"/>
    <col min="6433" max="6433" width="9.140625" style="2" customWidth="1"/>
    <col min="6434" max="6434" width="6.85546875" style="2" customWidth="1"/>
    <col min="6435" max="6435" width="15" style="2" bestFit="1" customWidth="1"/>
    <col min="6436" max="6660" width="9.140625" style="2"/>
    <col min="6661" max="6661" width="4" style="2" customWidth="1"/>
    <col min="6662" max="6662" width="24.42578125" style="2" customWidth="1"/>
    <col min="6663" max="6663" width="19.85546875" style="2" customWidth="1"/>
    <col min="6664" max="6664" width="9.28515625" style="2" customWidth="1"/>
    <col min="6665" max="6665" width="10" style="2" customWidth="1"/>
    <col min="6666" max="6666" width="8.42578125" style="2" customWidth="1"/>
    <col min="6667" max="6667" width="12.28515625" style="2" customWidth="1"/>
    <col min="6668" max="6668" width="7.5703125" style="2" customWidth="1"/>
    <col min="6669" max="6669" width="7.85546875" style="2" customWidth="1"/>
    <col min="6670" max="6670" width="8.28515625" style="2" customWidth="1"/>
    <col min="6671" max="6671" width="9.140625" style="2"/>
    <col min="6672" max="6674" width="7.5703125" style="2" customWidth="1"/>
    <col min="6675" max="6675" width="10.28515625" style="2" customWidth="1"/>
    <col min="6676" max="6676" width="10.5703125" style="2" customWidth="1"/>
    <col min="6677" max="6677" width="11.140625" style="2" customWidth="1"/>
    <col min="6678" max="6678" width="10.42578125" style="2" customWidth="1"/>
    <col min="6679" max="6688" width="11" style="2" customWidth="1"/>
    <col min="6689" max="6689" width="9.140625" style="2" customWidth="1"/>
    <col min="6690" max="6690" width="6.85546875" style="2" customWidth="1"/>
    <col min="6691" max="6691" width="15" style="2" bestFit="1" customWidth="1"/>
    <col min="6692" max="6916" width="9.140625" style="2"/>
    <col min="6917" max="6917" width="4" style="2" customWidth="1"/>
    <col min="6918" max="6918" width="24.42578125" style="2" customWidth="1"/>
    <col min="6919" max="6919" width="19.85546875" style="2" customWidth="1"/>
    <col min="6920" max="6920" width="9.28515625" style="2" customWidth="1"/>
    <col min="6921" max="6921" width="10" style="2" customWidth="1"/>
    <col min="6922" max="6922" width="8.42578125" style="2" customWidth="1"/>
    <col min="6923" max="6923" width="12.28515625" style="2" customWidth="1"/>
    <col min="6924" max="6924" width="7.5703125" style="2" customWidth="1"/>
    <col min="6925" max="6925" width="7.85546875" style="2" customWidth="1"/>
    <col min="6926" max="6926" width="8.28515625" style="2" customWidth="1"/>
    <col min="6927" max="6927" width="9.140625" style="2"/>
    <col min="6928" max="6930" width="7.5703125" style="2" customWidth="1"/>
    <col min="6931" max="6931" width="10.28515625" style="2" customWidth="1"/>
    <col min="6932" max="6932" width="10.5703125" style="2" customWidth="1"/>
    <col min="6933" max="6933" width="11.140625" style="2" customWidth="1"/>
    <col min="6934" max="6934" width="10.42578125" style="2" customWidth="1"/>
    <col min="6935" max="6944" width="11" style="2" customWidth="1"/>
    <col min="6945" max="6945" width="9.140625" style="2" customWidth="1"/>
    <col min="6946" max="6946" width="6.85546875" style="2" customWidth="1"/>
    <col min="6947" max="6947" width="15" style="2" bestFit="1" customWidth="1"/>
    <col min="6948" max="7172" width="9.140625" style="2"/>
    <col min="7173" max="7173" width="4" style="2" customWidth="1"/>
    <col min="7174" max="7174" width="24.42578125" style="2" customWidth="1"/>
    <col min="7175" max="7175" width="19.85546875" style="2" customWidth="1"/>
    <col min="7176" max="7176" width="9.28515625" style="2" customWidth="1"/>
    <col min="7177" max="7177" width="10" style="2" customWidth="1"/>
    <col min="7178" max="7178" width="8.42578125" style="2" customWidth="1"/>
    <col min="7179" max="7179" width="12.28515625" style="2" customWidth="1"/>
    <col min="7180" max="7180" width="7.5703125" style="2" customWidth="1"/>
    <col min="7181" max="7181" width="7.85546875" style="2" customWidth="1"/>
    <col min="7182" max="7182" width="8.28515625" style="2" customWidth="1"/>
    <col min="7183" max="7183" width="9.140625" style="2"/>
    <col min="7184" max="7186" width="7.5703125" style="2" customWidth="1"/>
    <col min="7187" max="7187" width="10.28515625" style="2" customWidth="1"/>
    <col min="7188" max="7188" width="10.5703125" style="2" customWidth="1"/>
    <col min="7189" max="7189" width="11.140625" style="2" customWidth="1"/>
    <col min="7190" max="7190" width="10.42578125" style="2" customWidth="1"/>
    <col min="7191" max="7200" width="11" style="2" customWidth="1"/>
    <col min="7201" max="7201" width="9.140625" style="2" customWidth="1"/>
    <col min="7202" max="7202" width="6.85546875" style="2" customWidth="1"/>
    <col min="7203" max="7203" width="15" style="2" bestFit="1" customWidth="1"/>
    <col min="7204" max="7428" width="9.140625" style="2"/>
    <col min="7429" max="7429" width="4" style="2" customWidth="1"/>
    <col min="7430" max="7430" width="24.42578125" style="2" customWidth="1"/>
    <col min="7431" max="7431" width="19.85546875" style="2" customWidth="1"/>
    <col min="7432" max="7432" width="9.28515625" style="2" customWidth="1"/>
    <col min="7433" max="7433" width="10" style="2" customWidth="1"/>
    <col min="7434" max="7434" width="8.42578125" style="2" customWidth="1"/>
    <col min="7435" max="7435" width="12.28515625" style="2" customWidth="1"/>
    <col min="7436" max="7436" width="7.5703125" style="2" customWidth="1"/>
    <col min="7437" max="7437" width="7.85546875" style="2" customWidth="1"/>
    <col min="7438" max="7438" width="8.28515625" style="2" customWidth="1"/>
    <col min="7439" max="7439" width="9.140625" style="2"/>
    <col min="7440" max="7442" width="7.5703125" style="2" customWidth="1"/>
    <col min="7443" max="7443" width="10.28515625" style="2" customWidth="1"/>
    <col min="7444" max="7444" width="10.5703125" style="2" customWidth="1"/>
    <col min="7445" max="7445" width="11.140625" style="2" customWidth="1"/>
    <col min="7446" max="7446" width="10.42578125" style="2" customWidth="1"/>
    <col min="7447" max="7456" width="11" style="2" customWidth="1"/>
    <col min="7457" max="7457" width="9.140625" style="2" customWidth="1"/>
    <col min="7458" max="7458" width="6.85546875" style="2" customWidth="1"/>
    <col min="7459" max="7459" width="15" style="2" bestFit="1" customWidth="1"/>
    <col min="7460" max="7684" width="9.140625" style="2"/>
    <col min="7685" max="7685" width="4" style="2" customWidth="1"/>
    <col min="7686" max="7686" width="24.42578125" style="2" customWidth="1"/>
    <col min="7687" max="7687" width="19.85546875" style="2" customWidth="1"/>
    <col min="7688" max="7688" width="9.28515625" style="2" customWidth="1"/>
    <col min="7689" max="7689" width="10" style="2" customWidth="1"/>
    <col min="7690" max="7690" width="8.42578125" style="2" customWidth="1"/>
    <col min="7691" max="7691" width="12.28515625" style="2" customWidth="1"/>
    <col min="7692" max="7692" width="7.5703125" style="2" customWidth="1"/>
    <col min="7693" max="7693" width="7.85546875" style="2" customWidth="1"/>
    <col min="7694" max="7694" width="8.28515625" style="2" customWidth="1"/>
    <col min="7695" max="7695" width="9.140625" style="2"/>
    <col min="7696" max="7698" width="7.5703125" style="2" customWidth="1"/>
    <col min="7699" max="7699" width="10.28515625" style="2" customWidth="1"/>
    <col min="7700" max="7700" width="10.5703125" style="2" customWidth="1"/>
    <col min="7701" max="7701" width="11.140625" style="2" customWidth="1"/>
    <col min="7702" max="7702" width="10.42578125" style="2" customWidth="1"/>
    <col min="7703" max="7712" width="11" style="2" customWidth="1"/>
    <col min="7713" max="7713" width="9.140625" style="2" customWidth="1"/>
    <col min="7714" max="7714" width="6.85546875" style="2" customWidth="1"/>
    <col min="7715" max="7715" width="15" style="2" bestFit="1" customWidth="1"/>
    <col min="7716" max="7940" width="9.140625" style="2"/>
    <col min="7941" max="7941" width="4" style="2" customWidth="1"/>
    <col min="7942" max="7942" width="24.42578125" style="2" customWidth="1"/>
    <col min="7943" max="7943" width="19.85546875" style="2" customWidth="1"/>
    <col min="7944" max="7944" width="9.28515625" style="2" customWidth="1"/>
    <col min="7945" max="7945" width="10" style="2" customWidth="1"/>
    <col min="7946" max="7946" width="8.42578125" style="2" customWidth="1"/>
    <col min="7947" max="7947" width="12.28515625" style="2" customWidth="1"/>
    <col min="7948" max="7948" width="7.5703125" style="2" customWidth="1"/>
    <col min="7949" max="7949" width="7.85546875" style="2" customWidth="1"/>
    <col min="7950" max="7950" width="8.28515625" style="2" customWidth="1"/>
    <col min="7951" max="7951" width="9.140625" style="2"/>
    <col min="7952" max="7954" width="7.5703125" style="2" customWidth="1"/>
    <col min="7955" max="7955" width="10.28515625" style="2" customWidth="1"/>
    <col min="7956" max="7956" width="10.5703125" style="2" customWidth="1"/>
    <col min="7957" max="7957" width="11.140625" style="2" customWidth="1"/>
    <col min="7958" max="7958" width="10.42578125" style="2" customWidth="1"/>
    <col min="7959" max="7968" width="11" style="2" customWidth="1"/>
    <col min="7969" max="7969" width="9.140625" style="2" customWidth="1"/>
    <col min="7970" max="7970" width="6.85546875" style="2" customWidth="1"/>
    <col min="7971" max="7971" width="15" style="2" bestFit="1" customWidth="1"/>
    <col min="7972" max="8196" width="9.140625" style="2"/>
    <col min="8197" max="8197" width="4" style="2" customWidth="1"/>
    <col min="8198" max="8198" width="24.42578125" style="2" customWidth="1"/>
    <col min="8199" max="8199" width="19.85546875" style="2" customWidth="1"/>
    <col min="8200" max="8200" width="9.28515625" style="2" customWidth="1"/>
    <col min="8201" max="8201" width="10" style="2" customWidth="1"/>
    <col min="8202" max="8202" width="8.42578125" style="2" customWidth="1"/>
    <col min="8203" max="8203" width="12.28515625" style="2" customWidth="1"/>
    <col min="8204" max="8204" width="7.5703125" style="2" customWidth="1"/>
    <col min="8205" max="8205" width="7.85546875" style="2" customWidth="1"/>
    <col min="8206" max="8206" width="8.28515625" style="2" customWidth="1"/>
    <col min="8207" max="8207" width="9.140625" style="2"/>
    <col min="8208" max="8210" width="7.5703125" style="2" customWidth="1"/>
    <col min="8211" max="8211" width="10.28515625" style="2" customWidth="1"/>
    <col min="8212" max="8212" width="10.5703125" style="2" customWidth="1"/>
    <col min="8213" max="8213" width="11.140625" style="2" customWidth="1"/>
    <col min="8214" max="8214" width="10.42578125" style="2" customWidth="1"/>
    <col min="8215" max="8224" width="11" style="2" customWidth="1"/>
    <col min="8225" max="8225" width="9.140625" style="2" customWidth="1"/>
    <col min="8226" max="8226" width="6.85546875" style="2" customWidth="1"/>
    <col min="8227" max="8227" width="15" style="2" bestFit="1" customWidth="1"/>
    <col min="8228" max="8452" width="9.140625" style="2"/>
    <col min="8453" max="8453" width="4" style="2" customWidth="1"/>
    <col min="8454" max="8454" width="24.42578125" style="2" customWidth="1"/>
    <col min="8455" max="8455" width="19.85546875" style="2" customWidth="1"/>
    <col min="8456" max="8456" width="9.28515625" style="2" customWidth="1"/>
    <col min="8457" max="8457" width="10" style="2" customWidth="1"/>
    <col min="8458" max="8458" width="8.42578125" style="2" customWidth="1"/>
    <col min="8459" max="8459" width="12.28515625" style="2" customWidth="1"/>
    <col min="8460" max="8460" width="7.5703125" style="2" customWidth="1"/>
    <col min="8461" max="8461" width="7.85546875" style="2" customWidth="1"/>
    <col min="8462" max="8462" width="8.28515625" style="2" customWidth="1"/>
    <col min="8463" max="8463" width="9.140625" style="2"/>
    <col min="8464" max="8466" width="7.5703125" style="2" customWidth="1"/>
    <col min="8467" max="8467" width="10.28515625" style="2" customWidth="1"/>
    <col min="8468" max="8468" width="10.5703125" style="2" customWidth="1"/>
    <col min="8469" max="8469" width="11.140625" style="2" customWidth="1"/>
    <col min="8470" max="8470" width="10.42578125" style="2" customWidth="1"/>
    <col min="8471" max="8480" width="11" style="2" customWidth="1"/>
    <col min="8481" max="8481" width="9.140625" style="2" customWidth="1"/>
    <col min="8482" max="8482" width="6.85546875" style="2" customWidth="1"/>
    <col min="8483" max="8483" width="15" style="2" bestFit="1" customWidth="1"/>
    <col min="8484" max="8708" width="9.140625" style="2"/>
    <col min="8709" max="8709" width="4" style="2" customWidth="1"/>
    <col min="8710" max="8710" width="24.42578125" style="2" customWidth="1"/>
    <col min="8711" max="8711" width="19.85546875" style="2" customWidth="1"/>
    <col min="8712" max="8712" width="9.28515625" style="2" customWidth="1"/>
    <col min="8713" max="8713" width="10" style="2" customWidth="1"/>
    <col min="8714" max="8714" width="8.42578125" style="2" customWidth="1"/>
    <col min="8715" max="8715" width="12.28515625" style="2" customWidth="1"/>
    <col min="8716" max="8716" width="7.5703125" style="2" customWidth="1"/>
    <col min="8717" max="8717" width="7.85546875" style="2" customWidth="1"/>
    <col min="8718" max="8718" width="8.28515625" style="2" customWidth="1"/>
    <col min="8719" max="8719" width="9.140625" style="2"/>
    <col min="8720" max="8722" width="7.5703125" style="2" customWidth="1"/>
    <col min="8723" max="8723" width="10.28515625" style="2" customWidth="1"/>
    <col min="8724" max="8724" width="10.5703125" style="2" customWidth="1"/>
    <col min="8725" max="8725" width="11.140625" style="2" customWidth="1"/>
    <col min="8726" max="8726" width="10.42578125" style="2" customWidth="1"/>
    <col min="8727" max="8736" width="11" style="2" customWidth="1"/>
    <col min="8737" max="8737" width="9.140625" style="2" customWidth="1"/>
    <col min="8738" max="8738" width="6.85546875" style="2" customWidth="1"/>
    <col min="8739" max="8739" width="15" style="2" bestFit="1" customWidth="1"/>
    <col min="8740" max="8964" width="9.140625" style="2"/>
    <col min="8965" max="8965" width="4" style="2" customWidth="1"/>
    <col min="8966" max="8966" width="24.42578125" style="2" customWidth="1"/>
    <col min="8967" max="8967" width="19.85546875" style="2" customWidth="1"/>
    <col min="8968" max="8968" width="9.28515625" style="2" customWidth="1"/>
    <col min="8969" max="8969" width="10" style="2" customWidth="1"/>
    <col min="8970" max="8970" width="8.42578125" style="2" customWidth="1"/>
    <col min="8971" max="8971" width="12.28515625" style="2" customWidth="1"/>
    <col min="8972" max="8972" width="7.5703125" style="2" customWidth="1"/>
    <col min="8973" max="8973" width="7.85546875" style="2" customWidth="1"/>
    <col min="8974" max="8974" width="8.28515625" style="2" customWidth="1"/>
    <col min="8975" max="8975" width="9.140625" style="2"/>
    <col min="8976" max="8978" width="7.5703125" style="2" customWidth="1"/>
    <col min="8979" max="8979" width="10.28515625" style="2" customWidth="1"/>
    <col min="8980" max="8980" width="10.5703125" style="2" customWidth="1"/>
    <col min="8981" max="8981" width="11.140625" style="2" customWidth="1"/>
    <col min="8982" max="8982" width="10.42578125" style="2" customWidth="1"/>
    <col min="8983" max="8992" width="11" style="2" customWidth="1"/>
    <col min="8993" max="8993" width="9.140625" style="2" customWidth="1"/>
    <col min="8994" max="8994" width="6.85546875" style="2" customWidth="1"/>
    <col min="8995" max="8995" width="15" style="2" bestFit="1" customWidth="1"/>
    <col min="8996" max="9220" width="9.140625" style="2"/>
    <col min="9221" max="9221" width="4" style="2" customWidth="1"/>
    <col min="9222" max="9222" width="24.42578125" style="2" customWidth="1"/>
    <col min="9223" max="9223" width="19.85546875" style="2" customWidth="1"/>
    <col min="9224" max="9224" width="9.28515625" style="2" customWidth="1"/>
    <col min="9225" max="9225" width="10" style="2" customWidth="1"/>
    <col min="9226" max="9226" width="8.42578125" style="2" customWidth="1"/>
    <col min="9227" max="9227" width="12.28515625" style="2" customWidth="1"/>
    <col min="9228" max="9228" width="7.5703125" style="2" customWidth="1"/>
    <col min="9229" max="9229" width="7.85546875" style="2" customWidth="1"/>
    <col min="9230" max="9230" width="8.28515625" style="2" customWidth="1"/>
    <col min="9231" max="9231" width="9.140625" style="2"/>
    <col min="9232" max="9234" width="7.5703125" style="2" customWidth="1"/>
    <col min="9235" max="9235" width="10.28515625" style="2" customWidth="1"/>
    <col min="9236" max="9236" width="10.5703125" style="2" customWidth="1"/>
    <col min="9237" max="9237" width="11.140625" style="2" customWidth="1"/>
    <col min="9238" max="9238" width="10.42578125" style="2" customWidth="1"/>
    <col min="9239" max="9248" width="11" style="2" customWidth="1"/>
    <col min="9249" max="9249" width="9.140625" style="2" customWidth="1"/>
    <col min="9250" max="9250" width="6.85546875" style="2" customWidth="1"/>
    <col min="9251" max="9251" width="15" style="2" bestFit="1" customWidth="1"/>
    <col min="9252" max="9476" width="9.140625" style="2"/>
    <col min="9477" max="9477" width="4" style="2" customWidth="1"/>
    <col min="9478" max="9478" width="24.42578125" style="2" customWidth="1"/>
    <col min="9479" max="9479" width="19.85546875" style="2" customWidth="1"/>
    <col min="9480" max="9480" width="9.28515625" style="2" customWidth="1"/>
    <col min="9481" max="9481" width="10" style="2" customWidth="1"/>
    <col min="9482" max="9482" width="8.42578125" style="2" customWidth="1"/>
    <col min="9483" max="9483" width="12.28515625" style="2" customWidth="1"/>
    <col min="9484" max="9484" width="7.5703125" style="2" customWidth="1"/>
    <col min="9485" max="9485" width="7.85546875" style="2" customWidth="1"/>
    <col min="9486" max="9486" width="8.28515625" style="2" customWidth="1"/>
    <col min="9487" max="9487" width="9.140625" style="2"/>
    <col min="9488" max="9490" width="7.5703125" style="2" customWidth="1"/>
    <col min="9491" max="9491" width="10.28515625" style="2" customWidth="1"/>
    <col min="9492" max="9492" width="10.5703125" style="2" customWidth="1"/>
    <col min="9493" max="9493" width="11.140625" style="2" customWidth="1"/>
    <col min="9494" max="9494" width="10.42578125" style="2" customWidth="1"/>
    <col min="9495" max="9504" width="11" style="2" customWidth="1"/>
    <col min="9505" max="9505" width="9.140625" style="2" customWidth="1"/>
    <col min="9506" max="9506" width="6.85546875" style="2" customWidth="1"/>
    <col min="9507" max="9507" width="15" style="2" bestFit="1" customWidth="1"/>
    <col min="9508" max="9732" width="9.140625" style="2"/>
    <col min="9733" max="9733" width="4" style="2" customWidth="1"/>
    <col min="9734" max="9734" width="24.42578125" style="2" customWidth="1"/>
    <col min="9735" max="9735" width="19.85546875" style="2" customWidth="1"/>
    <col min="9736" max="9736" width="9.28515625" style="2" customWidth="1"/>
    <col min="9737" max="9737" width="10" style="2" customWidth="1"/>
    <col min="9738" max="9738" width="8.42578125" style="2" customWidth="1"/>
    <col min="9739" max="9739" width="12.28515625" style="2" customWidth="1"/>
    <col min="9740" max="9740" width="7.5703125" style="2" customWidth="1"/>
    <col min="9741" max="9741" width="7.85546875" style="2" customWidth="1"/>
    <col min="9742" max="9742" width="8.28515625" style="2" customWidth="1"/>
    <col min="9743" max="9743" width="9.140625" style="2"/>
    <col min="9744" max="9746" width="7.5703125" style="2" customWidth="1"/>
    <col min="9747" max="9747" width="10.28515625" style="2" customWidth="1"/>
    <col min="9748" max="9748" width="10.5703125" style="2" customWidth="1"/>
    <col min="9749" max="9749" width="11.140625" style="2" customWidth="1"/>
    <col min="9750" max="9750" width="10.42578125" style="2" customWidth="1"/>
    <col min="9751" max="9760" width="11" style="2" customWidth="1"/>
    <col min="9761" max="9761" width="9.140625" style="2" customWidth="1"/>
    <col min="9762" max="9762" width="6.85546875" style="2" customWidth="1"/>
    <col min="9763" max="9763" width="15" style="2" bestFit="1" customWidth="1"/>
    <col min="9764" max="9988" width="9.140625" style="2"/>
    <col min="9989" max="9989" width="4" style="2" customWidth="1"/>
    <col min="9990" max="9990" width="24.42578125" style="2" customWidth="1"/>
    <col min="9991" max="9991" width="19.85546875" style="2" customWidth="1"/>
    <col min="9992" max="9992" width="9.28515625" style="2" customWidth="1"/>
    <col min="9993" max="9993" width="10" style="2" customWidth="1"/>
    <col min="9994" max="9994" width="8.42578125" style="2" customWidth="1"/>
    <col min="9995" max="9995" width="12.28515625" style="2" customWidth="1"/>
    <col min="9996" max="9996" width="7.5703125" style="2" customWidth="1"/>
    <col min="9997" max="9997" width="7.85546875" style="2" customWidth="1"/>
    <col min="9998" max="9998" width="8.28515625" style="2" customWidth="1"/>
    <col min="9999" max="9999" width="9.140625" style="2"/>
    <col min="10000" max="10002" width="7.5703125" style="2" customWidth="1"/>
    <col min="10003" max="10003" width="10.28515625" style="2" customWidth="1"/>
    <col min="10004" max="10004" width="10.5703125" style="2" customWidth="1"/>
    <col min="10005" max="10005" width="11.140625" style="2" customWidth="1"/>
    <col min="10006" max="10006" width="10.42578125" style="2" customWidth="1"/>
    <col min="10007" max="10016" width="11" style="2" customWidth="1"/>
    <col min="10017" max="10017" width="9.140625" style="2" customWidth="1"/>
    <col min="10018" max="10018" width="6.85546875" style="2" customWidth="1"/>
    <col min="10019" max="10019" width="15" style="2" bestFit="1" customWidth="1"/>
    <col min="10020" max="10244" width="9.140625" style="2"/>
    <col min="10245" max="10245" width="4" style="2" customWidth="1"/>
    <col min="10246" max="10246" width="24.42578125" style="2" customWidth="1"/>
    <col min="10247" max="10247" width="19.85546875" style="2" customWidth="1"/>
    <col min="10248" max="10248" width="9.28515625" style="2" customWidth="1"/>
    <col min="10249" max="10249" width="10" style="2" customWidth="1"/>
    <col min="10250" max="10250" width="8.42578125" style="2" customWidth="1"/>
    <col min="10251" max="10251" width="12.28515625" style="2" customWidth="1"/>
    <col min="10252" max="10252" width="7.5703125" style="2" customWidth="1"/>
    <col min="10253" max="10253" width="7.85546875" style="2" customWidth="1"/>
    <col min="10254" max="10254" width="8.28515625" style="2" customWidth="1"/>
    <col min="10255" max="10255" width="9.140625" style="2"/>
    <col min="10256" max="10258" width="7.5703125" style="2" customWidth="1"/>
    <col min="10259" max="10259" width="10.28515625" style="2" customWidth="1"/>
    <col min="10260" max="10260" width="10.5703125" style="2" customWidth="1"/>
    <col min="10261" max="10261" width="11.140625" style="2" customWidth="1"/>
    <col min="10262" max="10262" width="10.42578125" style="2" customWidth="1"/>
    <col min="10263" max="10272" width="11" style="2" customWidth="1"/>
    <col min="10273" max="10273" width="9.140625" style="2" customWidth="1"/>
    <col min="10274" max="10274" width="6.85546875" style="2" customWidth="1"/>
    <col min="10275" max="10275" width="15" style="2" bestFit="1" customWidth="1"/>
    <col min="10276" max="10500" width="9.140625" style="2"/>
    <col min="10501" max="10501" width="4" style="2" customWidth="1"/>
    <col min="10502" max="10502" width="24.42578125" style="2" customWidth="1"/>
    <col min="10503" max="10503" width="19.85546875" style="2" customWidth="1"/>
    <col min="10504" max="10504" width="9.28515625" style="2" customWidth="1"/>
    <col min="10505" max="10505" width="10" style="2" customWidth="1"/>
    <col min="10506" max="10506" width="8.42578125" style="2" customWidth="1"/>
    <col min="10507" max="10507" width="12.28515625" style="2" customWidth="1"/>
    <col min="10508" max="10508" width="7.5703125" style="2" customWidth="1"/>
    <col min="10509" max="10509" width="7.85546875" style="2" customWidth="1"/>
    <col min="10510" max="10510" width="8.28515625" style="2" customWidth="1"/>
    <col min="10511" max="10511" width="9.140625" style="2"/>
    <col min="10512" max="10514" width="7.5703125" style="2" customWidth="1"/>
    <col min="10515" max="10515" width="10.28515625" style="2" customWidth="1"/>
    <col min="10516" max="10516" width="10.5703125" style="2" customWidth="1"/>
    <col min="10517" max="10517" width="11.140625" style="2" customWidth="1"/>
    <col min="10518" max="10518" width="10.42578125" style="2" customWidth="1"/>
    <col min="10519" max="10528" width="11" style="2" customWidth="1"/>
    <col min="10529" max="10529" width="9.140625" style="2" customWidth="1"/>
    <col min="10530" max="10530" width="6.85546875" style="2" customWidth="1"/>
    <col min="10531" max="10531" width="15" style="2" bestFit="1" customWidth="1"/>
    <col min="10532" max="10756" width="9.140625" style="2"/>
    <col min="10757" max="10757" width="4" style="2" customWidth="1"/>
    <col min="10758" max="10758" width="24.42578125" style="2" customWidth="1"/>
    <col min="10759" max="10759" width="19.85546875" style="2" customWidth="1"/>
    <col min="10760" max="10760" width="9.28515625" style="2" customWidth="1"/>
    <col min="10761" max="10761" width="10" style="2" customWidth="1"/>
    <col min="10762" max="10762" width="8.42578125" style="2" customWidth="1"/>
    <col min="10763" max="10763" width="12.28515625" style="2" customWidth="1"/>
    <col min="10764" max="10764" width="7.5703125" style="2" customWidth="1"/>
    <col min="10765" max="10765" width="7.85546875" style="2" customWidth="1"/>
    <col min="10766" max="10766" width="8.28515625" style="2" customWidth="1"/>
    <col min="10767" max="10767" width="9.140625" style="2"/>
    <col min="10768" max="10770" width="7.5703125" style="2" customWidth="1"/>
    <col min="10771" max="10771" width="10.28515625" style="2" customWidth="1"/>
    <col min="10772" max="10772" width="10.5703125" style="2" customWidth="1"/>
    <col min="10773" max="10773" width="11.140625" style="2" customWidth="1"/>
    <col min="10774" max="10774" width="10.42578125" style="2" customWidth="1"/>
    <col min="10775" max="10784" width="11" style="2" customWidth="1"/>
    <col min="10785" max="10785" width="9.140625" style="2" customWidth="1"/>
    <col min="10786" max="10786" width="6.85546875" style="2" customWidth="1"/>
    <col min="10787" max="10787" width="15" style="2" bestFit="1" customWidth="1"/>
    <col min="10788" max="11012" width="9.140625" style="2"/>
    <col min="11013" max="11013" width="4" style="2" customWidth="1"/>
    <col min="11014" max="11014" width="24.42578125" style="2" customWidth="1"/>
    <col min="11015" max="11015" width="19.85546875" style="2" customWidth="1"/>
    <col min="11016" max="11016" width="9.28515625" style="2" customWidth="1"/>
    <col min="11017" max="11017" width="10" style="2" customWidth="1"/>
    <col min="11018" max="11018" width="8.42578125" style="2" customWidth="1"/>
    <col min="11019" max="11019" width="12.28515625" style="2" customWidth="1"/>
    <col min="11020" max="11020" width="7.5703125" style="2" customWidth="1"/>
    <col min="11021" max="11021" width="7.85546875" style="2" customWidth="1"/>
    <col min="11022" max="11022" width="8.28515625" style="2" customWidth="1"/>
    <col min="11023" max="11023" width="9.140625" style="2"/>
    <col min="11024" max="11026" width="7.5703125" style="2" customWidth="1"/>
    <col min="11027" max="11027" width="10.28515625" style="2" customWidth="1"/>
    <col min="11028" max="11028" width="10.5703125" style="2" customWidth="1"/>
    <col min="11029" max="11029" width="11.140625" style="2" customWidth="1"/>
    <col min="11030" max="11030" width="10.42578125" style="2" customWidth="1"/>
    <col min="11031" max="11040" width="11" style="2" customWidth="1"/>
    <col min="11041" max="11041" width="9.140625" style="2" customWidth="1"/>
    <col min="11042" max="11042" width="6.85546875" style="2" customWidth="1"/>
    <col min="11043" max="11043" width="15" style="2" bestFit="1" customWidth="1"/>
    <col min="11044" max="11268" width="9.140625" style="2"/>
    <col min="11269" max="11269" width="4" style="2" customWidth="1"/>
    <col min="11270" max="11270" width="24.42578125" style="2" customWidth="1"/>
    <col min="11271" max="11271" width="19.85546875" style="2" customWidth="1"/>
    <col min="11272" max="11272" width="9.28515625" style="2" customWidth="1"/>
    <col min="11273" max="11273" width="10" style="2" customWidth="1"/>
    <col min="11274" max="11274" width="8.42578125" style="2" customWidth="1"/>
    <col min="11275" max="11275" width="12.28515625" style="2" customWidth="1"/>
    <col min="11276" max="11276" width="7.5703125" style="2" customWidth="1"/>
    <col min="11277" max="11277" width="7.85546875" style="2" customWidth="1"/>
    <col min="11278" max="11278" width="8.28515625" style="2" customWidth="1"/>
    <col min="11279" max="11279" width="9.140625" style="2"/>
    <col min="11280" max="11282" width="7.5703125" style="2" customWidth="1"/>
    <col min="11283" max="11283" width="10.28515625" style="2" customWidth="1"/>
    <col min="11284" max="11284" width="10.5703125" style="2" customWidth="1"/>
    <col min="11285" max="11285" width="11.140625" style="2" customWidth="1"/>
    <col min="11286" max="11286" width="10.42578125" style="2" customWidth="1"/>
    <col min="11287" max="11296" width="11" style="2" customWidth="1"/>
    <col min="11297" max="11297" width="9.140625" style="2" customWidth="1"/>
    <col min="11298" max="11298" width="6.85546875" style="2" customWidth="1"/>
    <col min="11299" max="11299" width="15" style="2" bestFit="1" customWidth="1"/>
    <col min="11300" max="11524" width="9.140625" style="2"/>
    <col min="11525" max="11525" width="4" style="2" customWidth="1"/>
    <col min="11526" max="11526" width="24.42578125" style="2" customWidth="1"/>
    <col min="11527" max="11527" width="19.85546875" style="2" customWidth="1"/>
    <col min="11528" max="11528" width="9.28515625" style="2" customWidth="1"/>
    <col min="11529" max="11529" width="10" style="2" customWidth="1"/>
    <col min="11530" max="11530" width="8.42578125" style="2" customWidth="1"/>
    <col min="11531" max="11531" width="12.28515625" style="2" customWidth="1"/>
    <col min="11532" max="11532" width="7.5703125" style="2" customWidth="1"/>
    <col min="11533" max="11533" width="7.85546875" style="2" customWidth="1"/>
    <col min="11534" max="11534" width="8.28515625" style="2" customWidth="1"/>
    <col min="11535" max="11535" width="9.140625" style="2"/>
    <col min="11536" max="11538" width="7.5703125" style="2" customWidth="1"/>
    <col min="11539" max="11539" width="10.28515625" style="2" customWidth="1"/>
    <col min="11540" max="11540" width="10.5703125" style="2" customWidth="1"/>
    <col min="11541" max="11541" width="11.140625" style="2" customWidth="1"/>
    <col min="11542" max="11542" width="10.42578125" style="2" customWidth="1"/>
    <col min="11543" max="11552" width="11" style="2" customWidth="1"/>
    <col min="11553" max="11553" width="9.140625" style="2" customWidth="1"/>
    <col min="11554" max="11554" width="6.85546875" style="2" customWidth="1"/>
    <col min="11555" max="11555" width="15" style="2" bestFit="1" customWidth="1"/>
    <col min="11556" max="11780" width="9.140625" style="2"/>
    <col min="11781" max="11781" width="4" style="2" customWidth="1"/>
    <col min="11782" max="11782" width="24.42578125" style="2" customWidth="1"/>
    <col min="11783" max="11783" width="19.85546875" style="2" customWidth="1"/>
    <col min="11784" max="11784" width="9.28515625" style="2" customWidth="1"/>
    <col min="11785" max="11785" width="10" style="2" customWidth="1"/>
    <col min="11786" max="11786" width="8.42578125" style="2" customWidth="1"/>
    <col min="11787" max="11787" width="12.28515625" style="2" customWidth="1"/>
    <col min="11788" max="11788" width="7.5703125" style="2" customWidth="1"/>
    <col min="11789" max="11789" width="7.85546875" style="2" customWidth="1"/>
    <col min="11790" max="11790" width="8.28515625" style="2" customWidth="1"/>
    <col min="11791" max="11791" width="9.140625" style="2"/>
    <col min="11792" max="11794" width="7.5703125" style="2" customWidth="1"/>
    <col min="11795" max="11795" width="10.28515625" style="2" customWidth="1"/>
    <col min="11796" max="11796" width="10.5703125" style="2" customWidth="1"/>
    <col min="11797" max="11797" width="11.140625" style="2" customWidth="1"/>
    <col min="11798" max="11798" width="10.42578125" style="2" customWidth="1"/>
    <col min="11799" max="11808" width="11" style="2" customWidth="1"/>
    <col min="11809" max="11809" width="9.140625" style="2" customWidth="1"/>
    <col min="11810" max="11810" width="6.85546875" style="2" customWidth="1"/>
    <col min="11811" max="11811" width="15" style="2" bestFit="1" customWidth="1"/>
    <col min="11812" max="12036" width="9.140625" style="2"/>
    <col min="12037" max="12037" width="4" style="2" customWidth="1"/>
    <col min="12038" max="12038" width="24.42578125" style="2" customWidth="1"/>
    <col min="12039" max="12039" width="19.85546875" style="2" customWidth="1"/>
    <col min="12040" max="12040" width="9.28515625" style="2" customWidth="1"/>
    <col min="12041" max="12041" width="10" style="2" customWidth="1"/>
    <col min="12042" max="12042" width="8.42578125" style="2" customWidth="1"/>
    <col min="12043" max="12043" width="12.28515625" style="2" customWidth="1"/>
    <col min="12044" max="12044" width="7.5703125" style="2" customWidth="1"/>
    <col min="12045" max="12045" width="7.85546875" style="2" customWidth="1"/>
    <col min="12046" max="12046" width="8.28515625" style="2" customWidth="1"/>
    <col min="12047" max="12047" width="9.140625" style="2"/>
    <col min="12048" max="12050" width="7.5703125" style="2" customWidth="1"/>
    <col min="12051" max="12051" width="10.28515625" style="2" customWidth="1"/>
    <col min="12052" max="12052" width="10.5703125" style="2" customWidth="1"/>
    <col min="12053" max="12053" width="11.140625" style="2" customWidth="1"/>
    <col min="12054" max="12054" width="10.42578125" style="2" customWidth="1"/>
    <col min="12055" max="12064" width="11" style="2" customWidth="1"/>
    <col min="12065" max="12065" width="9.140625" style="2" customWidth="1"/>
    <col min="12066" max="12066" width="6.85546875" style="2" customWidth="1"/>
    <col min="12067" max="12067" width="15" style="2" bestFit="1" customWidth="1"/>
    <col min="12068" max="12292" width="9.140625" style="2"/>
    <col min="12293" max="12293" width="4" style="2" customWidth="1"/>
    <col min="12294" max="12294" width="24.42578125" style="2" customWidth="1"/>
    <col min="12295" max="12295" width="19.85546875" style="2" customWidth="1"/>
    <col min="12296" max="12296" width="9.28515625" style="2" customWidth="1"/>
    <col min="12297" max="12297" width="10" style="2" customWidth="1"/>
    <col min="12298" max="12298" width="8.42578125" style="2" customWidth="1"/>
    <col min="12299" max="12299" width="12.28515625" style="2" customWidth="1"/>
    <col min="12300" max="12300" width="7.5703125" style="2" customWidth="1"/>
    <col min="12301" max="12301" width="7.85546875" style="2" customWidth="1"/>
    <col min="12302" max="12302" width="8.28515625" style="2" customWidth="1"/>
    <col min="12303" max="12303" width="9.140625" style="2"/>
    <col min="12304" max="12306" width="7.5703125" style="2" customWidth="1"/>
    <col min="12307" max="12307" width="10.28515625" style="2" customWidth="1"/>
    <col min="12308" max="12308" width="10.5703125" style="2" customWidth="1"/>
    <col min="12309" max="12309" width="11.140625" style="2" customWidth="1"/>
    <col min="12310" max="12310" width="10.42578125" style="2" customWidth="1"/>
    <col min="12311" max="12320" width="11" style="2" customWidth="1"/>
    <col min="12321" max="12321" width="9.140625" style="2" customWidth="1"/>
    <col min="12322" max="12322" width="6.85546875" style="2" customWidth="1"/>
    <col min="12323" max="12323" width="15" style="2" bestFit="1" customWidth="1"/>
    <col min="12324" max="12548" width="9.140625" style="2"/>
    <col min="12549" max="12549" width="4" style="2" customWidth="1"/>
    <col min="12550" max="12550" width="24.42578125" style="2" customWidth="1"/>
    <col min="12551" max="12551" width="19.85546875" style="2" customWidth="1"/>
    <col min="12552" max="12552" width="9.28515625" style="2" customWidth="1"/>
    <col min="12553" max="12553" width="10" style="2" customWidth="1"/>
    <col min="12554" max="12554" width="8.42578125" style="2" customWidth="1"/>
    <col min="12555" max="12555" width="12.28515625" style="2" customWidth="1"/>
    <col min="12556" max="12556" width="7.5703125" style="2" customWidth="1"/>
    <col min="12557" max="12557" width="7.85546875" style="2" customWidth="1"/>
    <col min="12558" max="12558" width="8.28515625" style="2" customWidth="1"/>
    <col min="12559" max="12559" width="9.140625" style="2"/>
    <col min="12560" max="12562" width="7.5703125" style="2" customWidth="1"/>
    <col min="12563" max="12563" width="10.28515625" style="2" customWidth="1"/>
    <col min="12564" max="12564" width="10.5703125" style="2" customWidth="1"/>
    <col min="12565" max="12565" width="11.140625" style="2" customWidth="1"/>
    <col min="12566" max="12566" width="10.42578125" style="2" customWidth="1"/>
    <col min="12567" max="12576" width="11" style="2" customWidth="1"/>
    <col min="12577" max="12577" width="9.140625" style="2" customWidth="1"/>
    <col min="12578" max="12578" width="6.85546875" style="2" customWidth="1"/>
    <col min="12579" max="12579" width="15" style="2" bestFit="1" customWidth="1"/>
    <col min="12580" max="12804" width="9.140625" style="2"/>
    <col min="12805" max="12805" width="4" style="2" customWidth="1"/>
    <col min="12806" max="12806" width="24.42578125" style="2" customWidth="1"/>
    <col min="12807" max="12807" width="19.85546875" style="2" customWidth="1"/>
    <col min="12808" max="12808" width="9.28515625" style="2" customWidth="1"/>
    <col min="12809" max="12809" width="10" style="2" customWidth="1"/>
    <col min="12810" max="12810" width="8.42578125" style="2" customWidth="1"/>
    <col min="12811" max="12811" width="12.28515625" style="2" customWidth="1"/>
    <col min="12812" max="12812" width="7.5703125" style="2" customWidth="1"/>
    <col min="12813" max="12813" width="7.85546875" style="2" customWidth="1"/>
    <col min="12814" max="12814" width="8.28515625" style="2" customWidth="1"/>
    <col min="12815" max="12815" width="9.140625" style="2"/>
    <col min="12816" max="12818" width="7.5703125" style="2" customWidth="1"/>
    <col min="12819" max="12819" width="10.28515625" style="2" customWidth="1"/>
    <col min="12820" max="12820" width="10.5703125" style="2" customWidth="1"/>
    <col min="12821" max="12821" width="11.140625" style="2" customWidth="1"/>
    <col min="12822" max="12822" width="10.42578125" style="2" customWidth="1"/>
    <col min="12823" max="12832" width="11" style="2" customWidth="1"/>
    <col min="12833" max="12833" width="9.140625" style="2" customWidth="1"/>
    <col min="12834" max="12834" width="6.85546875" style="2" customWidth="1"/>
    <col min="12835" max="12835" width="15" style="2" bestFit="1" customWidth="1"/>
    <col min="12836" max="13060" width="9.140625" style="2"/>
    <col min="13061" max="13061" width="4" style="2" customWidth="1"/>
    <col min="13062" max="13062" width="24.42578125" style="2" customWidth="1"/>
    <col min="13063" max="13063" width="19.85546875" style="2" customWidth="1"/>
    <col min="13064" max="13064" width="9.28515625" style="2" customWidth="1"/>
    <col min="13065" max="13065" width="10" style="2" customWidth="1"/>
    <col min="13066" max="13066" width="8.42578125" style="2" customWidth="1"/>
    <col min="13067" max="13067" width="12.28515625" style="2" customWidth="1"/>
    <col min="13068" max="13068" width="7.5703125" style="2" customWidth="1"/>
    <col min="13069" max="13069" width="7.85546875" style="2" customWidth="1"/>
    <col min="13070" max="13070" width="8.28515625" style="2" customWidth="1"/>
    <col min="13071" max="13071" width="9.140625" style="2"/>
    <col min="13072" max="13074" width="7.5703125" style="2" customWidth="1"/>
    <col min="13075" max="13075" width="10.28515625" style="2" customWidth="1"/>
    <col min="13076" max="13076" width="10.5703125" style="2" customWidth="1"/>
    <col min="13077" max="13077" width="11.140625" style="2" customWidth="1"/>
    <col min="13078" max="13078" width="10.42578125" style="2" customWidth="1"/>
    <col min="13079" max="13088" width="11" style="2" customWidth="1"/>
    <col min="13089" max="13089" width="9.140625" style="2" customWidth="1"/>
    <col min="13090" max="13090" width="6.85546875" style="2" customWidth="1"/>
    <col min="13091" max="13091" width="15" style="2" bestFit="1" customWidth="1"/>
    <col min="13092" max="13316" width="9.140625" style="2"/>
    <col min="13317" max="13317" width="4" style="2" customWidth="1"/>
    <col min="13318" max="13318" width="24.42578125" style="2" customWidth="1"/>
    <col min="13319" max="13319" width="19.85546875" style="2" customWidth="1"/>
    <col min="13320" max="13320" width="9.28515625" style="2" customWidth="1"/>
    <col min="13321" max="13321" width="10" style="2" customWidth="1"/>
    <col min="13322" max="13322" width="8.42578125" style="2" customWidth="1"/>
    <col min="13323" max="13323" width="12.28515625" style="2" customWidth="1"/>
    <col min="13324" max="13324" width="7.5703125" style="2" customWidth="1"/>
    <col min="13325" max="13325" width="7.85546875" style="2" customWidth="1"/>
    <col min="13326" max="13326" width="8.28515625" style="2" customWidth="1"/>
    <col min="13327" max="13327" width="9.140625" style="2"/>
    <col min="13328" max="13330" width="7.5703125" style="2" customWidth="1"/>
    <col min="13331" max="13331" width="10.28515625" style="2" customWidth="1"/>
    <col min="13332" max="13332" width="10.5703125" style="2" customWidth="1"/>
    <col min="13333" max="13333" width="11.140625" style="2" customWidth="1"/>
    <col min="13334" max="13334" width="10.42578125" style="2" customWidth="1"/>
    <col min="13335" max="13344" width="11" style="2" customWidth="1"/>
    <col min="13345" max="13345" width="9.140625" style="2" customWidth="1"/>
    <col min="13346" max="13346" width="6.85546875" style="2" customWidth="1"/>
    <col min="13347" max="13347" width="15" style="2" bestFit="1" customWidth="1"/>
    <col min="13348" max="13572" width="9.140625" style="2"/>
    <col min="13573" max="13573" width="4" style="2" customWidth="1"/>
    <col min="13574" max="13574" width="24.42578125" style="2" customWidth="1"/>
    <col min="13575" max="13575" width="19.85546875" style="2" customWidth="1"/>
    <col min="13576" max="13576" width="9.28515625" style="2" customWidth="1"/>
    <col min="13577" max="13577" width="10" style="2" customWidth="1"/>
    <col min="13578" max="13578" width="8.42578125" style="2" customWidth="1"/>
    <col min="13579" max="13579" width="12.28515625" style="2" customWidth="1"/>
    <col min="13580" max="13580" width="7.5703125" style="2" customWidth="1"/>
    <col min="13581" max="13581" width="7.85546875" style="2" customWidth="1"/>
    <col min="13582" max="13582" width="8.28515625" style="2" customWidth="1"/>
    <col min="13583" max="13583" width="9.140625" style="2"/>
    <col min="13584" max="13586" width="7.5703125" style="2" customWidth="1"/>
    <col min="13587" max="13587" width="10.28515625" style="2" customWidth="1"/>
    <col min="13588" max="13588" width="10.5703125" style="2" customWidth="1"/>
    <col min="13589" max="13589" width="11.140625" style="2" customWidth="1"/>
    <col min="13590" max="13590" width="10.42578125" style="2" customWidth="1"/>
    <col min="13591" max="13600" width="11" style="2" customWidth="1"/>
    <col min="13601" max="13601" width="9.140625" style="2" customWidth="1"/>
    <col min="13602" max="13602" width="6.85546875" style="2" customWidth="1"/>
    <col min="13603" max="13603" width="15" style="2" bestFit="1" customWidth="1"/>
    <col min="13604" max="13828" width="9.140625" style="2"/>
    <col min="13829" max="13829" width="4" style="2" customWidth="1"/>
    <col min="13830" max="13830" width="24.42578125" style="2" customWidth="1"/>
    <col min="13831" max="13831" width="19.85546875" style="2" customWidth="1"/>
    <col min="13832" max="13832" width="9.28515625" style="2" customWidth="1"/>
    <col min="13833" max="13833" width="10" style="2" customWidth="1"/>
    <col min="13834" max="13834" width="8.42578125" style="2" customWidth="1"/>
    <col min="13835" max="13835" width="12.28515625" style="2" customWidth="1"/>
    <col min="13836" max="13836" width="7.5703125" style="2" customWidth="1"/>
    <col min="13837" max="13837" width="7.85546875" style="2" customWidth="1"/>
    <col min="13838" max="13838" width="8.28515625" style="2" customWidth="1"/>
    <col min="13839" max="13839" width="9.140625" style="2"/>
    <col min="13840" max="13842" width="7.5703125" style="2" customWidth="1"/>
    <col min="13843" max="13843" width="10.28515625" style="2" customWidth="1"/>
    <col min="13844" max="13844" width="10.5703125" style="2" customWidth="1"/>
    <col min="13845" max="13845" width="11.140625" style="2" customWidth="1"/>
    <col min="13846" max="13846" width="10.42578125" style="2" customWidth="1"/>
    <col min="13847" max="13856" width="11" style="2" customWidth="1"/>
    <col min="13857" max="13857" width="9.140625" style="2" customWidth="1"/>
    <col min="13858" max="13858" width="6.85546875" style="2" customWidth="1"/>
    <col min="13859" max="13859" width="15" style="2" bestFit="1" customWidth="1"/>
    <col min="13860" max="14084" width="9.140625" style="2"/>
    <col min="14085" max="14085" width="4" style="2" customWidth="1"/>
    <col min="14086" max="14086" width="24.42578125" style="2" customWidth="1"/>
    <col min="14087" max="14087" width="19.85546875" style="2" customWidth="1"/>
    <col min="14088" max="14088" width="9.28515625" style="2" customWidth="1"/>
    <col min="14089" max="14089" width="10" style="2" customWidth="1"/>
    <col min="14090" max="14090" width="8.42578125" style="2" customWidth="1"/>
    <col min="14091" max="14091" width="12.28515625" style="2" customWidth="1"/>
    <col min="14092" max="14092" width="7.5703125" style="2" customWidth="1"/>
    <col min="14093" max="14093" width="7.85546875" style="2" customWidth="1"/>
    <col min="14094" max="14094" width="8.28515625" style="2" customWidth="1"/>
    <col min="14095" max="14095" width="9.140625" style="2"/>
    <col min="14096" max="14098" width="7.5703125" style="2" customWidth="1"/>
    <col min="14099" max="14099" width="10.28515625" style="2" customWidth="1"/>
    <col min="14100" max="14100" width="10.5703125" style="2" customWidth="1"/>
    <col min="14101" max="14101" width="11.140625" style="2" customWidth="1"/>
    <col min="14102" max="14102" width="10.42578125" style="2" customWidth="1"/>
    <col min="14103" max="14112" width="11" style="2" customWidth="1"/>
    <col min="14113" max="14113" width="9.140625" style="2" customWidth="1"/>
    <col min="14114" max="14114" width="6.85546875" style="2" customWidth="1"/>
    <col min="14115" max="14115" width="15" style="2" bestFit="1" customWidth="1"/>
    <col min="14116" max="14340" width="9.140625" style="2"/>
    <col min="14341" max="14341" width="4" style="2" customWidth="1"/>
    <col min="14342" max="14342" width="24.42578125" style="2" customWidth="1"/>
    <col min="14343" max="14343" width="19.85546875" style="2" customWidth="1"/>
    <col min="14344" max="14344" width="9.28515625" style="2" customWidth="1"/>
    <col min="14345" max="14345" width="10" style="2" customWidth="1"/>
    <col min="14346" max="14346" width="8.42578125" style="2" customWidth="1"/>
    <col min="14347" max="14347" width="12.28515625" style="2" customWidth="1"/>
    <col min="14348" max="14348" width="7.5703125" style="2" customWidth="1"/>
    <col min="14349" max="14349" width="7.85546875" style="2" customWidth="1"/>
    <col min="14350" max="14350" width="8.28515625" style="2" customWidth="1"/>
    <col min="14351" max="14351" width="9.140625" style="2"/>
    <col min="14352" max="14354" width="7.5703125" style="2" customWidth="1"/>
    <col min="14355" max="14355" width="10.28515625" style="2" customWidth="1"/>
    <col min="14356" max="14356" width="10.5703125" style="2" customWidth="1"/>
    <col min="14357" max="14357" width="11.140625" style="2" customWidth="1"/>
    <col min="14358" max="14358" width="10.42578125" style="2" customWidth="1"/>
    <col min="14359" max="14368" width="11" style="2" customWidth="1"/>
    <col min="14369" max="14369" width="9.140625" style="2" customWidth="1"/>
    <col min="14370" max="14370" width="6.85546875" style="2" customWidth="1"/>
    <col min="14371" max="14371" width="15" style="2" bestFit="1" customWidth="1"/>
    <col min="14372" max="14596" width="9.140625" style="2"/>
    <col min="14597" max="14597" width="4" style="2" customWidth="1"/>
    <col min="14598" max="14598" width="24.42578125" style="2" customWidth="1"/>
    <col min="14599" max="14599" width="19.85546875" style="2" customWidth="1"/>
    <col min="14600" max="14600" width="9.28515625" style="2" customWidth="1"/>
    <col min="14601" max="14601" width="10" style="2" customWidth="1"/>
    <col min="14602" max="14602" width="8.42578125" style="2" customWidth="1"/>
    <col min="14603" max="14603" width="12.28515625" style="2" customWidth="1"/>
    <col min="14604" max="14604" width="7.5703125" style="2" customWidth="1"/>
    <col min="14605" max="14605" width="7.85546875" style="2" customWidth="1"/>
    <col min="14606" max="14606" width="8.28515625" style="2" customWidth="1"/>
    <col min="14607" max="14607" width="9.140625" style="2"/>
    <col min="14608" max="14610" width="7.5703125" style="2" customWidth="1"/>
    <col min="14611" max="14611" width="10.28515625" style="2" customWidth="1"/>
    <col min="14612" max="14612" width="10.5703125" style="2" customWidth="1"/>
    <col min="14613" max="14613" width="11.140625" style="2" customWidth="1"/>
    <col min="14614" max="14614" width="10.42578125" style="2" customWidth="1"/>
    <col min="14615" max="14624" width="11" style="2" customWidth="1"/>
    <col min="14625" max="14625" width="9.140625" style="2" customWidth="1"/>
    <col min="14626" max="14626" width="6.85546875" style="2" customWidth="1"/>
    <col min="14627" max="14627" width="15" style="2" bestFit="1" customWidth="1"/>
    <col min="14628" max="14852" width="9.140625" style="2"/>
    <col min="14853" max="14853" width="4" style="2" customWidth="1"/>
    <col min="14854" max="14854" width="24.42578125" style="2" customWidth="1"/>
    <col min="14855" max="14855" width="19.85546875" style="2" customWidth="1"/>
    <col min="14856" max="14856" width="9.28515625" style="2" customWidth="1"/>
    <col min="14857" max="14857" width="10" style="2" customWidth="1"/>
    <col min="14858" max="14858" width="8.42578125" style="2" customWidth="1"/>
    <col min="14859" max="14859" width="12.28515625" style="2" customWidth="1"/>
    <col min="14860" max="14860" width="7.5703125" style="2" customWidth="1"/>
    <col min="14861" max="14861" width="7.85546875" style="2" customWidth="1"/>
    <col min="14862" max="14862" width="8.28515625" style="2" customWidth="1"/>
    <col min="14863" max="14863" width="9.140625" style="2"/>
    <col min="14864" max="14866" width="7.5703125" style="2" customWidth="1"/>
    <col min="14867" max="14867" width="10.28515625" style="2" customWidth="1"/>
    <col min="14868" max="14868" width="10.5703125" style="2" customWidth="1"/>
    <col min="14869" max="14869" width="11.140625" style="2" customWidth="1"/>
    <col min="14870" max="14870" width="10.42578125" style="2" customWidth="1"/>
    <col min="14871" max="14880" width="11" style="2" customWidth="1"/>
    <col min="14881" max="14881" width="9.140625" style="2" customWidth="1"/>
    <col min="14882" max="14882" width="6.85546875" style="2" customWidth="1"/>
    <col min="14883" max="14883" width="15" style="2" bestFit="1" customWidth="1"/>
    <col min="14884" max="15108" width="9.140625" style="2"/>
    <col min="15109" max="15109" width="4" style="2" customWidth="1"/>
    <col min="15110" max="15110" width="24.42578125" style="2" customWidth="1"/>
    <col min="15111" max="15111" width="19.85546875" style="2" customWidth="1"/>
    <col min="15112" max="15112" width="9.28515625" style="2" customWidth="1"/>
    <col min="15113" max="15113" width="10" style="2" customWidth="1"/>
    <col min="15114" max="15114" width="8.42578125" style="2" customWidth="1"/>
    <col min="15115" max="15115" width="12.28515625" style="2" customWidth="1"/>
    <col min="15116" max="15116" width="7.5703125" style="2" customWidth="1"/>
    <col min="15117" max="15117" width="7.85546875" style="2" customWidth="1"/>
    <col min="15118" max="15118" width="8.28515625" style="2" customWidth="1"/>
    <col min="15119" max="15119" width="9.140625" style="2"/>
    <col min="15120" max="15122" width="7.5703125" style="2" customWidth="1"/>
    <col min="15123" max="15123" width="10.28515625" style="2" customWidth="1"/>
    <col min="15124" max="15124" width="10.5703125" style="2" customWidth="1"/>
    <col min="15125" max="15125" width="11.140625" style="2" customWidth="1"/>
    <col min="15126" max="15126" width="10.42578125" style="2" customWidth="1"/>
    <col min="15127" max="15136" width="11" style="2" customWidth="1"/>
    <col min="15137" max="15137" width="9.140625" style="2" customWidth="1"/>
    <col min="15138" max="15138" width="6.85546875" style="2" customWidth="1"/>
    <col min="15139" max="15139" width="15" style="2" bestFit="1" customWidth="1"/>
    <col min="15140" max="15364" width="9.140625" style="2"/>
    <col min="15365" max="15365" width="4" style="2" customWidth="1"/>
    <col min="15366" max="15366" width="24.42578125" style="2" customWidth="1"/>
    <col min="15367" max="15367" width="19.85546875" style="2" customWidth="1"/>
    <col min="15368" max="15368" width="9.28515625" style="2" customWidth="1"/>
    <col min="15369" max="15369" width="10" style="2" customWidth="1"/>
    <col min="15370" max="15370" width="8.42578125" style="2" customWidth="1"/>
    <col min="15371" max="15371" width="12.28515625" style="2" customWidth="1"/>
    <col min="15372" max="15372" width="7.5703125" style="2" customWidth="1"/>
    <col min="15373" max="15373" width="7.85546875" style="2" customWidth="1"/>
    <col min="15374" max="15374" width="8.28515625" style="2" customWidth="1"/>
    <col min="15375" max="15375" width="9.140625" style="2"/>
    <col min="15376" max="15378" width="7.5703125" style="2" customWidth="1"/>
    <col min="15379" max="15379" width="10.28515625" style="2" customWidth="1"/>
    <col min="15380" max="15380" width="10.5703125" style="2" customWidth="1"/>
    <col min="15381" max="15381" width="11.140625" style="2" customWidth="1"/>
    <col min="15382" max="15382" width="10.42578125" style="2" customWidth="1"/>
    <col min="15383" max="15392" width="11" style="2" customWidth="1"/>
    <col min="15393" max="15393" width="9.140625" style="2" customWidth="1"/>
    <col min="15394" max="15394" width="6.85546875" style="2" customWidth="1"/>
    <col min="15395" max="15395" width="15" style="2" bestFit="1" customWidth="1"/>
    <col min="15396" max="15620" width="9.140625" style="2"/>
    <col min="15621" max="15621" width="4" style="2" customWidth="1"/>
    <col min="15622" max="15622" width="24.42578125" style="2" customWidth="1"/>
    <col min="15623" max="15623" width="19.85546875" style="2" customWidth="1"/>
    <col min="15624" max="15624" width="9.28515625" style="2" customWidth="1"/>
    <col min="15625" max="15625" width="10" style="2" customWidth="1"/>
    <col min="15626" max="15626" width="8.42578125" style="2" customWidth="1"/>
    <col min="15627" max="15627" width="12.28515625" style="2" customWidth="1"/>
    <col min="15628" max="15628" width="7.5703125" style="2" customWidth="1"/>
    <col min="15629" max="15629" width="7.85546875" style="2" customWidth="1"/>
    <col min="15630" max="15630" width="8.28515625" style="2" customWidth="1"/>
    <col min="15631" max="15631" width="9.140625" style="2"/>
    <col min="15632" max="15634" width="7.5703125" style="2" customWidth="1"/>
    <col min="15635" max="15635" width="10.28515625" style="2" customWidth="1"/>
    <col min="15636" max="15636" width="10.5703125" style="2" customWidth="1"/>
    <col min="15637" max="15637" width="11.140625" style="2" customWidth="1"/>
    <col min="15638" max="15638" width="10.42578125" style="2" customWidth="1"/>
    <col min="15639" max="15648" width="11" style="2" customWidth="1"/>
    <col min="15649" max="15649" width="9.140625" style="2" customWidth="1"/>
    <col min="15650" max="15650" width="6.85546875" style="2" customWidth="1"/>
    <col min="15651" max="15651" width="15" style="2" bestFit="1" customWidth="1"/>
    <col min="15652" max="15876" width="9.140625" style="2"/>
    <col min="15877" max="15877" width="4" style="2" customWidth="1"/>
    <col min="15878" max="15878" width="24.42578125" style="2" customWidth="1"/>
    <col min="15879" max="15879" width="19.85546875" style="2" customWidth="1"/>
    <col min="15880" max="15880" width="9.28515625" style="2" customWidth="1"/>
    <col min="15881" max="15881" width="10" style="2" customWidth="1"/>
    <col min="15882" max="15882" width="8.42578125" style="2" customWidth="1"/>
    <col min="15883" max="15883" width="12.28515625" style="2" customWidth="1"/>
    <col min="15884" max="15884" width="7.5703125" style="2" customWidth="1"/>
    <col min="15885" max="15885" width="7.85546875" style="2" customWidth="1"/>
    <col min="15886" max="15886" width="8.28515625" style="2" customWidth="1"/>
    <col min="15887" max="15887" width="9.140625" style="2"/>
    <col min="15888" max="15890" width="7.5703125" style="2" customWidth="1"/>
    <col min="15891" max="15891" width="10.28515625" style="2" customWidth="1"/>
    <col min="15892" max="15892" width="10.5703125" style="2" customWidth="1"/>
    <col min="15893" max="15893" width="11.140625" style="2" customWidth="1"/>
    <col min="15894" max="15894" width="10.42578125" style="2" customWidth="1"/>
    <col min="15895" max="15904" width="11" style="2" customWidth="1"/>
    <col min="15905" max="15905" width="9.140625" style="2" customWidth="1"/>
    <col min="15906" max="15906" width="6.85546875" style="2" customWidth="1"/>
    <col min="15907" max="15907" width="15" style="2" bestFit="1" customWidth="1"/>
    <col min="15908" max="16132" width="9.140625" style="2"/>
    <col min="16133" max="16133" width="4" style="2" customWidth="1"/>
    <col min="16134" max="16134" width="24.42578125" style="2" customWidth="1"/>
    <col min="16135" max="16135" width="19.85546875" style="2" customWidth="1"/>
    <col min="16136" max="16136" width="9.28515625" style="2" customWidth="1"/>
    <col min="16137" max="16137" width="10" style="2" customWidth="1"/>
    <col min="16138" max="16138" width="8.42578125" style="2" customWidth="1"/>
    <col min="16139" max="16139" width="12.28515625" style="2" customWidth="1"/>
    <col min="16140" max="16140" width="7.5703125" style="2" customWidth="1"/>
    <col min="16141" max="16141" width="7.85546875" style="2" customWidth="1"/>
    <col min="16142" max="16142" width="8.28515625" style="2" customWidth="1"/>
    <col min="16143" max="16143" width="9.140625" style="2"/>
    <col min="16144" max="16146" width="7.5703125" style="2" customWidth="1"/>
    <col min="16147" max="16147" width="10.28515625" style="2" customWidth="1"/>
    <col min="16148" max="16148" width="10.5703125" style="2" customWidth="1"/>
    <col min="16149" max="16149" width="11.140625" style="2" customWidth="1"/>
    <col min="16150" max="16150" width="10.42578125" style="2" customWidth="1"/>
    <col min="16151" max="16160" width="11" style="2" customWidth="1"/>
    <col min="16161" max="16161" width="9.140625" style="2" customWidth="1"/>
    <col min="16162" max="16162" width="6.85546875" style="2" customWidth="1"/>
    <col min="16163" max="16163" width="15" style="2" bestFit="1" customWidth="1"/>
    <col min="16164" max="16384" width="9.140625" style="2"/>
  </cols>
  <sheetData>
    <row r="1" spans="1:48" ht="125.25">
      <c r="A1" s="10" t="s">
        <v>17</v>
      </c>
      <c r="B1" s="11"/>
      <c r="C1" s="11" t="s">
        <v>19</v>
      </c>
      <c r="D1" s="12" t="s">
        <v>20</v>
      </c>
      <c r="E1" s="81">
        <v>2017</v>
      </c>
      <c r="F1" s="77" t="s">
        <v>194</v>
      </c>
      <c r="G1" s="77" t="s">
        <v>195</v>
      </c>
      <c r="H1" s="81">
        <v>2019</v>
      </c>
      <c r="I1" s="13" t="s">
        <v>21</v>
      </c>
      <c r="J1" s="4" t="s">
        <v>22</v>
      </c>
      <c r="K1" s="4" t="s">
        <v>23</v>
      </c>
      <c r="L1" s="4" t="s">
        <v>24</v>
      </c>
      <c r="M1" s="4" t="s">
        <v>25</v>
      </c>
      <c r="N1" s="4" t="s">
        <v>26</v>
      </c>
      <c r="O1" s="4" t="s">
        <v>27</v>
      </c>
      <c r="P1" s="4" t="s">
        <v>28</v>
      </c>
      <c r="Q1" s="4" t="s">
        <v>29</v>
      </c>
      <c r="R1" s="4" t="s">
        <v>30</v>
      </c>
      <c r="S1" s="4" t="s">
        <v>31</v>
      </c>
      <c r="T1" s="4" t="s">
        <v>32</v>
      </c>
      <c r="U1" s="4" t="s">
        <v>33</v>
      </c>
      <c r="V1" s="4" t="s">
        <v>34</v>
      </c>
      <c r="W1" s="4" t="s">
        <v>35</v>
      </c>
      <c r="X1" s="4" t="s">
        <v>36</v>
      </c>
      <c r="Y1" s="4" t="s">
        <v>37</v>
      </c>
      <c r="Z1" s="5" t="s">
        <v>38</v>
      </c>
      <c r="AA1" s="5" t="s">
        <v>39</v>
      </c>
      <c r="AB1" s="26" t="s">
        <v>151</v>
      </c>
      <c r="AC1" s="26" t="s">
        <v>152</v>
      </c>
      <c r="AD1" s="26" t="s">
        <v>153</v>
      </c>
      <c r="AG1" s="34" t="s">
        <v>154</v>
      </c>
      <c r="AH1" s="46" t="s">
        <v>155</v>
      </c>
      <c r="AN1" s="47" t="s">
        <v>156</v>
      </c>
      <c r="AP1" s="73" t="s">
        <v>15</v>
      </c>
      <c r="AS1" s="2">
        <v>4</v>
      </c>
      <c r="AT1" s="2">
        <v>12</v>
      </c>
    </row>
    <row r="2" spans="1:48" ht="23.25" hidden="1" customHeight="1">
      <c r="A2" s="90">
        <v>1</v>
      </c>
      <c r="B2" s="14" t="s">
        <v>40</v>
      </c>
      <c r="C2" s="14" t="s">
        <v>40</v>
      </c>
      <c r="D2" s="15" t="s">
        <v>41</v>
      </c>
      <c r="E2" s="78">
        <f t="shared" ref="E2:E14" si="0">AVERAGE(J2:N2)</f>
        <v>43003</v>
      </c>
      <c r="F2" s="78">
        <f t="shared" ref="F2:F14" si="1">AVERAGE(O2:V2)</f>
        <v>46327.875</v>
      </c>
      <c r="G2" s="78">
        <f>AVERAGE(W2:Z2)</f>
        <v>78850.5</v>
      </c>
      <c r="H2" s="78">
        <f>AVERAGE(AA2:AD2)</f>
        <v>68161.5</v>
      </c>
      <c r="I2" s="6">
        <v>115454</v>
      </c>
      <c r="J2" s="6">
        <f>20953+34257</f>
        <v>55210</v>
      </c>
      <c r="K2" s="6">
        <f>11506+18872</f>
        <v>30378</v>
      </c>
      <c r="L2" s="6">
        <f>15483+33338</f>
        <v>48821</v>
      </c>
      <c r="M2" s="6">
        <v>46267</v>
      </c>
      <c r="N2" s="6">
        <f>11097+23242</f>
        <v>34339</v>
      </c>
      <c r="O2" s="6">
        <v>45068</v>
      </c>
      <c r="P2" s="6">
        <v>48843</v>
      </c>
      <c r="Q2" s="6">
        <v>42904</v>
      </c>
      <c r="R2" s="6">
        <v>47723</v>
      </c>
      <c r="S2" s="6">
        <v>55332</v>
      </c>
      <c r="T2" s="6">
        <v>37415</v>
      </c>
      <c r="U2" s="6">
        <v>47983</v>
      </c>
      <c r="V2" s="6">
        <v>45355</v>
      </c>
      <c r="W2" s="6">
        <v>67196</v>
      </c>
      <c r="X2" s="6">
        <v>82706</v>
      </c>
      <c r="Y2" s="6">
        <v>78158</v>
      </c>
      <c r="Z2" s="6">
        <v>87342</v>
      </c>
      <c r="AA2" s="6">
        <v>85341</v>
      </c>
      <c r="AB2" s="27">
        <v>76252</v>
      </c>
      <c r="AC2" s="27">
        <v>70654</v>
      </c>
      <c r="AD2" s="27">
        <v>40399</v>
      </c>
      <c r="AE2" s="33">
        <f>SUM(I2:AD2)</f>
        <v>1289140</v>
      </c>
      <c r="AF2" s="33"/>
      <c r="AG2" s="35">
        <v>5.8500000000000003E-2</v>
      </c>
      <c r="AH2" s="33">
        <f>AE2*AG2</f>
        <v>75414.69</v>
      </c>
      <c r="AI2" s="46">
        <f>AH2/$AH$44*100</f>
        <v>1.8157100298096203</v>
      </c>
      <c r="AJ2" s="46">
        <f>AI2*$AJ$44/100</f>
        <v>363142.00596192403</v>
      </c>
      <c r="AK2" s="46">
        <f>AJ2/AG2</f>
        <v>6207555.6574687865</v>
      </c>
      <c r="AL2" s="46">
        <f t="shared" ref="AL2:AL17" si="2">AK2/AS2</f>
        <v>290992.39936629747</v>
      </c>
      <c r="AM2" s="46">
        <f>AK2/AT2</f>
        <v>24249.366613858125</v>
      </c>
      <c r="AN2" s="48">
        <v>12852</v>
      </c>
      <c r="AP2" s="74">
        <f>საპენსიო!D2</f>
        <v>92.063670411985015</v>
      </c>
      <c r="AQ2" s="74">
        <f>შშმპ!D2</f>
        <v>78.595238095238102</v>
      </c>
      <c r="AR2" s="9">
        <f>AVERAGE(AP2:AQ2)</f>
        <v>85.329454253611559</v>
      </c>
      <c r="AS2" s="9">
        <f>AR2/$AS$1</f>
        <v>21.33236356340289</v>
      </c>
      <c r="AT2" s="9">
        <f>AS2*$AT$1</f>
        <v>255.98836276083466</v>
      </c>
      <c r="AU2" s="76">
        <f t="shared" ref="AU2:AU17" si="3">AN2/AR2</f>
        <v>150.61622170700852</v>
      </c>
      <c r="AV2" s="76">
        <f>AN2/AS2</f>
        <v>602.46488682803408</v>
      </c>
    </row>
    <row r="3" spans="1:48" hidden="1">
      <c r="A3" s="90"/>
      <c r="B3" s="16" t="s">
        <v>42</v>
      </c>
      <c r="C3" s="16" t="s">
        <v>43</v>
      </c>
      <c r="D3" s="15" t="s">
        <v>44</v>
      </c>
      <c r="E3" s="78">
        <f t="shared" si="0"/>
        <v>62600.6</v>
      </c>
      <c r="F3" s="78">
        <f t="shared" si="1"/>
        <v>82328.125</v>
      </c>
      <c r="G3" s="78">
        <f t="shared" ref="G3:G43" si="4">AVERAGE(W3:Z3)</f>
        <v>138558</v>
      </c>
      <c r="H3" s="78">
        <f t="shared" ref="H3:H43" si="5">AVERAGE(AA3:AD3)</f>
        <v>136314</v>
      </c>
      <c r="I3" s="6">
        <v>128708</v>
      </c>
      <c r="J3" s="6">
        <f>68841</f>
        <v>68841</v>
      </c>
      <c r="K3" s="6">
        <f>41674</f>
        <v>41674</v>
      </c>
      <c r="L3" s="6">
        <f>77476</f>
        <v>77476</v>
      </c>
      <c r="M3" s="6">
        <v>71438</v>
      </c>
      <c r="N3" s="6">
        <f>180+53394</f>
        <v>53574</v>
      </c>
      <c r="O3" s="6">
        <v>68830</v>
      </c>
      <c r="P3" s="6">
        <v>87699</v>
      </c>
      <c r="Q3" s="6">
        <v>79766</v>
      </c>
      <c r="R3" s="6">
        <v>76260</v>
      </c>
      <c r="S3" s="6">
        <v>95079</v>
      </c>
      <c r="T3" s="6">
        <v>75991</v>
      </c>
      <c r="U3" s="6">
        <v>86045</v>
      </c>
      <c r="V3" s="6">
        <v>88955</v>
      </c>
      <c r="W3" s="6">
        <v>117285</v>
      </c>
      <c r="X3" s="6">
        <v>156780</v>
      </c>
      <c r="Y3" s="6">
        <v>143245</v>
      </c>
      <c r="Z3" s="6">
        <v>136922</v>
      </c>
      <c r="AA3" s="6">
        <v>138365</v>
      </c>
      <c r="AB3" s="27">
        <v>134077</v>
      </c>
      <c r="AC3" s="27">
        <v>133218</v>
      </c>
      <c r="AD3" s="27">
        <v>139596</v>
      </c>
      <c r="AE3" s="33">
        <f t="shared" ref="AE3:AE43" si="6">SUM(I3:AD3)</f>
        <v>2199824</v>
      </c>
      <c r="AF3" s="33"/>
      <c r="AG3" s="36">
        <v>6.4500000000000002E-2</v>
      </c>
      <c r="AH3" s="33">
        <f t="shared" ref="AH3:AH43" si="7">AE3*AG3</f>
        <v>141888.64800000002</v>
      </c>
      <c r="AI3" s="46">
        <f t="shared" ref="AI3:AI43" si="8">AH3/$AH$44*100</f>
        <v>3.4161599191049747</v>
      </c>
      <c r="AJ3" s="46">
        <f t="shared" ref="AJ3:AJ43" si="9">AI3*$AJ$44/100</f>
        <v>683231.98382099497</v>
      </c>
      <c r="AK3" s="46">
        <f t="shared" ref="AK3:AK42" si="10">AJ3/AG3</f>
        <v>10592743.935209224</v>
      </c>
      <c r="AL3" s="46">
        <f t="shared" si="2"/>
        <v>461404.90161337459</v>
      </c>
      <c r="AM3" s="46">
        <f t="shared" ref="AM3:AM43" si="11">AK3/AT3</f>
        <v>38450.408467781221</v>
      </c>
      <c r="AN3" s="48">
        <v>970805</v>
      </c>
      <c r="AP3" s="74">
        <f>საპენსიო!D3</f>
        <v>87.473209249858996</v>
      </c>
      <c r="AQ3" s="74">
        <f>შშმპ!D3</f>
        <v>96.1875</v>
      </c>
      <c r="AR3" s="9">
        <f t="shared" ref="AR3:AR43" si="12">AVERAGE(AP3:AQ3)</f>
        <v>91.830354624929498</v>
      </c>
      <c r="AS3" s="9">
        <f t="shared" ref="AS3:AS43" si="13">AR3/$AS$1</f>
        <v>22.957588656232375</v>
      </c>
      <c r="AT3" s="9">
        <f t="shared" ref="AT3:AT43" si="14">AS3*$AT$1</f>
        <v>275.49106387478849</v>
      </c>
      <c r="AU3" s="76">
        <f t="shared" si="3"/>
        <v>10571.722215003319</v>
      </c>
      <c r="AV3" s="76">
        <f t="shared" ref="AV3:AV17" si="15">AN3/AS3</f>
        <v>42286.888860013278</v>
      </c>
    </row>
    <row r="4" spans="1:48" hidden="1">
      <c r="A4" s="16">
        <v>2</v>
      </c>
      <c r="B4" s="16" t="s">
        <v>45</v>
      </c>
      <c r="C4" s="16" t="s">
        <v>46</v>
      </c>
      <c r="D4" s="17" t="s">
        <v>47</v>
      </c>
      <c r="E4" s="78">
        <f t="shared" si="0"/>
        <v>44461.8</v>
      </c>
      <c r="F4" s="78">
        <f t="shared" si="1"/>
        <v>62495.625</v>
      </c>
      <c r="G4" s="78">
        <f t="shared" si="4"/>
        <v>127965.25</v>
      </c>
      <c r="H4" s="78">
        <f t="shared" si="5"/>
        <v>92294.25</v>
      </c>
      <c r="I4" s="6">
        <v>74656</v>
      </c>
      <c r="J4" s="6">
        <f>894+48877</f>
        <v>49771</v>
      </c>
      <c r="K4" s="6">
        <f>304+29577</f>
        <v>29881</v>
      </c>
      <c r="L4" s="6">
        <f>49670</f>
        <v>49670</v>
      </c>
      <c r="M4" s="6">
        <v>52667</v>
      </c>
      <c r="N4" s="6">
        <f>92+40228</f>
        <v>40320</v>
      </c>
      <c r="O4" s="6">
        <v>51024</v>
      </c>
      <c r="P4" s="6">
        <v>63258</v>
      </c>
      <c r="Q4" s="6">
        <v>59752</v>
      </c>
      <c r="R4" s="6">
        <v>57385</v>
      </c>
      <c r="S4" s="6">
        <v>78187</v>
      </c>
      <c r="T4" s="6">
        <v>57063</v>
      </c>
      <c r="U4" s="6">
        <v>65543</v>
      </c>
      <c r="V4" s="6">
        <v>67753</v>
      </c>
      <c r="W4" s="6">
        <v>107766</v>
      </c>
      <c r="X4" s="6">
        <v>143166</v>
      </c>
      <c r="Y4" s="6">
        <v>134239</v>
      </c>
      <c r="Z4" s="6">
        <v>126690</v>
      </c>
      <c r="AA4" s="6">
        <v>118049</v>
      </c>
      <c r="AB4" s="28">
        <f>2143+6105+111108</f>
        <v>119356</v>
      </c>
      <c r="AC4" s="28">
        <v>102458</v>
      </c>
      <c r="AD4" s="28">
        <v>29314</v>
      </c>
      <c r="AE4" s="33">
        <f t="shared" si="6"/>
        <v>1677968</v>
      </c>
      <c r="AF4" s="33"/>
      <c r="AG4" s="36">
        <v>0.21840000000000001</v>
      </c>
      <c r="AH4" s="33">
        <f t="shared" si="7"/>
        <v>366468.21120000002</v>
      </c>
      <c r="AI4" s="46">
        <f t="shared" si="8"/>
        <v>8.8232147699901748</v>
      </c>
      <c r="AJ4" s="46">
        <f t="shared" si="9"/>
        <v>1764642.9539980348</v>
      </c>
      <c r="AK4" s="46">
        <f t="shared" si="10"/>
        <v>8079867.0054855067</v>
      </c>
      <c r="AL4" s="46">
        <f t="shared" si="2"/>
        <v>518126.98224935157</v>
      </c>
      <c r="AM4" s="46">
        <f t="shared" si="11"/>
        <v>43177.2485207793</v>
      </c>
      <c r="AN4" s="48">
        <v>160907</v>
      </c>
      <c r="AP4" s="74">
        <f>საპენსიო!D4</f>
        <v>66.601855287569578</v>
      </c>
      <c r="AQ4" s="74">
        <f>შშმპ!D9</f>
        <v>58.153153153153156</v>
      </c>
      <c r="AR4" s="9">
        <f t="shared" si="12"/>
        <v>62.377504220361367</v>
      </c>
      <c r="AS4" s="9">
        <f t="shared" si="13"/>
        <v>15.594376055090342</v>
      </c>
      <c r="AT4" s="9">
        <f t="shared" si="14"/>
        <v>187.13251266108409</v>
      </c>
      <c r="AU4" s="76">
        <f t="shared" si="3"/>
        <v>2579.5677786588403</v>
      </c>
      <c r="AV4" s="76">
        <f t="shared" si="15"/>
        <v>10318.271114635361</v>
      </c>
    </row>
    <row r="5" spans="1:48" hidden="1">
      <c r="A5" s="16">
        <v>3</v>
      </c>
      <c r="B5" s="16" t="s">
        <v>48</v>
      </c>
      <c r="C5" s="16" t="s">
        <v>48</v>
      </c>
      <c r="D5" s="18" t="s">
        <v>49</v>
      </c>
      <c r="E5" s="78">
        <f t="shared" si="0"/>
        <v>55445</v>
      </c>
      <c r="F5" s="78">
        <f t="shared" si="1"/>
        <v>108836.625</v>
      </c>
      <c r="G5" s="78">
        <f t="shared" si="4"/>
        <v>216440.25</v>
      </c>
      <c r="H5" s="78">
        <f t="shared" si="5"/>
        <v>227824</v>
      </c>
      <c r="I5" s="6">
        <v>0</v>
      </c>
      <c r="J5" s="6">
        <v>0</v>
      </c>
      <c r="K5" s="6">
        <v>11654</v>
      </c>
      <c r="L5" s="6">
        <f>125527</f>
        <v>125527</v>
      </c>
      <c r="M5" s="6">
        <v>76906</v>
      </c>
      <c r="N5" s="6">
        <f>63138</f>
        <v>63138</v>
      </c>
      <c r="O5" s="6">
        <v>94802</v>
      </c>
      <c r="P5" s="6">
        <v>103039</v>
      </c>
      <c r="Q5" s="6">
        <v>106262</v>
      </c>
      <c r="R5" s="6">
        <v>109933</v>
      </c>
      <c r="S5" s="6">
        <v>124788</v>
      </c>
      <c r="T5" s="6">
        <v>101734</v>
      </c>
      <c r="U5" s="6">
        <v>117850</v>
      </c>
      <c r="V5" s="6">
        <v>112285</v>
      </c>
      <c r="W5" s="6">
        <v>174735</v>
      </c>
      <c r="X5" s="6">
        <v>241015</v>
      </c>
      <c r="Y5" s="6">
        <v>224504</v>
      </c>
      <c r="Z5" s="6">
        <v>225507</v>
      </c>
      <c r="AA5" s="6">
        <v>231313</v>
      </c>
      <c r="AB5" s="27">
        <v>231431</v>
      </c>
      <c r="AC5" s="27">
        <v>237975</v>
      </c>
      <c r="AD5" s="27">
        <v>210577</v>
      </c>
      <c r="AE5" s="33">
        <f t="shared" si="6"/>
        <v>2924975</v>
      </c>
      <c r="AF5" s="33"/>
      <c r="AG5" s="37">
        <v>4.1000000000000002E-2</v>
      </c>
      <c r="AH5" s="33">
        <f t="shared" si="7"/>
        <v>119923.97500000001</v>
      </c>
      <c r="AI5" s="46">
        <f t="shared" si="8"/>
        <v>2.8873308929883312</v>
      </c>
      <c r="AJ5" s="46">
        <f t="shared" si="9"/>
        <v>577466.17859766621</v>
      </c>
      <c r="AK5" s="46">
        <f t="shared" si="10"/>
        <v>14084540.941406492</v>
      </c>
      <c r="AL5" s="46">
        <f t="shared" si="2"/>
        <v>493655.95469381614</v>
      </c>
      <c r="AM5" s="46">
        <f t="shared" si="11"/>
        <v>41137.996224484676</v>
      </c>
      <c r="AN5" s="48">
        <v>1304050</v>
      </c>
      <c r="AP5" s="74">
        <f>საპენსიო!D17</f>
        <v>110.81858766233766</v>
      </c>
      <c r="AQ5" s="74">
        <f>შშმპ!D16</f>
        <v>117.43010752688173</v>
      </c>
      <c r="AR5" s="9">
        <f t="shared" si="12"/>
        <v>114.1243475946097</v>
      </c>
      <c r="AS5" s="9">
        <f t="shared" si="13"/>
        <v>28.531086898652426</v>
      </c>
      <c r="AT5" s="9">
        <f t="shared" si="14"/>
        <v>342.37304278382908</v>
      </c>
      <c r="AU5" s="76">
        <f t="shared" si="3"/>
        <v>11426.571345075472</v>
      </c>
      <c r="AV5" s="76">
        <f t="shared" si="15"/>
        <v>45706.285380301888</v>
      </c>
    </row>
    <row r="6" spans="1:48" ht="27" hidden="1" customHeight="1">
      <c r="A6" s="16">
        <v>4</v>
      </c>
      <c r="B6" s="16" t="s">
        <v>50</v>
      </c>
      <c r="C6" s="16" t="s">
        <v>51</v>
      </c>
      <c r="D6" s="19" t="s">
        <v>52</v>
      </c>
      <c r="E6" s="78">
        <f t="shared" si="0"/>
        <v>28665.599999999999</v>
      </c>
      <c r="F6" s="78">
        <f t="shared" si="1"/>
        <v>37865.25</v>
      </c>
      <c r="G6" s="78">
        <f t="shared" si="4"/>
        <v>71543.75</v>
      </c>
      <c r="H6" s="78">
        <f t="shared" si="5"/>
        <v>58414</v>
      </c>
      <c r="I6" s="6">
        <v>71359</v>
      </c>
      <c r="J6" s="6">
        <f>103+23+219+92+90+92+5463+17825+10070</f>
        <v>33977</v>
      </c>
      <c r="K6" s="6">
        <f>71+46+91+92+2667+9088+6961</f>
        <v>19016</v>
      </c>
      <c r="L6" s="6">
        <f>90+230+5697+14666+13155</f>
        <v>33838</v>
      </c>
      <c r="M6" s="6">
        <v>31458</v>
      </c>
      <c r="N6" s="6">
        <f>1+138+115+2448+8277+14060</f>
        <v>25039</v>
      </c>
      <c r="O6" s="6">
        <v>32180</v>
      </c>
      <c r="P6" s="6">
        <v>40242</v>
      </c>
      <c r="Q6" s="6">
        <v>34672</v>
      </c>
      <c r="R6" s="6">
        <v>37150</v>
      </c>
      <c r="S6" s="6">
        <v>44130</v>
      </c>
      <c r="T6" s="6">
        <v>33373</v>
      </c>
      <c r="U6" s="6">
        <v>39863</v>
      </c>
      <c r="V6" s="6">
        <v>41312</v>
      </c>
      <c r="W6" s="6">
        <v>62328</v>
      </c>
      <c r="X6" s="6">
        <v>81237</v>
      </c>
      <c r="Y6" s="6">
        <v>72170</v>
      </c>
      <c r="Z6" s="6">
        <v>70440</v>
      </c>
      <c r="AA6" s="6">
        <v>70692</v>
      </c>
      <c r="AB6" s="27">
        <v>71155</v>
      </c>
      <c r="AC6" s="27">
        <v>64086</v>
      </c>
      <c r="AD6" s="27">
        <v>27723</v>
      </c>
      <c r="AE6" s="33">
        <f t="shared" si="6"/>
        <v>1037440</v>
      </c>
      <c r="AF6" s="33"/>
      <c r="AG6" s="37">
        <v>4.7500000000000001E-2</v>
      </c>
      <c r="AH6" s="33">
        <f t="shared" si="7"/>
        <v>49278.400000000001</v>
      </c>
      <c r="AI6" s="46">
        <f t="shared" si="8"/>
        <v>1.1864437171719513</v>
      </c>
      <c r="AJ6" s="46">
        <f t="shared" si="9"/>
        <v>237288.74343439029</v>
      </c>
      <c r="AK6" s="46">
        <f t="shared" si="10"/>
        <v>4995552.4933555853</v>
      </c>
      <c r="AL6" s="46">
        <f t="shared" si="2"/>
        <v>333075.57899198943</v>
      </c>
      <c r="AM6" s="46">
        <f t="shared" si="11"/>
        <v>27756.298249332449</v>
      </c>
      <c r="AN6" s="48">
        <v>6776</v>
      </c>
      <c r="AP6" s="74">
        <f>საპენსიო!D6</f>
        <v>57.986040609137056</v>
      </c>
      <c r="AQ6" s="74">
        <f>შშმპ!D4</f>
        <v>62</v>
      </c>
      <c r="AR6" s="9">
        <f t="shared" si="12"/>
        <v>59.993020304568532</v>
      </c>
      <c r="AS6" s="9">
        <f t="shared" si="13"/>
        <v>14.998255076142133</v>
      </c>
      <c r="AT6" s="9">
        <f t="shared" si="14"/>
        <v>179.97906091370561</v>
      </c>
      <c r="AU6" s="76">
        <f t="shared" si="3"/>
        <v>112.94647219960019</v>
      </c>
      <c r="AV6" s="76">
        <f t="shared" si="15"/>
        <v>451.78588879840078</v>
      </c>
    </row>
    <row r="7" spans="1:48" ht="30" hidden="1" customHeight="1">
      <c r="A7" s="16">
        <v>5</v>
      </c>
      <c r="B7" s="14" t="s">
        <v>53</v>
      </c>
      <c r="C7" s="16" t="s">
        <v>54</v>
      </c>
      <c r="D7" s="18" t="s">
        <v>55</v>
      </c>
      <c r="E7" s="78">
        <f t="shared" si="0"/>
        <v>12809.8</v>
      </c>
      <c r="F7" s="78">
        <f t="shared" si="1"/>
        <v>16399.375</v>
      </c>
      <c r="G7" s="78">
        <f t="shared" si="4"/>
        <v>36643.75</v>
      </c>
      <c r="H7" s="78">
        <f t="shared" si="5"/>
        <v>40709</v>
      </c>
      <c r="I7" s="6">
        <v>35172</v>
      </c>
      <c r="J7" s="6">
        <f>14677+300</f>
        <v>14977</v>
      </c>
      <c r="K7" s="6">
        <f>7169</f>
        <v>7169</v>
      </c>
      <c r="L7" s="6">
        <f>16509</f>
        <v>16509</v>
      </c>
      <c r="M7" s="6">
        <v>14056</v>
      </c>
      <c r="N7" s="6">
        <f>11338</f>
        <v>11338</v>
      </c>
      <c r="O7" s="6">
        <v>15140</v>
      </c>
      <c r="P7" s="6">
        <v>16835</v>
      </c>
      <c r="Q7" s="6">
        <v>15104</v>
      </c>
      <c r="R7" s="6">
        <v>15293</v>
      </c>
      <c r="S7" s="6">
        <v>18158</v>
      </c>
      <c r="T7" s="6">
        <v>14011</v>
      </c>
      <c r="U7" s="6">
        <v>19170</v>
      </c>
      <c r="V7" s="6">
        <v>17484</v>
      </c>
      <c r="W7" s="6">
        <v>31052</v>
      </c>
      <c r="X7" s="6">
        <v>40073</v>
      </c>
      <c r="Y7" s="6">
        <v>38322</v>
      </c>
      <c r="Z7" s="6">
        <v>37128</v>
      </c>
      <c r="AA7" s="6">
        <v>38507</v>
      </c>
      <c r="AB7" s="27">
        <v>37090</v>
      </c>
      <c r="AC7" s="27">
        <v>43811</v>
      </c>
      <c r="AD7" s="27">
        <v>43428</v>
      </c>
      <c r="AE7" s="33">
        <f t="shared" si="6"/>
        <v>539827</v>
      </c>
      <c r="AF7" s="33"/>
      <c r="AG7" s="38">
        <v>0.1034559</v>
      </c>
      <c r="AH7" s="33">
        <f t="shared" si="7"/>
        <v>55848.288129300003</v>
      </c>
      <c r="AI7" s="46">
        <f t="shared" si="8"/>
        <v>1.3446226047480614</v>
      </c>
      <c r="AJ7" s="46">
        <f t="shared" si="9"/>
        <v>268924.52094961226</v>
      </c>
      <c r="AK7" s="46">
        <f t="shared" si="10"/>
        <v>2599412.1258392441</v>
      </c>
      <c r="AL7" s="46">
        <f t="shared" si="2"/>
        <v>120855.50166763978</v>
      </c>
      <c r="AM7" s="46">
        <f t="shared" si="11"/>
        <v>10071.291805636649</v>
      </c>
      <c r="AN7" s="48">
        <v>516988</v>
      </c>
      <c r="AP7" s="74">
        <f>საპენსიო!D7</f>
        <v>84.567441860465109</v>
      </c>
      <c r="AQ7" s="74">
        <f>შშმპ!D5</f>
        <v>87.5</v>
      </c>
      <c r="AR7" s="9">
        <f t="shared" si="12"/>
        <v>86.033720930232562</v>
      </c>
      <c r="AS7" s="9">
        <f t="shared" si="13"/>
        <v>21.50843023255814</v>
      </c>
      <c r="AT7" s="9">
        <f t="shared" si="14"/>
        <v>258.10116279069769</v>
      </c>
      <c r="AU7" s="76">
        <f t="shared" si="3"/>
        <v>6009.1321682952866</v>
      </c>
      <c r="AV7" s="76">
        <f t="shared" si="15"/>
        <v>24036.528673181147</v>
      </c>
    </row>
    <row r="8" spans="1:48" ht="25.5" hidden="1" customHeight="1">
      <c r="A8" s="16">
        <v>6</v>
      </c>
      <c r="B8" s="16" t="s">
        <v>56</v>
      </c>
      <c r="C8" s="16" t="s">
        <v>57</v>
      </c>
      <c r="D8" s="19" t="s">
        <v>52</v>
      </c>
      <c r="E8" s="78">
        <f t="shared" si="0"/>
        <v>3011.4</v>
      </c>
      <c r="F8" s="78">
        <f t="shared" si="1"/>
        <v>3165.375</v>
      </c>
      <c r="G8" s="78">
        <f t="shared" si="4"/>
        <v>8302.5</v>
      </c>
      <c r="H8" s="78">
        <f t="shared" si="5"/>
        <v>10258.5</v>
      </c>
      <c r="I8" s="6">
        <v>0</v>
      </c>
      <c r="J8" s="6">
        <v>2759</v>
      </c>
      <c r="K8" s="6">
        <v>3999</v>
      </c>
      <c r="L8" s="6">
        <f>2385</f>
        <v>2385</v>
      </c>
      <c r="M8" s="6">
        <v>2844</v>
      </c>
      <c r="N8" s="6">
        <f>3070</f>
        <v>3070</v>
      </c>
      <c r="O8" s="6">
        <v>2441</v>
      </c>
      <c r="P8" s="6">
        <v>2913</v>
      </c>
      <c r="Q8" s="6">
        <v>3614</v>
      </c>
      <c r="R8" s="6">
        <v>3529</v>
      </c>
      <c r="S8" s="6">
        <v>3254</v>
      </c>
      <c r="T8" s="6">
        <v>3147</v>
      </c>
      <c r="U8" s="6">
        <v>3592</v>
      </c>
      <c r="V8" s="6">
        <v>2833</v>
      </c>
      <c r="W8" s="6">
        <v>8669</v>
      </c>
      <c r="X8" s="6">
        <v>7654</v>
      </c>
      <c r="Y8" s="6">
        <v>7780</v>
      </c>
      <c r="Z8" s="6">
        <v>9107</v>
      </c>
      <c r="AA8" s="6">
        <v>9951</v>
      </c>
      <c r="AB8" s="27">
        <v>10209</v>
      </c>
      <c r="AC8" s="27">
        <v>10994</v>
      </c>
      <c r="AD8" s="27">
        <v>9880</v>
      </c>
      <c r="AE8" s="33">
        <f t="shared" si="6"/>
        <v>114624</v>
      </c>
      <c r="AF8" s="33"/>
      <c r="AG8" s="37">
        <v>0.188</v>
      </c>
      <c r="AH8" s="33">
        <f t="shared" si="7"/>
        <v>21549.312000000002</v>
      </c>
      <c r="AI8" s="46">
        <f t="shared" si="8"/>
        <v>0.51882865173743753</v>
      </c>
      <c r="AJ8" s="46">
        <f t="shared" si="9"/>
        <v>103765.73034748749</v>
      </c>
      <c r="AK8" s="46">
        <f t="shared" si="10"/>
        <v>551945.37418876321</v>
      </c>
      <c r="AL8" s="46">
        <f t="shared" si="2"/>
        <v>22825.255630135849</v>
      </c>
      <c r="AM8" s="46">
        <f t="shared" si="11"/>
        <v>1902.104635844654</v>
      </c>
      <c r="AN8" s="48">
        <v>27649</v>
      </c>
      <c r="AP8" s="74">
        <f>საპენსიო!D15</f>
        <v>77.575757575757578</v>
      </c>
      <c r="AQ8" s="74">
        <f>შშმპ!D15</f>
        <v>115.875</v>
      </c>
      <c r="AR8" s="9">
        <f t="shared" si="12"/>
        <v>96.725378787878782</v>
      </c>
      <c r="AS8" s="9">
        <f t="shared" si="13"/>
        <v>24.181344696969695</v>
      </c>
      <c r="AT8" s="9">
        <f t="shared" si="14"/>
        <v>290.17613636363637</v>
      </c>
      <c r="AU8" s="76">
        <f t="shared" si="3"/>
        <v>285.85052182256078</v>
      </c>
      <c r="AV8" s="76">
        <f t="shared" si="15"/>
        <v>1143.4020872902431</v>
      </c>
    </row>
    <row r="9" spans="1:48" ht="24.75" hidden="1" customHeight="1">
      <c r="A9" s="16">
        <v>7</v>
      </c>
      <c r="B9" s="16" t="s">
        <v>58</v>
      </c>
      <c r="C9" s="16" t="s">
        <v>59</v>
      </c>
      <c r="D9" s="19" t="s">
        <v>60</v>
      </c>
      <c r="E9" s="78">
        <f t="shared" si="0"/>
        <v>20840.8</v>
      </c>
      <c r="F9" s="78">
        <f t="shared" si="1"/>
        <v>29990.375</v>
      </c>
      <c r="G9" s="78">
        <f t="shared" si="4"/>
        <v>66727.75</v>
      </c>
      <c r="H9" s="78">
        <f t="shared" si="5"/>
        <v>75478</v>
      </c>
      <c r="I9" s="6">
        <v>56943</v>
      </c>
      <c r="J9" s="6">
        <v>22075</v>
      </c>
      <c r="K9" s="6">
        <v>12111</v>
      </c>
      <c r="L9" s="6">
        <f>26890</f>
        <v>26890</v>
      </c>
      <c r="M9" s="6">
        <v>24446</v>
      </c>
      <c r="N9" s="6">
        <f>18682</f>
        <v>18682</v>
      </c>
      <c r="O9" s="6">
        <v>27577</v>
      </c>
      <c r="P9" s="6">
        <v>31298</v>
      </c>
      <c r="Q9" s="6">
        <v>24233</v>
      </c>
      <c r="R9" s="6">
        <v>30732</v>
      </c>
      <c r="S9" s="6">
        <v>32988</v>
      </c>
      <c r="T9" s="6">
        <v>26408</v>
      </c>
      <c r="U9" s="6">
        <v>34308</v>
      </c>
      <c r="V9" s="6">
        <v>32379</v>
      </c>
      <c r="W9" s="6">
        <v>57431</v>
      </c>
      <c r="X9" s="6">
        <v>72802</v>
      </c>
      <c r="Y9" s="6">
        <v>68970</v>
      </c>
      <c r="Z9" s="6">
        <v>67708</v>
      </c>
      <c r="AA9" s="6">
        <v>74700</v>
      </c>
      <c r="AB9" s="28">
        <v>74139</v>
      </c>
      <c r="AC9" s="28">
        <v>76518</v>
      </c>
      <c r="AD9" s="28">
        <v>76555</v>
      </c>
      <c r="AE9" s="33">
        <f t="shared" si="6"/>
        <v>969893</v>
      </c>
      <c r="AF9" s="33"/>
      <c r="AG9" s="37">
        <v>6.6000000000000003E-2</v>
      </c>
      <c r="AH9" s="33">
        <f t="shared" si="7"/>
        <v>64012.938000000002</v>
      </c>
      <c r="AI9" s="46">
        <f t="shared" si="8"/>
        <v>1.5411975248347687</v>
      </c>
      <c r="AJ9" s="46">
        <f t="shared" si="9"/>
        <v>308239.50496695371</v>
      </c>
      <c r="AK9" s="46">
        <f t="shared" si="10"/>
        <v>4670295.5298023289</v>
      </c>
      <c r="AL9" s="46">
        <f t="shared" si="2"/>
        <v>152330.37571742694</v>
      </c>
      <c r="AM9" s="46">
        <f t="shared" si="11"/>
        <v>12694.197976452246</v>
      </c>
      <c r="AN9" s="48">
        <v>1682441</v>
      </c>
      <c r="AP9" s="74">
        <f>საპენსიო!D8</f>
        <v>117.69565217391305</v>
      </c>
      <c r="AQ9" s="74">
        <f>შშმპ!D11</f>
        <v>127.57627118644068</v>
      </c>
      <c r="AR9" s="9">
        <f t="shared" si="12"/>
        <v>122.63596168017686</v>
      </c>
      <c r="AS9" s="9">
        <f t="shared" si="13"/>
        <v>30.658990420044216</v>
      </c>
      <c r="AT9" s="9">
        <f t="shared" si="14"/>
        <v>367.90788504053057</v>
      </c>
      <c r="AU9" s="76">
        <f t="shared" si="3"/>
        <v>13718.985662522458</v>
      </c>
      <c r="AV9" s="76">
        <f t="shared" si="15"/>
        <v>54875.942650089833</v>
      </c>
    </row>
    <row r="10" spans="1:48" ht="25.5" hidden="1" customHeight="1">
      <c r="A10" s="16">
        <v>8</v>
      </c>
      <c r="B10" s="16" t="s">
        <v>61</v>
      </c>
      <c r="C10" s="16" t="s">
        <v>62</v>
      </c>
      <c r="D10" s="20" t="s">
        <v>63</v>
      </c>
      <c r="E10" s="78">
        <f t="shared" si="0"/>
        <v>32143.4</v>
      </c>
      <c r="F10" s="78">
        <f t="shared" si="1"/>
        <v>38286.375</v>
      </c>
      <c r="G10" s="78">
        <f t="shared" si="4"/>
        <v>70734.5</v>
      </c>
      <c r="H10" s="78">
        <f t="shared" si="5"/>
        <v>79779</v>
      </c>
      <c r="I10" s="6">
        <v>37254</v>
      </c>
      <c r="J10" s="6">
        <v>49150</v>
      </c>
      <c r="K10" s="6">
        <f>668+13686+92+5642</f>
        <v>20088</v>
      </c>
      <c r="L10" s="6">
        <f>1102+11045+1028+18908</f>
        <v>32083</v>
      </c>
      <c r="M10" s="6">
        <v>34438</v>
      </c>
      <c r="N10" s="6">
        <f>1174+18698+5086</f>
        <v>24958</v>
      </c>
      <c r="O10" s="6">
        <v>30837</v>
      </c>
      <c r="P10" s="6">
        <v>39593</v>
      </c>
      <c r="Q10" s="6">
        <v>35795</v>
      </c>
      <c r="R10" s="6">
        <v>32955</v>
      </c>
      <c r="S10" s="6">
        <v>48160</v>
      </c>
      <c r="T10" s="6">
        <v>37230</v>
      </c>
      <c r="U10" s="6">
        <v>39410</v>
      </c>
      <c r="V10" s="6">
        <v>42311</v>
      </c>
      <c r="W10" s="6">
        <v>66372</v>
      </c>
      <c r="X10" s="6">
        <v>80964</v>
      </c>
      <c r="Y10" s="6">
        <v>75701</v>
      </c>
      <c r="Z10" s="6">
        <v>59901</v>
      </c>
      <c r="AA10" s="6">
        <v>72905</v>
      </c>
      <c r="AB10" s="27">
        <v>81999</v>
      </c>
      <c r="AC10" s="27">
        <v>83146</v>
      </c>
      <c r="AD10" s="27">
        <v>81066</v>
      </c>
      <c r="AE10" s="33">
        <f t="shared" si="6"/>
        <v>1106316</v>
      </c>
      <c r="AF10" s="33"/>
      <c r="AG10" s="37">
        <v>0.155</v>
      </c>
      <c r="AH10" s="33">
        <f t="shared" si="7"/>
        <v>171478.98</v>
      </c>
      <c r="AI10" s="46">
        <f t="shared" si="8"/>
        <v>4.1285869356159033</v>
      </c>
      <c r="AJ10" s="46">
        <f t="shared" si="9"/>
        <v>825717.38712318067</v>
      </c>
      <c r="AK10" s="46">
        <f t="shared" si="10"/>
        <v>5327208.949181811</v>
      </c>
      <c r="AL10" s="46">
        <f t="shared" si="2"/>
        <v>267282.54940084589</v>
      </c>
      <c r="AM10" s="46">
        <f t="shared" si="11"/>
        <v>22273.545783403824</v>
      </c>
      <c r="AN10" s="48">
        <v>124143</v>
      </c>
      <c r="AP10" s="74">
        <f>საპენსიო!D14</f>
        <v>77.405156537753228</v>
      </c>
      <c r="AQ10" s="74">
        <f>შშმპ!D14</f>
        <v>82.042857142857144</v>
      </c>
      <c r="AR10" s="9">
        <f t="shared" si="12"/>
        <v>79.724006840305179</v>
      </c>
      <c r="AS10" s="9">
        <f t="shared" si="13"/>
        <v>19.931001710076295</v>
      </c>
      <c r="AT10" s="9">
        <f t="shared" si="14"/>
        <v>239.17202052091554</v>
      </c>
      <c r="AU10" s="76">
        <f t="shared" si="3"/>
        <v>1557.1595673643237</v>
      </c>
      <c r="AV10" s="76">
        <f t="shared" si="15"/>
        <v>6228.6382694572949</v>
      </c>
    </row>
    <row r="11" spans="1:48" ht="40.5" hidden="1" customHeight="1">
      <c r="A11" s="16">
        <v>9</v>
      </c>
      <c r="B11" s="16" t="s">
        <v>64</v>
      </c>
      <c r="C11" s="16" t="s">
        <v>65</v>
      </c>
      <c r="D11" s="20" t="s">
        <v>66</v>
      </c>
      <c r="E11" s="78">
        <f t="shared" si="0"/>
        <v>15407.6</v>
      </c>
      <c r="F11" s="78">
        <f t="shared" si="1"/>
        <v>17747.875</v>
      </c>
      <c r="G11" s="78">
        <f t="shared" si="4"/>
        <v>32779.25</v>
      </c>
      <c r="H11" s="78">
        <f t="shared" si="5"/>
        <v>34241.25</v>
      </c>
      <c r="I11" s="6">
        <v>39979</v>
      </c>
      <c r="J11" s="6">
        <f>2529+14404+837+2536</f>
        <v>20306</v>
      </c>
      <c r="K11" s="6">
        <f>1774+7298+1212+1147</f>
        <v>11431</v>
      </c>
      <c r="L11" s="6">
        <f>2120+11319+1962+1944</f>
        <v>17345</v>
      </c>
      <c r="M11" s="6">
        <v>15502</v>
      </c>
      <c r="N11" s="6">
        <f>1800+7254+2436+964</f>
        <v>12454</v>
      </c>
      <c r="O11" s="6">
        <v>17248</v>
      </c>
      <c r="P11" s="6">
        <v>20487</v>
      </c>
      <c r="Q11" s="6">
        <v>14079</v>
      </c>
      <c r="R11" s="6">
        <v>18864</v>
      </c>
      <c r="S11" s="6">
        <v>19832</v>
      </c>
      <c r="T11" s="6">
        <v>13412</v>
      </c>
      <c r="U11" s="6">
        <v>19005</v>
      </c>
      <c r="V11" s="6">
        <v>19056</v>
      </c>
      <c r="W11" s="6">
        <v>32198</v>
      </c>
      <c r="X11" s="6">
        <v>38592</v>
      </c>
      <c r="Y11" s="6">
        <v>33194</v>
      </c>
      <c r="Z11" s="6">
        <v>27133</v>
      </c>
      <c r="AA11" s="6">
        <v>34869</v>
      </c>
      <c r="AB11" s="27">
        <v>37403</v>
      </c>
      <c r="AC11" s="27">
        <v>32044</v>
      </c>
      <c r="AD11" s="27">
        <v>32649</v>
      </c>
      <c r="AE11" s="33">
        <f t="shared" si="6"/>
        <v>527082</v>
      </c>
      <c r="AF11" s="33"/>
      <c r="AG11" s="37">
        <v>2.9399999999999999E-2</v>
      </c>
      <c r="AH11" s="33">
        <f t="shared" si="7"/>
        <v>15496.210799999999</v>
      </c>
      <c r="AI11" s="46">
        <f t="shared" si="8"/>
        <v>0.37309210411929239</v>
      </c>
      <c r="AJ11" s="46">
        <f t="shared" si="9"/>
        <v>74618.420823858469</v>
      </c>
      <c r="AK11" s="46">
        <f t="shared" si="10"/>
        <v>2538041.5246210364</v>
      </c>
      <c r="AL11" s="46">
        <f t="shared" si="2"/>
        <v>134337.65085347873</v>
      </c>
      <c r="AM11" s="46">
        <f t="shared" si="11"/>
        <v>11194.804237789895</v>
      </c>
      <c r="AN11" s="48">
        <v>121039</v>
      </c>
      <c r="AP11" s="74">
        <f>საპენსიო!D9</f>
        <v>70.788461538461533</v>
      </c>
      <c r="AQ11" s="74">
        <f>შშმპ!D17</f>
        <v>80.355555555555554</v>
      </c>
      <c r="AR11" s="9">
        <f t="shared" si="12"/>
        <v>75.572008547008551</v>
      </c>
      <c r="AS11" s="9">
        <f t="shared" si="13"/>
        <v>18.893002136752138</v>
      </c>
      <c r="AT11" s="9">
        <f t="shared" si="14"/>
        <v>226.71602564102565</v>
      </c>
      <c r="AU11" s="76">
        <f t="shared" si="3"/>
        <v>1601.6379917269146</v>
      </c>
      <c r="AV11" s="76">
        <f t="shared" si="15"/>
        <v>6406.5519669076584</v>
      </c>
    </row>
    <row r="12" spans="1:48" ht="37.5" hidden="1" customHeight="1">
      <c r="A12" s="16">
        <v>10</v>
      </c>
      <c r="B12" s="16" t="s">
        <v>67</v>
      </c>
      <c r="C12" s="16" t="s">
        <v>67</v>
      </c>
      <c r="D12" s="15" t="s">
        <v>68</v>
      </c>
      <c r="E12" s="78">
        <f t="shared" si="0"/>
        <v>8689.4</v>
      </c>
      <c r="F12" s="78">
        <f t="shared" si="1"/>
        <v>13555.5</v>
      </c>
      <c r="G12" s="78">
        <f t="shared" si="4"/>
        <v>24737.25</v>
      </c>
      <c r="H12" s="78">
        <f t="shared" si="5"/>
        <v>28414</v>
      </c>
      <c r="I12" s="6">
        <v>0</v>
      </c>
      <c r="J12" s="6">
        <v>0</v>
      </c>
      <c r="K12" s="6">
        <v>7868</v>
      </c>
      <c r="L12" s="6">
        <f>14375</f>
        <v>14375</v>
      </c>
      <c r="M12" s="6">
        <v>11156</v>
      </c>
      <c r="N12" s="6">
        <f>10048</f>
        <v>10048</v>
      </c>
      <c r="O12" s="6">
        <v>12392</v>
      </c>
      <c r="P12" s="6">
        <v>14103</v>
      </c>
      <c r="Q12" s="6">
        <v>13297</v>
      </c>
      <c r="R12" s="6">
        <v>12604</v>
      </c>
      <c r="S12" s="6">
        <v>14359</v>
      </c>
      <c r="T12" s="6">
        <v>12716</v>
      </c>
      <c r="U12" s="6">
        <v>14051</v>
      </c>
      <c r="V12" s="6">
        <v>14922</v>
      </c>
      <c r="W12" s="6">
        <v>22164</v>
      </c>
      <c r="X12" s="6">
        <v>27374</v>
      </c>
      <c r="Y12" s="6">
        <v>25245</v>
      </c>
      <c r="Z12" s="6">
        <v>24166</v>
      </c>
      <c r="AA12" s="6">
        <v>27361</v>
      </c>
      <c r="AB12" s="27">
        <v>28311</v>
      </c>
      <c r="AC12" s="27">
        <v>29744</v>
      </c>
      <c r="AD12" s="27">
        <v>28240</v>
      </c>
      <c r="AE12" s="33">
        <f t="shared" si="6"/>
        <v>364496</v>
      </c>
      <c r="AF12" s="33"/>
      <c r="AG12" s="36">
        <v>6.1499999999999999E-2</v>
      </c>
      <c r="AH12" s="33">
        <f t="shared" si="7"/>
        <v>22416.504000000001</v>
      </c>
      <c r="AI12" s="46">
        <f t="shared" si="8"/>
        <v>0.5397074647667115</v>
      </c>
      <c r="AJ12" s="46">
        <f t="shared" si="9"/>
        <v>107941.4929533423</v>
      </c>
      <c r="AK12" s="46">
        <f t="shared" si="10"/>
        <v>1755146.2268836147</v>
      </c>
      <c r="AL12" s="46">
        <f t="shared" si="2"/>
        <v>177680.03416618693</v>
      </c>
      <c r="AM12" s="46">
        <f t="shared" si="11"/>
        <v>14806.669513848912</v>
      </c>
      <c r="AN12" s="48">
        <v>845871</v>
      </c>
      <c r="AP12" s="74">
        <f>საპენსიო!D16</f>
        <v>39.715504978662871</v>
      </c>
      <c r="AQ12" s="74">
        <f>შშმპ!D13</f>
        <v>39.30952380952381</v>
      </c>
      <c r="AR12" s="9">
        <f t="shared" si="12"/>
        <v>39.512514394093344</v>
      </c>
      <c r="AS12" s="9">
        <f t="shared" si="13"/>
        <v>9.878128598523336</v>
      </c>
      <c r="AT12" s="9">
        <f t="shared" si="14"/>
        <v>118.53754318228003</v>
      </c>
      <c r="AU12" s="76">
        <f t="shared" si="3"/>
        <v>21407.673314924443</v>
      </c>
      <c r="AV12" s="76">
        <f t="shared" si="15"/>
        <v>85630.693259697771</v>
      </c>
    </row>
    <row r="13" spans="1:48" ht="51" hidden="1" customHeight="1">
      <c r="A13" s="16">
        <v>11</v>
      </c>
      <c r="B13" s="16" t="s">
        <v>69</v>
      </c>
      <c r="C13" s="16" t="s">
        <v>70</v>
      </c>
      <c r="D13" s="15" t="s">
        <v>71</v>
      </c>
      <c r="E13" s="78">
        <f t="shared" si="0"/>
        <v>44384.4</v>
      </c>
      <c r="F13" s="78">
        <f t="shared" si="1"/>
        <v>58376</v>
      </c>
      <c r="G13" s="78">
        <f t="shared" si="4"/>
        <v>107546.25</v>
      </c>
      <c r="H13" s="78">
        <f t="shared" si="5"/>
        <v>119633.25</v>
      </c>
      <c r="I13" s="6">
        <v>116872</v>
      </c>
      <c r="J13" s="6">
        <v>54518</v>
      </c>
      <c r="K13" s="6">
        <f>368+9138+18725</f>
        <v>28231</v>
      </c>
      <c r="L13" s="6">
        <f>504+13261+39087</f>
        <v>52852</v>
      </c>
      <c r="M13" s="6">
        <v>49931</v>
      </c>
      <c r="N13" s="6">
        <f>10476+25914</f>
        <v>36390</v>
      </c>
      <c r="O13" s="6">
        <v>53175</v>
      </c>
      <c r="P13" s="6">
        <v>16046</v>
      </c>
      <c r="Q13" s="6">
        <v>97151</v>
      </c>
      <c r="R13" s="6">
        <v>57469</v>
      </c>
      <c r="S13" s="6">
        <v>66296</v>
      </c>
      <c r="T13" s="6">
        <v>51563</v>
      </c>
      <c r="U13" s="6">
        <v>64649</v>
      </c>
      <c r="V13" s="6">
        <v>60659</v>
      </c>
      <c r="W13" s="6">
        <v>97657</v>
      </c>
      <c r="X13" s="6">
        <v>118246</v>
      </c>
      <c r="Y13" s="6">
        <v>107252</v>
      </c>
      <c r="Z13" s="6">
        <v>107030</v>
      </c>
      <c r="AA13" s="6">
        <v>117604</v>
      </c>
      <c r="AB13" s="27">
        <v>114148</v>
      </c>
      <c r="AC13" s="27">
        <v>124387</v>
      </c>
      <c r="AD13" s="27">
        <v>122394</v>
      </c>
      <c r="AE13" s="33">
        <f t="shared" si="6"/>
        <v>1714520</v>
      </c>
      <c r="AF13" s="33"/>
      <c r="AG13" s="36">
        <v>0.1205</v>
      </c>
      <c r="AH13" s="33">
        <f t="shared" si="7"/>
        <v>206599.66</v>
      </c>
      <c r="AI13" s="46">
        <f t="shared" si="8"/>
        <v>4.9741645138003934</v>
      </c>
      <c r="AJ13" s="46">
        <f t="shared" si="9"/>
        <v>994832.90276007866</v>
      </c>
      <c r="AK13" s="46">
        <f t="shared" si="10"/>
        <v>8255874.7117018979</v>
      </c>
      <c r="AL13" s="46">
        <f t="shared" si="2"/>
        <v>335127.09448478837</v>
      </c>
      <c r="AM13" s="46">
        <f t="shared" si="11"/>
        <v>27927.257873732367</v>
      </c>
      <c r="AN13" s="48">
        <v>759525</v>
      </c>
      <c r="AP13" s="74">
        <f>საპენსიო!D10</f>
        <v>93.378066378066379</v>
      </c>
      <c r="AQ13" s="74">
        <f>შშმპ!D12</f>
        <v>103.70238095238095</v>
      </c>
      <c r="AR13" s="9">
        <f t="shared" si="12"/>
        <v>98.540223665223664</v>
      </c>
      <c r="AS13" s="9">
        <f t="shared" si="13"/>
        <v>24.635055916305916</v>
      </c>
      <c r="AT13" s="9">
        <f t="shared" si="14"/>
        <v>295.62067099567099</v>
      </c>
      <c r="AU13" s="76">
        <f t="shared" si="3"/>
        <v>7707.7661461412727</v>
      </c>
      <c r="AV13" s="76">
        <f t="shared" si="15"/>
        <v>30831.064584565091</v>
      </c>
    </row>
    <row r="14" spans="1:48" ht="46.5" hidden="1" customHeight="1">
      <c r="A14" s="16">
        <v>12</v>
      </c>
      <c r="B14" s="16" t="s">
        <v>72</v>
      </c>
      <c r="C14" s="16" t="s">
        <v>73</v>
      </c>
      <c r="D14" s="20" t="s">
        <v>74</v>
      </c>
      <c r="E14" s="78">
        <f t="shared" si="0"/>
        <v>48634.2</v>
      </c>
      <c r="F14" s="78">
        <f t="shared" si="1"/>
        <v>66894.25</v>
      </c>
      <c r="G14" s="78">
        <f t="shared" si="4"/>
        <v>100176.75</v>
      </c>
      <c r="H14" s="78">
        <f t="shared" si="5"/>
        <v>128898.75</v>
      </c>
      <c r="I14" s="6">
        <v>70352</v>
      </c>
      <c r="J14" s="6">
        <f>57648</f>
        <v>57648</v>
      </c>
      <c r="K14" s="6">
        <f>32988</f>
        <v>32988</v>
      </c>
      <c r="L14" s="6">
        <f>52491</f>
        <v>52491</v>
      </c>
      <c r="M14" s="6">
        <v>57398</v>
      </c>
      <c r="N14" s="6">
        <f>42646</f>
        <v>42646</v>
      </c>
      <c r="O14" s="6">
        <v>55777</v>
      </c>
      <c r="P14" s="6">
        <v>67473</v>
      </c>
      <c r="Q14" s="6">
        <v>63449</v>
      </c>
      <c r="R14" s="6">
        <v>61564</v>
      </c>
      <c r="S14" s="6">
        <v>82603</v>
      </c>
      <c r="T14" s="6">
        <v>62189</v>
      </c>
      <c r="U14" s="6">
        <v>68137</v>
      </c>
      <c r="V14" s="6">
        <v>73962</v>
      </c>
      <c r="W14" s="6">
        <v>131382</v>
      </c>
      <c r="X14" s="6">
        <v>164451</v>
      </c>
      <c r="Y14" s="6">
        <v>89377</v>
      </c>
      <c r="Z14" s="6">
        <v>15497</v>
      </c>
      <c r="AA14" s="6">
        <v>88710</v>
      </c>
      <c r="AB14" s="27">
        <v>128733</v>
      </c>
      <c r="AC14" s="27">
        <v>149378</v>
      </c>
      <c r="AD14" s="27">
        <v>148774</v>
      </c>
      <c r="AE14" s="33">
        <f t="shared" si="6"/>
        <v>1764979</v>
      </c>
      <c r="AF14" s="33"/>
      <c r="AG14" s="39">
        <v>0.09</v>
      </c>
      <c r="AH14" s="33">
        <f t="shared" si="7"/>
        <v>158848.10999999999</v>
      </c>
      <c r="AI14" s="46">
        <f t="shared" si="8"/>
        <v>3.8244817626818044</v>
      </c>
      <c r="AJ14" s="46">
        <f t="shared" si="9"/>
        <v>764896.35253636097</v>
      </c>
      <c r="AK14" s="46">
        <f t="shared" si="10"/>
        <v>8498848.3615151215</v>
      </c>
      <c r="AL14" s="46">
        <f t="shared" si="2"/>
        <v>467190.50322795869</v>
      </c>
      <c r="AM14" s="46">
        <f t="shared" si="11"/>
        <v>38932.541935663226</v>
      </c>
      <c r="AN14" s="48">
        <v>156923</v>
      </c>
      <c r="AP14" s="74">
        <f>საპენსიო!D12</f>
        <v>70.693345742205679</v>
      </c>
      <c r="AQ14" s="74">
        <f>შშმპ!D7</f>
        <v>74.837837837837839</v>
      </c>
      <c r="AR14" s="9">
        <f t="shared" si="12"/>
        <v>72.765591790021759</v>
      </c>
      <c r="AS14" s="9">
        <f t="shared" si="13"/>
        <v>18.19139794750544</v>
      </c>
      <c r="AT14" s="9">
        <f t="shared" si="14"/>
        <v>218.29677537006529</v>
      </c>
      <c r="AU14" s="76">
        <f t="shared" si="3"/>
        <v>2156.5549889682698</v>
      </c>
      <c r="AV14" s="76">
        <f t="shared" si="15"/>
        <v>8626.219955873079</v>
      </c>
    </row>
    <row r="15" spans="1:48" ht="46.5" hidden="1" customHeight="1">
      <c r="A15" s="16">
        <v>13</v>
      </c>
      <c r="B15" s="16" t="s">
        <v>75</v>
      </c>
      <c r="C15" s="16" t="s">
        <v>75</v>
      </c>
      <c r="D15" s="20" t="s">
        <v>76</v>
      </c>
      <c r="E15" s="78"/>
      <c r="F15" s="78"/>
      <c r="G15" s="78">
        <f t="shared" si="4"/>
        <v>99656.5</v>
      </c>
      <c r="H15" s="78">
        <f t="shared" si="5"/>
        <v>67065.75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>
        <v>0</v>
      </c>
      <c r="Z15" s="6">
        <v>199313</v>
      </c>
      <c r="AA15" s="6">
        <v>138489</v>
      </c>
      <c r="AB15" s="27">
        <v>43957</v>
      </c>
      <c r="AC15" s="27">
        <v>53947</v>
      </c>
      <c r="AD15" s="27">
        <v>31870</v>
      </c>
      <c r="AE15" s="33">
        <f t="shared" si="6"/>
        <v>467576</v>
      </c>
      <c r="AF15" s="33"/>
      <c r="AG15" s="39">
        <v>0.105</v>
      </c>
      <c r="AH15" s="33">
        <f t="shared" si="7"/>
        <v>49095.479999999996</v>
      </c>
      <c r="AI15" s="46">
        <f t="shared" si="8"/>
        <v>1.1820396723014788</v>
      </c>
      <c r="AJ15" s="46">
        <f t="shared" si="9"/>
        <v>236407.93446029574</v>
      </c>
      <c r="AK15" s="46">
        <f t="shared" si="10"/>
        <v>2251504.1377171022</v>
      </c>
      <c r="AL15" s="46">
        <f t="shared" si="2"/>
        <v>91686.631625454684</v>
      </c>
      <c r="AM15" s="46">
        <f t="shared" si="11"/>
        <v>7640.5526354545582</v>
      </c>
      <c r="AN15" s="48">
        <v>1735389</v>
      </c>
      <c r="AP15" s="74">
        <f>საპენსიო!D11</f>
        <v>97.300604229607245</v>
      </c>
      <c r="AQ15" s="74">
        <f>შშმპ!D6</f>
        <v>99.151515151515156</v>
      </c>
      <c r="AR15" s="9">
        <f t="shared" si="12"/>
        <v>98.2260596905612</v>
      </c>
      <c r="AS15" s="9">
        <f t="shared" si="13"/>
        <v>24.5565149226403</v>
      </c>
      <c r="AT15" s="9">
        <f t="shared" si="14"/>
        <v>294.67817907168359</v>
      </c>
      <c r="AU15" s="76">
        <f t="shared" si="3"/>
        <v>17667.297308544668</v>
      </c>
      <c r="AV15" s="76">
        <f t="shared" si="15"/>
        <v>70669.189234178673</v>
      </c>
    </row>
    <row r="16" spans="1:48" ht="46.5" hidden="1" customHeight="1">
      <c r="A16" s="16">
        <v>14</v>
      </c>
      <c r="B16" s="16" t="s">
        <v>77</v>
      </c>
      <c r="C16" s="16" t="s">
        <v>78</v>
      </c>
      <c r="D16" s="20" t="s">
        <v>79</v>
      </c>
      <c r="E16" s="78"/>
      <c r="F16" s="78"/>
      <c r="G16" s="78">
        <f t="shared" si="4"/>
        <v>5203.5</v>
      </c>
      <c r="H16" s="78">
        <f t="shared" si="5"/>
        <v>13615.75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>
        <v>0</v>
      </c>
      <c r="Z16" s="6">
        <v>10407</v>
      </c>
      <c r="AA16" s="6">
        <v>11936</v>
      </c>
      <c r="AB16" s="27">
        <v>13690</v>
      </c>
      <c r="AC16" s="27">
        <v>14570</v>
      </c>
      <c r="AD16" s="27">
        <v>14267</v>
      </c>
      <c r="AE16" s="33">
        <f t="shared" si="6"/>
        <v>64870</v>
      </c>
      <c r="AF16" s="33"/>
      <c r="AG16" s="40">
        <v>0.23400000000000001</v>
      </c>
      <c r="AH16" s="33">
        <f t="shared" si="7"/>
        <v>15179.580000000002</v>
      </c>
      <c r="AI16" s="46">
        <f t="shared" si="8"/>
        <v>0.36546879201250471</v>
      </c>
      <c r="AJ16" s="46">
        <f t="shared" si="9"/>
        <v>73093.758402500942</v>
      </c>
      <c r="AK16" s="46">
        <f t="shared" si="10"/>
        <v>312366.48889957665</v>
      </c>
      <c r="AL16" s="46">
        <f t="shared" si="2"/>
        <v>35627.122790332658</v>
      </c>
      <c r="AM16" s="46">
        <f t="shared" si="11"/>
        <v>2968.9268991943882</v>
      </c>
      <c r="AN16" s="48">
        <v>408402</v>
      </c>
      <c r="AP16" s="74">
        <f>საპენსიო!D13</f>
        <v>37.95945945945946</v>
      </c>
      <c r="AQ16" s="74">
        <f>შშმპ!D8</f>
        <v>32.18181818181818</v>
      </c>
      <c r="AR16" s="9">
        <f t="shared" si="12"/>
        <v>35.07063882063882</v>
      </c>
      <c r="AS16" s="9">
        <f t="shared" si="13"/>
        <v>8.7676597051597049</v>
      </c>
      <c r="AT16" s="9">
        <f t="shared" si="14"/>
        <v>105.21191646191646</v>
      </c>
      <c r="AU16" s="76">
        <f t="shared" si="3"/>
        <v>11645.12577283475</v>
      </c>
      <c r="AV16" s="76">
        <f t="shared" si="15"/>
        <v>46580.503091339</v>
      </c>
    </row>
    <row r="17" spans="1:48" ht="46.5" hidden="1" customHeight="1">
      <c r="A17" s="16">
        <v>15</v>
      </c>
      <c r="B17" s="21" t="s">
        <v>80</v>
      </c>
      <c r="C17" s="16" t="s">
        <v>81</v>
      </c>
      <c r="D17" s="20" t="s">
        <v>68</v>
      </c>
      <c r="E17" s="78"/>
      <c r="F17" s="78"/>
      <c r="G17" s="78">
        <f t="shared" si="4"/>
        <v>0</v>
      </c>
      <c r="H17" s="78">
        <f t="shared" si="5"/>
        <v>22701.5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>
        <v>0</v>
      </c>
      <c r="AA17" s="6">
        <v>9963</v>
      </c>
      <c r="AB17" s="27">
        <v>21402</v>
      </c>
      <c r="AC17" s="27">
        <v>23577</v>
      </c>
      <c r="AD17" s="27">
        <v>35864</v>
      </c>
      <c r="AE17" s="33">
        <f t="shared" si="6"/>
        <v>90806</v>
      </c>
      <c r="AF17" s="33"/>
      <c r="AG17" s="39">
        <v>0.316</v>
      </c>
      <c r="AH17" s="33">
        <f t="shared" si="7"/>
        <v>28694.696</v>
      </c>
      <c r="AI17" s="46">
        <f t="shared" si="8"/>
        <v>0.6908633759488767</v>
      </c>
      <c r="AJ17" s="46">
        <f t="shared" si="9"/>
        <v>138172.67518977533</v>
      </c>
      <c r="AK17" s="46">
        <f t="shared" si="10"/>
        <v>437255.30123346625</v>
      </c>
      <c r="AL17" s="46">
        <f t="shared" si="2"/>
        <v>58300.706831128831</v>
      </c>
      <c r="AM17" s="46">
        <f t="shared" si="11"/>
        <v>4858.3922359274029</v>
      </c>
      <c r="AN17" s="48">
        <v>743338</v>
      </c>
      <c r="AP17" s="74"/>
      <c r="AQ17" s="74">
        <f>შშმპ!D28</f>
        <v>30</v>
      </c>
      <c r="AR17" s="9">
        <f t="shared" si="12"/>
        <v>30</v>
      </c>
      <c r="AS17" s="9">
        <f t="shared" si="13"/>
        <v>7.5</v>
      </c>
      <c r="AT17" s="9">
        <f t="shared" si="14"/>
        <v>90</v>
      </c>
      <c r="AU17" s="76">
        <f t="shared" si="3"/>
        <v>24777.933333333334</v>
      </c>
      <c r="AV17" s="76">
        <f t="shared" si="15"/>
        <v>99111.733333333337</v>
      </c>
    </row>
    <row r="18" spans="1:48" ht="46.5" hidden="1" customHeight="1">
      <c r="A18" s="16">
        <v>16</v>
      </c>
      <c r="B18" s="21" t="s">
        <v>82</v>
      </c>
      <c r="C18" s="16" t="s">
        <v>83</v>
      </c>
      <c r="D18" s="20" t="s">
        <v>68</v>
      </c>
      <c r="E18" s="78"/>
      <c r="F18" s="78"/>
      <c r="G18" s="78">
        <f t="shared" si="4"/>
        <v>92</v>
      </c>
      <c r="H18" s="78">
        <f t="shared" si="5"/>
        <v>41466.75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>
        <v>92</v>
      </c>
      <c r="AA18" s="6">
        <v>18621</v>
      </c>
      <c r="AB18" s="27">
        <v>37794</v>
      </c>
      <c r="AC18" s="27">
        <v>50309</v>
      </c>
      <c r="AD18" s="27">
        <v>59143</v>
      </c>
      <c r="AE18" s="33">
        <f t="shared" si="6"/>
        <v>165959</v>
      </c>
      <c r="AF18" s="33"/>
      <c r="AG18" s="39">
        <v>0.38</v>
      </c>
      <c r="AH18" s="33">
        <f t="shared" si="7"/>
        <v>63064.42</v>
      </c>
      <c r="AI18" s="46">
        <f t="shared" si="8"/>
        <v>1.5183606790417943</v>
      </c>
      <c r="AJ18" s="46">
        <f t="shared" si="9"/>
        <v>303672.13580835884</v>
      </c>
      <c r="AK18" s="46">
        <f t="shared" si="10"/>
        <v>799137.1994956811</v>
      </c>
      <c r="AN18" s="48">
        <v>851106</v>
      </c>
      <c r="AP18" s="74"/>
      <c r="AQ18" s="74"/>
      <c r="AR18" s="9"/>
      <c r="AS18" s="9">
        <f t="shared" si="13"/>
        <v>0</v>
      </c>
      <c r="AT18" s="9">
        <f t="shared" si="14"/>
        <v>0</v>
      </c>
      <c r="AU18" s="76"/>
    </row>
    <row r="19" spans="1:48" ht="46.5" hidden="1" customHeight="1">
      <c r="A19" s="16">
        <v>18</v>
      </c>
      <c r="B19" s="21" t="s">
        <v>84</v>
      </c>
      <c r="C19" s="16" t="s">
        <v>85</v>
      </c>
      <c r="D19" s="20" t="s">
        <v>86</v>
      </c>
      <c r="E19" s="78"/>
      <c r="F19" s="78"/>
      <c r="G19" s="78">
        <f t="shared" si="4"/>
        <v>14476</v>
      </c>
      <c r="H19" s="78">
        <f t="shared" si="5"/>
        <v>83265.75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>
        <v>14476</v>
      </c>
      <c r="AA19" s="6">
        <v>64466</v>
      </c>
      <c r="AB19" s="27">
        <v>102410</v>
      </c>
      <c r="AC19" s="27">
        <v>128627</v>
      </c>
      <c r="AD19" s="27">
        <v>37560</v>
      </c>
      <c r="AE19" s="33">
        <f t="shared" si="6"/>
        <v>347539</v>
      </c>
      <c r="AF19" s="33"/>
      <c r="AG19" s="36">
        <v>6.7500000000000004E-2</v>
      </c>
      <c r="AH19" s="33">
        <f t="shared" si="7"/>
        <v>23458.882500000003</v>
      </c>
      <c r="AI19" s="46">
        <f t="shared" si="8"/>
        <v>0.56480412825903525</v>
      </c>
      <c r="AJ19" s="46">
        <f t="shared" si="9"/>
        <v>112960.82565180706</v>
      </c>
      <c r="AK19" s="46">
        <f t="shared" si="10"/>
        <v>1673493.7133601045</v>
      </c>
      <c r="AN19" s="48">
        <v>1812679</v>
      </c>
      <c r="AP19" s="74"/>
      <c r="AQ19" s="74"/>
      <c r="AR19" s="9"/>
      <c r="AS19" s="9">
        <f t="shared" si="13"/>
        <v>0</v>
      </c>
      <c r="AT19" s="9">
        <f t="shared" si="14"/>
        <v>0</v>
      </c>
      <c r="AU19" s="76"/>
    </row>
    <row r="20" spans="1:48" ht="46.5" hidden="1" customHeight="1">
      <c r="A20" s="16">
        <v>19</v>
      </c>
      <c r="B20" s="21" t="s">
        <v>87</v>
      </c>
      <c r="C20" s="16" t="s">
        <v>88</v>
      </c>
      <c r="D20" s="20" t="s">
        <v>89</v>
      </c>
      <c r="E20" s="78"/>
      <c r="F20" s="78"/>
      <c r="G20" s="78">
        <f t="shared" si="4"/>
        <v>152</v>
      </c>
      <c r="H20" s="78">
        <f t="shared" si="5"/>
        <v>34770.75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>
        <v>152</v>
      </c>
      <c r="AA20" s="6">
        <v>19619</v>
      </c>
      <c r="AB20" s="27">
        <v>36603</v>
      </c>
      <c r="AC20" s="27">
        <v>40167</v>
      </c>
      <c r="AD20" s="27">
        <v>42694</v>
      </c>
      <c r="AE20" s="33">
        <f t="shared" si="6"/>
        <v>139235</v>
      </c>
      <c r="AF20" s="33"/>
      <c r="AG20" s="39">
        <v>0.06</v>
      </c>
      <c r="AH20" s="33">
        <f t="shared" si="7"/>
        <v>8354.1</v>
      </c>
      <c r="AI20" s="46">
        <f t="shared" si="8"/>
        <v>0.2011361865974991</v>
      </c>
      <c r="AJ20" s="46">
        <f t="shared" si="9"/>
        <v>40227.237319499822</v>
      </c>
      <c r="AK20" s="46">
        <f t="shared" si="10"/>
        <v>670453.95532499708</v>
      </c>
      <c r="AL20" s="46">
        <f t="shared" ref="AL20:AL31" si="16">AK20/AS20</f>
        <v>43964.193791803089</v>
      </c>
      <c r="AM20" s="46">
        <f t="shared" si="11"/>
        <v>3663.6828159835904</v>
      </c>
      <c r="AN20" s="48">
        <v>1501133</v>
      </c>
      <c r="AP20" s="74">
        <f>საპენსიო!D29</f>
        <v>61</v>
      </c>
      <c r="AQ20" s="74"/>
      <c r="AR20" s="9">
        <f t="shared" si="12"/>
        <v>61</v>
      </c>
      <c r="AS20" s="9">
        <f t="shared" si="13"/>
        <v>15.25</v>
      </c>
      <c r="AT20" s="9">
        <f t="shared" si="14"/>
        <v>183</v>
      </c>
      <c r="AU20" s="76">
        <f t="shared" ref="AU20:AU31" si="17">AN20/AR20</f>
        <v>24608.737704918032</v>
      </c>
    </row>
    <row r="21" spans="1:48" ht="46.5" hidden="1" customHeight="1">
      <c r="A21" s="16">
        <v>20</v>
      </c>
      <c r="B21" s="21" t="s">
        <v>90</v>
      </c>
      <c r="C21" s="21" t="s">
        <v>91</v>
      </c>
      <c r="D21" s="20" t="s">
        <v>86</v>
      </c>
      <c r="E21" s="78"/>
      <c r="F21" s="78"/>
      <c r="G21" s="78">
        <f t="shared" si="4"/>
        <v>5620</v>
      </c>
      <c r="H21" s="78">
        <f t="shared" si="5"/>
        <v>35194.75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>
        <v>5620</v>
      </c>
      <c r="AA21" s="6">
        <v>23666</v>
      </c>
      <c r="AB21" s="27">
        <v>35141</v>
      </c>
      <c r="AC21" s="27">
        <v>40081</v>
      </c>
      <c r="AD21" s="27">
        <v>41891</v>
      </c>
      <c r="AE21" s="33">
        <f t="shared" si="6"/>
        <v>146399</v>
      </c>
      <c r="AF21" s="33"/>
      <c r="AG21" s="40">
        <v>0.14899999999999999</v>
      </c>
      <c r="AH21" s="33">
        <f t="shared" si="7"/>
        <v>21813.450999999997</v>
      </c>
      <c r="AI21" s="46">
        <f t="shared" si="8"/>
        <v>0.525188153202787</v>
      </c>
      <c r="AJ21" s="46">
        <f t="shared" si="9"/>
        <v>105037.63064055741</v>
      </c>
      <c r="AK21" s="46">
        <f t="shared" si="10"/>
        <v>704950.54121179471</v>
      </c>
      <c r="AL21" s="46">
        <f t="shared" si="16"/>
        <v>60842.20438674411</v>
      </c>
      <c r="AM21" s="46">
        <f t="shared" si="11"/>
        <v>5070.1836988953419</v>
      </c>
      <c r="AN21" s="48">
        <v>1800628</v>
      </c>
      <c r="AP21" s="74">
        <f>საპენსიო!D35</f>
        <v>54.692307692307693</v>
      </c>
      <c r="AQ21" s="74">
        <f>შშმპ!D36</f>
        <v>38</v>
      </c>
      <c r="AR21" s="9">
        <f t="shared" si="12"/>
        <v>46.346153846153847</v>
      </c>
      <c r="AS21" s="9">
        <f t="shared" si="13"/>
        <v>11.586538461538462</v>
      </c>
      <c r="AT21" s="9">
        <f t="shared" si="14"/>
        <v>139.03846153846155</v>
      </c>
      <c r="AU21" s="76">
        <f t="shared" si="17"/>
        <v>38851.724481327801</v>
      </c>
    </row>
    <row r="22" spans="1:48" ht="46.5" hidden="1" customHeight="1">
      <c r="A22" s="16">
        <v>22</v>
      </c>
      <c r="B22" s="21" t="s">
        <v>92</v>
      </c>
      <c r="C22" s="16" t="s">
        <v>93</v>
      </c>
      <c r="D22" s="20" t="s">
        <v>94</v>
      </c>
      <c r="E22" s="78"/>
      <c r="F22" s="78"/>
      <c r="G22" s="78">
        <f t="shared" si="4"/>
        <v>16901</v>
      </c>
      <c r="H22" s="78">
        <f t="shared" si="5"/>
        <v>132485.75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>
        <v>16901</v>
      </c>
      <c r="AA22" s="6">
        <v>84884</v>
      </c>
      <c r="AB22" s="27">
        <v>131581</v>
      </c>
      <c r="AC22" s="27">
        <v>153370</v>
      </c>
      <c r="AD22" s="27">
        <v>160108</v>
      </c>
      <c r="AE22" s="33">
        <f t="shared" si="6"/>
        <v>546844</v>
      </c>
      <c r="AF22" s="33"/>
      <c r="AG22" s="39">
        <v>7.2099999999999997E-2</v>
      </c>
      <c r="AH22" s="33">
        <f t="shared" si="7"/>
        <v>39427.452400000002</v>
      </c>
      <c r="AI22" s="46">
        <f t="shared" si="8"/>
        <v>0.94926891262857926</v>
      </c>
      <c r="AJ22" s="46">
        <f t="shared" si="9"/>
        <v>189853.78252571585</v>
      </c>
      <c r="AK22" s="46">
        <f t="shared" si="10"/>
        <v>2633200.8672082643</v>
      </c>
      <c r="AL22" s="46">
        <f t="shared" si="16"/>
        <v>152883.9464895417</v>
      </c>
      <c r="AM22" s="46">
        <f t="shared" si="11"/>
        <v>12740.328874128476</v>
      </c>
      <c r="AN22" s="48">
        <v>20329792</v>
      </c>
      <c r="AP22" s="74">
        <f>საპენსიო!D31</f>
        <v>72.359649122807014</v>
      </c>
      <c r="AQ22" s="74">
        <f>შშმპ!D31</f>
        <v>65.428571428571431</v>
      </c>
      <c r="AR22" s="9">
        <f t="shared" si="12"/>
        <v>68.894110275689229</v>
      </c>
      <c r="AS22" s="9">
        <f t="shared" si="13"/>
        <v>17.223527568922307</v>
      </c>
      <c r="AT22" s="9">
        <f t="shared" si="14"/>
        <v>206.68233082706769</v>
      </c>
      <c r="AU22" s="76">
        <f t="shared" si="17"/>
        <v>295087.517911873</v>
      </c>
    </row>
    <row r="23" spans="1:48" ht="46.5" hidden="1" customHeight="1">
      <c r="A23" s="16">
        <v>23</v>
      </c>
      <c r="B23" s="21" t="s">
        <v>95</v>
      </c>
      <c r="C23" s="16" t="s">
        <v>96</v>
      </c>
      <c r="D23" s="20" t="s">
        <v>97</v>
      </c>
      <c r="E23" s="78"/>
      <c r="F23" s="78"/>
      <c r="G23" s="78">
        <f t="shared" si="4"/>
        <v>2114</v>
      </c>
      <c r="H23" s="78">
        <f t="shared" si="5"/>
        <v>21529.5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>
        <v>2114</v>
      </c>
      <c r="AA23" s="6">
        <v>15922</v>
      </c>
      <c r="AB23" s="27">
        <v>19185</v>
      </c>
      <c r="AC23" s="27">
        <v>23726</v>
      </c>
      <c r="AD23" s="27">
        <v>27285</v>
      </c>
      <c r="AE23" s="33">
        <f t="shared" si="6"/>
        <v>88232</v>
      </c>
      <c r="AF23" s="33"/>
      <c r="AG23" s="39">
        <v>0.08</v>
      </c>
      <c r="AH23" s="33">
        <f t="shared" si="7"/>
        <v>7058.56</v>
      </c>
      <c r="AI23" s="46">
        <f t="shared" si="8"/>
        <v>0.16994431970764576</v>
      </c>
      <c r="AJ23" s="46">
        <f t="shared" si="9"/>
        <v>33988.863941529155</v>
      </c>
      <c r="AK23" s="46">
        <f t="shared" si="10"/>
        <v>424860.79926911445</v>
      </c>
      <c r="AL23" s="46">
        <f t="shared" si="16"/>
        <v>28448.82884973806</v>
      </c>
      <c r="AM23" s="46">
        <f t="shared" si="11"/>
        <v>2370.7357374781714</v>
      </c>
      <c r="AN23" s="48">
        <v>4642341</v>
      </c>
      <c r="AP23" s="74">
        <f>საპენსიო!D30</f>
        <v>59.736842105263158</v>
      </c>
      <c r="AQ23" s="74"/>
      <c r="AR23" s="9">
        <f t="shared" si="12"/>
        <v>59.736842105263158</v>
      </c>
      <c r="AS23" s="9">
        <f t="shared" si="13"/>
        <v>14.934210526315789</v>
      </c>
      <c r="AT23" s="9">
        <f t="shared" si="14"/>
        <v>179.21052631578948</v>
      </c>
      <c r="AU23" s="76">
        <f t="shared" si="17"/>
        <v>77713.197356828197</v>
      </c>
    </row>
    <row r="24" spans="1:48" ht="33.75" hidden="1" customHeight="1">
      <c r="A24" s="16">
        <v>24</v>
      </c>
      <c r="B24" s="16" t="s">
        <v>98</v>
      </c>
      <c r="C24" s="16" t="s">
        <v>99</v>
      </c>
      <c r="D24" s="19" t="s">
        <v>100</v>
      </c>
      <c r="E24" s="78">
        <f t="shared" ref="E24:E31" si="18">AVERAGE(J24:N24)</f>
        <v>111386.8</v>
      </c>
      <c r="F24" s="78">
        <f t="shared" ref="F24:F31" si="19">AVERAGE(O24:V24)</f>
        <v>170083.625</v>
      </c>
      <c r="G24" s="78">
        <f t="shared" si="4"/>
        <v>340627</v>
      </c>
      <c r="H24" s="78">
        <f t="shared" si="5"/>
        <v>413211</v>
      </c>
      <c r="I24" s="6">
        <v>255662</v>
      </c>
      <c r="J24" s="6">
        <v>103969</v>
      </c>
      <c r="K24" s="6">
        <f>14393+31795+12615+6244+1102</f>
        <v>66149</v>
      </c>
      <c r="L24" s="6">
        <f>31487+100998+25728+1020</f>
        <v>159233</v>
      </c>
      <c r="M24" s="6">
        <v>129089</v>
      </c>
      <c r="N24" s="22">
        <f>6352+51394+39920+828</f>
        <v>98494</v>
      </c>
      <c r="O24" s="22">
        <v>168080</v>
      </c>
      <c r="P24" s="22">
        <v>168944</v>
      </c>
      <c r="Q24" s="22">
        <v>137425</v>
      </c>
      <c r="R24" s="22">
        <v>172936</v>
      </c>
      <c r="S24" s="22">
        <v>195246</v>
      </c>
      <c r="T24" s="22">
        <v>141714</v>
      </c>
      <c r="U24" s="22">
        <v>185410</v>
      </c>
      <c r="V24" s="22">
        <v>190914</v>
      </c>
      <c r="W24" s="22">
        <v>277656</v>
      </c>
      <c r="X24" s="22">
        <v>352098</v>
      </c>
      <c r="Y24" s="22">
        <v>363351</v>
      </c>
      <c r="Z24" s="22">
        <v>369403</v>
      </c>
      <c r="AA24" s="22">
        <v>398024</v>
      </c>
      <c r="AB24" s="29">
        <v>426880</v>
      </c>
      <c r="AC24" s="29">
        <v>422016</v>
      </c>
      <c r="AD24" s="29">
        <v>405924</v>
      </c>
      <c r="AE24" s="33">
        <f t="shared" si="6"/>
        <v>5188617</v>
      </c>
      <c r="AF24" s="33"/>
      <c r="AG24" s="40">
        <v>8.4500000000000006E-2</v>
      </c>
      <c r="AH24" s="33">
        <f t="shared" si="7"/>
        <v>438438.13650000002</v>
      </c>
      <c r="AI24" s="46">
        <f t="shared" si="8"/>
        <v>10.555987459394043</v>
      </c>
      <c r="AJ24" s="46">
        <f t="shared" si="9"/>
        <v>2111197.4918788085</v>
      </c>
      <c r="AK24" s="46">
        <f t="shared" si="10"/>
        <v>24984585.70270779</v>
      </c>
      <c r="AL24" s="46">
        <f t="shared" si="16"/>
        <v>690732.3753495625</v>
      </c>
      <c r="AM24" s="46">
        <f t="shared" si="11"/>
        <v>57561.031279130213</v>
      </c>
      <c r="AN24" s="48">
        <v>823420</v>
      </c>
      <c r="AP24" s="74">
        <f>საპენსიო!D18</f>
        <v>143.02982162764772</v>
      </c>
      <c r="AQ24" s="74">
        <f>შშმპ!D19</f>
        <v>146.33939393939394</v>
      </c>
      <c r="AR24" s="9">
        <f t="shared" si="12"/>
        <v>144.68460778352085</v>
      </c>
      <c r="AS24" s="9">
        <f t="shared" si="13"/>
        <v>36.171151945880212</v>
      </c>
      <c r="AT24" s="9">
        <f t="shared" si="14"/>
        <v>434.05382335056254</v>
      </c>
      <c r="AU24" s="76">
        <f t="shared" si="17"/>
        <v>5691.1375205302602</v>
      </c>
    </row>
    <row r="25" spans="1:48" ht="51.75" hidden="1" customHeight="1">
      <c r="A25" s="16">
        <v>25</v>
      </c>
      <c r="B25" s="16" t="s">
        <v>101</v>
      </c>
      <c r="C25" s="16" t="s">
        <v>102</v>
      </c>
      <c r="D25" s="20" t="s">
        <v>103</v>
      </c>
      <c r="E25" s="78">
        <f t="shared" si="18"/>
        <v>29537.8</v>
      </c>
      <c r="F25" s="78">
        <f t="shared" si="19"/>
        <v>59391.375</v>
      </c>
      <c r="G25" s="78">
        <f t="shared" si="4"/>
        <v>107459.75</v>
      </c>
      <c r="H25" s="78">
        <f t="shared" si="5"/>
        <v>148344.75</v>
      </c>
      <c r="I25" s="6">
        <v>22614</v>
      </c>
      <c r="J25" s="6">
        <f>3092+8803</f>
        <v>11895</v>
      </c>
      <c r="K25" s="6">
        <v>700</v>
      </c>
      <c r="L25" s="6">
        <f>562+329+28856</f>
        <v>29747</v>
      </c>
      <c r="M25" s="6">
        <v>79226</v>
      </c>
      <c r="N25" s="6">
        <f>26120+1</f>
        <v>26121</v>
      </c>
      <c r="O25" s="6">
        <v>51767</v>
      </c>
      <c r="P25" s="6">
        <v>64413</v>
      </c>
      <c r="Q25" s="6">
        <v>45245</v>
      </c>
      <c r="R25" s="6">
        <v>53493</v>
      </c>
      <c r="S25" s="6">
        <v>75130</v>
      </c>
      <c r="T25" s="6">
        <v>47604</v>
      </c>
      <c r="U25" s="6">
        <v>60976</v>
      </c>
      <c r="V25" s="6">
        <v>76503</v>
      </c>
      <c r="W25" s="6">
        <v>99668</v>
      </c>
      <c r="X25" s="6">
        <v>130154</v>
      </c>
      <c r="Y25" s="6">
        <v>97303</v>
      </c>
      <c r="Z25" s="6">
        <v>102714</v>
      </c>
      <c r="AA25" s="6">
        <v>167394</v>
      </c>
      <c r="AB25" s="27">
        <v>142531</v>
      </c>
      <c r="AC25" s="27">
        <v>138106</v>
      </c>
      <c r="AD25" s="27">
        <v>145348</v>
      </c>
      <c r="AE25" s="33">
        <f t="shared" si="6"/>
        <v>1668652</v>
      </c>
      <c r="AF25" s="33"/>
      <c r="AG25" s="41">
        <v>0.1119</v>
      </c>
      <c r="AH25" s="33">
        <f t="shared" si="7"/>
        <v>186722.1588</v>
      </c>
      <c r="AI25" s="46">
        <f t="shared" si="8"/>
        <v>4.4955869542242324</v>
      </c>
      <c r="AJ25" s="46">
        <f t="shared" si="9"/>
        <v>899117.39084484649</v>
      </c>
      <c r="AK25" s="46">
        <f t="shared" si="10"/>
        <v>8035007.9610799504</v>
      </c>
      <c r="AL25" s="46">
        <f t="shared" si="16"/>
        <v>380995.92534833838</v>
      </c>
      <c r="AM25" s="46">
        <f t="shared" si="11"/>
        <v>31749.660445694863</v>
      </c>
      <c r="AN25" s="48">
        <v>610238</v>
      </c>
      <c r="AP25" s="74">
        <f>საპენსიო!D20</f>
        <v>83.653382275825905</v>
      </c>
      <c r="AQ25" s="74">
        <f>შშმპ!D20</f>
        <v>85.0625</v>
      </c>
      <c r="AR25" s="9">
        <f t="shared" si="12"/>
        <v>84.357941137912945</v>
      </c>
      <c r="AS25" s="9">
        <f t="shared" si="13"/>
        <v>21.089485284478236</v>
      </c>
      <c r="AT25" s="9">
        <f t="shared" si="14"/>
        <v>253.07382341373884</v>
      </c>
      <c r="AU25" s="76">
        <f t="shared" si="17"/>
        <v>7233.9129164182632</v>
      </c>
    </row>
    <row r="26" spans="1:48" hidden="1">
      <c r="A26" s="16">
        <v>26</v>
      </c>
      <c r="B26" s="16" t="s">
        <v>104</v>
      </c>
      <c r="C26" s="16" t="s">
        <v>105</v>
      </c>
      <c r="D26" s="23" t="s">
        <v>106</v>
      </c>
      <c r="E26" s="78">
        <f t="shared" si="18"/>
        <v>32737.8</v>
      </c>
      <c r="F26" s="78">
        <f t="shared" si="19"/>
        <v>54173.125</v>
      </c>
      <c r="G26" s="78">
        <f t="shared" si="4"/>
        <v>105344.25</v>
      </c>
      <c r="H26" s="78">
        <f t="shared" si="5"/>
        <v>131738.25</v>
      </c>
      <c r="I26" s="6">
        <v>35404</v>
      </c>
      <c r="J26" s="6">
        <f>630+300</f>
        <v>930</v>
      </c>
      <c r="K26" s="6">
        <v>24</v>
      </c>
      <c r="L26" s="6">
        <f>2+18170+30+84119</f>
        <v>102321</v>
      </c>
      <c r="M26" s="6">
        <v>38566</v>
      </c>
      <c r="N26" s="6">
        <f>3538+30+18280</f>
        <v>21848</v>
      </c>
      <c r="O26" s="6">
        <v>72462</v>
      </c>
      <c r="P26" s="6">
        <v>48945</v>
      </c>
      <c r="Q26" s="6">
        <v>33097</v>
      </c>
      <c r="R26" s="6">
        <v>65867</v>
      </c>
      <c r="S26" s="6">
        <v>59457</v>
      </c>
      <c r="T26" s="6">
        <v>34447</v>
      </c>
      <c r="U26" s="6">
        <v>64628</v>
      </c>
      <c r="V26" s="6">
        <v>54482</v>
      </c>
      <c r="W26" s="6">
        <v>84344</v>
      </c>
      <c r="X26" s="6">
        <v>130224</v>
      </c>
      <c r="Y26" s="6">
        <v>103094</v>
      </c>
      <c r="Z26" s="6">
        <v>103715</v>
      </c>
      <c r="AA26" s="6">
        <v>136114</v>
      </c>
      <c r="AB26" s="27">
        <v>128423</v>
      </c>
      <c r="AC26" s="27">
        <v>130971</v>
      </c>
      <c r="AD26" s="27">
        <v>131445</v>
      </c>
      <c r="AE26" s="33">
        <f t="shared" si="6"/>
        <v>1580808</v>
      </c>
      <c r="AF26" s="33"/>
      <c r="AG26" s="42">
        <v>0.109</v>
      </c>
      <c r="AH26" s="33">
        <f t="shared" si="7"/>
        <v>172308.07199999999</v>
      </c>
      <c r="AI26" s="46">
        <f t="shared" si="8"/>
        <v>4.1485484399333625</v>
      </c>
      <c r="AJ26" s="46">
        <f t="shared" si="9"/>
        <v>829709.68798667251</v>
      </c>
      <c r="AK26" s="46">
        <f t="shared" si="10"/>
        <v>7612015.4861162612</v>
      </c>
      <c r="AL26" s="46">
        <f t="shared" si="16"/>
        <v>259106.61317650956</v>
      </c>
      <c r="AM26" s="46">
        <f t="shared" si="11"/>
        <v>21592.21776470913</v>
      </c>
      <c r="AN26" s="48">
        <v>304248</v>
      </c>
      <c r="AP26" s="74">
        <f>საპენსიო!D19</f>
        <v>119.85441176470589</v>
      </c>
      <c r="AQ26" s="74">
        <f>შშმპ!D18</f>
        <v>115.16901408450704</v>
      </c>
      <c r="AR26" s="9">
        <f t="shared" si="12"/>
        <v>117.51171292460646</v>
      </c>
      <c r="AS26" s="9">
        <f t="shared" si="13"/>
        <v>29.377928231151614</v>
      </c>
      <c r="AT26" s="9">
        <f t="shared" si="14"/>
        <v>352.53513877381937</v>
      </c>
      <c r="AU26" s="76">
        <f t="shared" si="17"/>
        <v>2589.0865891402709</v>
      </c>
    </row>
    <row r="27" spans="1:48">
      <c r="A27" s="16">
        <v>27</v>
      </c>
      <c r="B27" s="16" t="s">
        <v>107</v>
      </c>
      <c r="C27" s="16" t="s">
        <v>108</v>
      </c>
      <c r="D27" s="20" t="s">
        <v>109</v>
      </c>
      <c r="E27" s="78">
        <f t="shared" si="18"/>
        <v>3042.2</v>
      </c>
      <c r="F27" s="78">
        <f t="shared" si="19"/>
        <v>3862.625</v>
      </c>
      <c r="G27" s="78">
        <f t="shared" si="4"/>
        <v>8559.25</v>
      </c>
      <c r="H27" s="78">
        <f t="shared" si="5"/>
        <v>7996.333333333333</v>
      </c>
      <c r="I27" s="6">
        <v>2774</v>
      </c>
      <c r="J27" s="6">
        <v>3424</v>
      </c>
      <c r="K27" s="6">
        <v>2384</v>
      </c>
      <c r="L27" s="6">
        <f>2117</f>
        <v>2117</v>
      </c>
      <c r="M27" s="6">
        <v>4162</v>
      </c>
      <c r="N27" s="6">
        <f>2480+644</f>
        <v>3124</v>
      </c>
      <c r="O27" s="6">
        <v>2678</v>
      </c>
      <c r="P27" s="6">
        <v>2208</v>
      </c>
      <c r="Q27" s="6">
        <v>5712</v>
      </c>
      <c r="R27" s="6">
        <v>2577</v>
      </c>
      <c r="S27" s="6">
        <v>4044</v>
      </c>
      <c r="T27" s="6">
        <v>5261</v>
      </c>
      <c r="U27" s="6">
        <v>4810</v>
      </c>
      <c r="V27" s="6">
        <v>3611</v>
      </c>
      <c r="W27" s="6">
        <v>6970</v>
      </c>
      <c r="X27" s="6">
        <v>10729</v>
      </c>
      <c r="Y27" s="6">
        <v>7133</v>
      </c>
      <c r="Z27" s="6">
        <v>9405</v>
      </c>
      <c r="AA27" s="6">
        <v>6884</v>
      </c>
      <c r="AB27" s="27">
        <v>10015</v>
      </c>
      <c r="AC27" s="27">
        <v>7090</v>
      </c>
      <c r="AD27" s="27"/>
      <c r="AE27" s="33">
        <f t="shared" si="6"/>
        <v>107112</v>
      </c>
      <c r="AF27" s="33"/>
      <c r="AG27" s="36">
        <v>0.16520000000000001</v>
      </c>
      <c r="AH27" s="33">
        <f t="shared" si="7"/>
        <v>17694.902400000003</v>
      </c>
      <c r="AI27" s="46">
        <f t="shared" si="8"/>
        <v>0.42602855974323206</v>
      </c>
      <c r="AJ27" s="46">
        <f t="shared" si="9"/>
        <v>85205.711948646422</v>
      </c>
      <c r="AK27" s="46">
        <f t="shared" si="10"/>
        <v>515773.07474967564</v>
      </c>
      <c r="AL27" s="46">
        <f t="shared" si="16"/>
        <v>15842.754968978164</v>
      </c>
      <c r="AM27" s="46">
        <f t="shared" si="11"/>
        <v>1320.2295807481803</v>
      </c>
      <c r="AN27" s="48">
        <v>21710</v>
      </c>
      <c r="AP27" s="74">
        <f>საპენსიო!D27</f>
        <v>189.44615384615383</v>
      </c>
      <c r="AQ27" s="74">
        <f>შშმპ!D26</f>
        <v>71</v>
      </c>
      <c r="AR27" s="9">
        <f t="shared" si="12"/>
        <v>130.22307692307692</v>
      </c>
      <c r="AS27" s="9">
        <f t="shared" si="13"/>
        <v>32.555769230769229</v>
      </c>
      <c r="AT27" s="9">
        <f t="shared" si="14"/>
        <v>390.66923076923075</v>
      </c>
      <c r="AU27" s="76">
        <f t="shared" si="17"/>
        <v>166.71392285427373</v>
      </c>
    </row>
    <row r="28" spans="1:48" ht="27.75" customHeight="1">
      <c r="A28" s="16">
        <v>28</v>
      </c>
      <c r="B28" s="16" t="s">
        <v>110</v>
      </c>
      <c r="C28" s="16" t="s">
        <v>111</v>
      </c>
      <c r="D28" s="20" t="s">
        <v>112</v>
      </c>
      <c r="E28" s="78">
        <f t="shared" si="18"/>
        <v>28454.799999999999</v>
      </c>
      <c r="F28" s="78">
        <f t="shared" si="19"/>
        <v>36332.375</v>
      </c>
      <c r="G28" s="78">
        <f t="shared" si="4"/>
        <v>89779</v>
      </c>
      <c r="H28" s="78">
        <f t="shared" si="5"/>
        <v>101791.75</v>
      </c>
      <c r="I28" s="6">
        <v>0</v>
      </c>
      <c r="J28" s="6">
        <v>21555</v>
      </c>
      <c r="K28" s="6">
        <v>35764</v>
      </c>
      <c r="L28" s="6">
        <f>21573</f>
        <v>21573</v>
      </c>
      <c r="M28" s="6">
        <v>28139</v>
      </c>
      <c r="N28" s="6">
        <f>35243</f>
        <v>35243</v>
      </c>
      <c r="O28" s="6">
        <v>25652</v>
      </c>
      <c r="P28" s="6">
        <v>31840</v>
      </c>
      <c r="Q28" s="6">
        <v>43499</v>
      </c>
      <c r="R28" s="6">
        <v>34555</v>
      </c>
      <c r="S28" s="6">
        <v>39389</v>
      </c>
      <c r="T28" s="6">
        <v>38730</v>
      </c>
      <c r="U28" s="6">
        <v>38749</v>
      </c>
      <c r="V28" s="6">
        <v>38245</v>
      </c>
      <c r="W28" s="6">
        <v>74463</v>
      </c>
      <c r="X28" s="6">
        <v>85375</v>
      </c>
      <c r="Y28" s="6">
        <v>97444</v>
      </c>
      <c r="Z28" s="6">
        <v>101834</v>
      </c>
      <c r="AA28" s="6">
        <v>85627</v>
      </c>
      <c r="AB28" s="27">
        <v>103526</v>
      </c>
      <c r="AC28" s="27">
        <v>127741</v>
      </c>
      <c r="AD28" s="27">
        <v>90273</v>
      </c>
      <c r="AE28" s="33">
        <f t="shared" si="6"/>
        <v>1199216</v>
      </c>
      <c r="AF28" s="33"/>
      <c r="AG28" s="40">
        <v>4.4999999999999998E-2</v>
      </c>
      <c r="AH28" s="33">
        <f t="shared" si="7"/>
        <v>53964.72</v>
      </c>
      <c r="AI28" s="46">
        <f t="shared" si="8"/>
        <v>1.2992731702519471</v>
      </c>
      <c r="AJ28" s="46">
        <f t="shared" si="9"/>
        <v>259854.6340503894</v>
      </c>
      <c r="AK28" s="46">
        <f t="shared" si="10"/>
        <v>5774547.4233419867</v>
      </c>
      <c r="AL28" s="46">
        <f t="shared" si="16"/>
        <v>183394.43311081282</v>
      </c>
      <c r="AM28" s="46">
        <f t="shared" si="11"/>
        <v>15282.86942590107</v>
      </c>
      <c r="AN28" s="48">
        <v>46718</v>
      </c>
      <c r="AP28" s="74">
        <f>საპენსიო!D28</f>
        <v>118.71681415929204</v>
      </c>
      <c r="AQ28" s="74">
        <f>შშმპ!D27</f>
        <v>133.17948717948718</v>
      </c>
      <c r="AR28" s="9">
        <f t="shared" si="12"/>
        <v>125.94815066938961</v>
      </c>
      <c r="AS28" s="9">
        <f t="shared" si="13"/>
        <v>31.487037667347401</v>
      </c>
      <c r="AT28" s="9">
        <f t="shared" si="14"/>
        <v>377.84445200816879</v>
      </c>
      <c r="AU28" s="76">
        <f t="shared" si="17"/>
        <v>370.93041661749726</v>
      </c>
    </row>
    <row r="29" spans="1:48" ht="26.25" hidden="1" customHeight="1">
      <c r="A29" s="16">
        <v>29</v>
      </c>
      <c r="B29" s="16" t="s">
        <v>113</v>
      </c>
      <c r="C29" s="16" t="s">
        <v>114</v>
      </c>
      <c r="D29" s="20" t="s">
        <v>79</v>
      </c>
      <c r="E29" s="78">
        <f t="shared" si="18"/>
        <v>754.2</v>
      </c>
      <c r="F29" s="78">
        <f t="shared" si="19"/>
        <v>1018.25</v>
      </c>
      <c r="G29" s="78">
        <f t="shared" si="4"/>
        <v>1003.75</v>
      </c>
      <c r="H29" s="78">
        <f t="shared" si="5"/>
        <v>1529</v>
      </c>
      <c r="I29" s="6">
        <v>547</v>
      </c>
      <c r="J29" s="6">
        <v>464</v>
      </c>
      <c r="K29" s="6">
        <v>356</v>
      </c>
      <c r="L29" s="6">
        <v>1050</v>
      </c>
      <c r="M29" s="6">
        <v>1342</v>
      </c>
      <c r="N29" s="6">
        <f>559</f>
        <v>559</v>
      </c>
      <c r="O29" s="6">
        <v>776</v>
      </c>
      <c r="P29" s="6">
        <v>1012</v>
      </c>
      <c r="Q29" s="6">
        <v>664</v>
      </c>
      <c r="R29" s="6">
        <v>926</v>
      </c>
      <c r="S29" s="6">
        <v>1161</v>
      </c>
      <c r="T29" s="6">
        <v>918</v>
      </c>
      <c r="U29" s="6">
        <v>1668</v>
      </c>
      <c r="V29" s="6">
        <v>1021</v>
      </c>
      <c r="W29" s="6">
        <v>513</v>
      </c>
      <c r="X29" s="6">
        <v>1320</v>
      </c>
      <c r="Y29" s="6">
        <v>1348</v>
      </c>
      <c r="Z29" s="6">
        <v>834</v>
      </c>
      <c r="AA29" s="6">
        <f>1971+1640</f>
        <v>3611</v>
      </c>
      <c r="AB29" s="27">
        <v>1204</v>
      </c>
      <c r="AC29" s="27">
        <v>898</v>
      </c>
      <c r="AD29" s="27">
        <v>403</v>
      </c>
      <c r="AE29" s="33">
        <f t="shared" si="6"/>
        <v>22595</v>
      </c>
      <c r="AF29" s="33"/>
      <c r="AG29" s="50">
        <v>3.2294999999999998</v>
      </c>
      <c r="AH29" s="33">
        <f t="shared" si="7"/>
        <v>72970.552499999991</v>
      </c>
      <c r="AI29" s="46">
        <f t="shared" si="8"/>
        <v>1.7568641342290137</v>
      </c>
      <c r="AJ29" s="46">
        <f t="shared" si="9"/>
        <v>351372.82684580272</v>
      </c>
      <c r="AK29" s="46">
        <f t="shared" si="10"/>
        <v>108800.99917813987</v>
      </c>
      <c r="AL29" s="46">
        <f t="shared" si="16"/>
        <v>36571.764429626848</v>
      </c>
      <c r="AM29" s="46">
        <f t="shared" si="11"/>
        <v>3047.647035802237</v>
      </c>
      <c r="AN29" s="51">
        <v>2687</v>
      </c>
      <c r="AP29" s="74">
        <f>საპენსიო!D25</f>
        <v>14.3</v>
      </c>
      <c r="AQ29" s="74">
        <f>შშმპ!D25</f>
        <v>9.5</v>
      </c>
      <c r="AR29" s="9">
        <f t="shared" si="12"/>
        <v>11.9</v>
      </c>
      <c r="AS29" s="9">
        <f t="shared" si="13"/>
        <v>2.9750000000000001</v>
      </c>
      <c r="AT29" s="9">
        <f t="shared" si="14"/>
        <v>35.700000000000003</v>
      </c>
      <c r="AU29" s="76">
        <f t="shared" si="17"/>
        <v>225.79831932773109</v>
      </c>
    </row>
    <row r="30" spans="1:48" ht="39.75" hidden="1" customHeight="1">
      <c r="A30" s="16">
        <v>30</v>
      </c>
      <c r="B30" s="16" t="s">
        <v>115</v>
      </c>
      <c r="C30" s="16" t="s">
        <v>116</v>
      </c>
      <c r="D30" s="20" t="s">
        <v>117</v>
      </c>
      <c r="E30" s="78">
        <f t="shared" si="18"/>
        <v>105.2</v>
      </c>
      <c r="F30" s="78">
        <f t="shared" si="19"/>
        <v>119.375</v>
      </c>
      <c r="G30" s="78">
        <f t="shared" si="4"/>
        <v>107.5</v>
      </c>
      <c r="H30" s="78">
        <f t="shared" si="5"/>
        <v>1125</v>
      </c>
      <c r="I30" s="6">
        <v>290</v>
      </c>
      <c r="J30" s="6">
        <v>46</v>
      </c>
      <c r="K30" s="6">
        <v>110</v>
      </c>
      <c r="L30" s="6">
        <v>131</v>
      </c>
      <c r="M30" s="6">
        <v>165</v>
      </c>
      <c r="N30" s="6">
        <f>74</f>
        <v>74</v>
      </c>
      <c r="O30" s="6">
        <v>0</v>
      </c>
      <c r="P30" s="6">
        <v>55</v>
      </c>
      <c r="Q30" s="6">
        <v>100</v>
      </c>
      <c r="R30" s="6">
        <v>400</v>
      </c>
      <c r="S30" s="6">
        <v>80</v>
      </c>
      <c r="T30" s="6">
        <v>90</v>
      </c>
      <c r="U30" s="6">
        <v>184</v>
      </c>
      <c r="V30" s="6">
        <v>46</v>
      </c>
      <c r="W30" s="6">
        <v>40</v>
      </c>
      <c r="X30" s="6">
        <v>120</v>
      </c>
      <c r="Y30" s="6">
        <v>203</v>
      </c>
      <c r="Z30" s="6">
        <v>67</v>
      </c>
      <c r="AA30" s="6">
        <v>1125</v>
      </c>
      <c r="AB30" s="32"/>
      <c r="AC30" s="32"/>
      <c r="AD30" s="32"/>
      <c r="AE30" s="54">
        <f t="shared" si="6"/>
        <v>3326</v>
      </c>
      <c r="AF30" s="54"/>
      <c r="AG30" s="32"/>
      <c r="AH30" s="54">
        <f t="shared" si="7"/>
        <v>0</v>
      </c>
      <c r="AI30" s="46">
        <f t="shared" si="8"/>
        <v>0</v>
      </c>
      <c r="AJ30" s="46">
        <f t="shared" si="9"/>
        <v>0</v>
      </c>
      <c r="AL30" s="46">
        <f t="shared" si="16"/>
        <v>0</v>
      </c>
      <c r="AM30" s="46">
        <f t="shared" si="11"/>
        <v>0</v>
      </c>
      <c r="AN30" s="32"/>
      <c r="AP30" s="74">
        <f>საპენსიო!D21</f>
        <v>30</v>
      </c>
      <c r="AQ30" s="74"/>
      <c r="AR30" s="9">
        <f t="shared" si="12"/>
        <v>30</v>
      </c>
      <c r="AS30" s="9">
        <f t="shared" si="13"/>
        <v>7.5</v>
      </c>
      <c r="AT30" s="9">
        <f t="shared" si="14"/>
        <v>90</v>
      </c>
      <c r="AU30" s="76">
        <f t="shared" si="17"/>
        <v>0</v>
      </c>
    </row>
    <row r="31" spans="1:48" ht="60.75" hidden="1" customHeight="1">
      <c r="A31" s="16">
        <v>31</v>
      </c>
      <c r="B31" s="16" t="s">
        <v>118</v>
      </c>
      <c r="C31" s="16" t="s">
        <v>119</v>
      </c>
      <c r="D31" s="20" t="s">
        <v>120</v>
      </c>
      <c r="E31" s="78">
        <f t="shared" si="18"/>
        <v>952.6</v>
      </c>
      <c r="F31" s="78">
        <f t="shared" si="19"/>
        <v>1313.125</v>
      </c>
      <c r="G31" s="78">
        <f t="shared" si="4"/>
        <v>1168.5</v>
      </c>
      <c r="H31" s="78">
        <f t="shared" si="5"/>
        <v>1485.5</v>
      </c>
      <c r="I31" s="6">
        <v>2050</v>
      </c>
      <c r="J31" s="6">
        <f>40+3+752</f>
        <v>795</v>
      </c>
      <c r="K31" s="6">
        <v>579</v>
      </c>
      <c r="L31" s="6">
        <f>52+45+1091+191</f>
        <v>1379</v>
      </c>
      <c r="M31" s="6">
        <v>1075</v>
      </c>
      <c r="N31" s="6">
        <f>12+393+530</f>
        <v>935</v>
      </c>
      <c r="O31" s="6">
        <v>1306</v>
      </c>
      <c r="P31" s="6">
        <v>1200</v>
      </c>
      <c r="Q31" s="6">
        <v>1273</v>
      </c>
      <c r="R31" s="6">
        <v>684</v>
      </c>
      <c r="S31" s="6">
        <v>1911</v>
      </c>
      <c r="T31" s="6">
        <v>1457</v>
      </c>
      <c r="U31" s="6">
        <v>1090</v>
      </c>
      <c r="V31" s="6">
        <v>1584</v>
      </c>
      <c r="W31" s="6">
        <v>2118</v>
      </c>
      <c r="X31" s="6">
        <v>1484</v>
      </c>
      <c r="Y31" s="6">
        <v>916</v>
      </c>
      <c r="Z31" s="6">
        <v>156</v>
      </c>
      <c r="AA31" s="6">
        <v>2685</v>
      </c>
      <c r="AB31" s="27">
        <v>854</v>
      </c>
      <c r="AC31" s="27">
        <v>1062</v>
      </c>
      <c r="AD31" s="27">
        <v>1341</v>
      </c>
      <c r="AE31" s="33">
        <f t="shared" si="6"/>
        <v>27934</v>
      </c>
      <c r="AF31" s="33"/>
      <c r="AG31" s="52">
        <v>30.998999999999999</v>
      </c>
      <c r="AH31" s="33">
        <f t="shared" si="7"/>
        <v>865926.06599999999</v>
      </c>
      <c r="AI31" s="46">
        <f t="shared" si="8"/>
        <v>20.848333966628878</v>
      </c>
      <c r="AJ31" s="46">
        <f t="shared" si="9"/>
        <v>4169666.7933257758</v>
      </c>
      <c r="AK31" s="46">
        <f t="shared" si="10"/>
        <v>134509.71945307191</v>
      </c>
      <c r="AL31" s="46">
        <f t="shared" si="16"/>
        <v>291234.75565687951</v>
      </c>
      <c r="AM31" s="46">
        <f t="shared" si="11"/>
        <v>24269.562971406627</v>
      </c>
      <c r="AN31" s="48">
        <v>5045</v>
      </c>
      <c r="AP31" s="74">
        <f>საპენსიო!D22</f>
        <v>1.9014925373134328</v>
      </c>
      <c r="AQ31" s="74">
        <f>შშმპ!D22</f>
        <v>1.7933884297520661</v>
      </c>
      <c r="AR31" s="9">
        <f t="shared" si="12"/>
        <v>1.8474404835327496</v>
      </c>
      <c r="AS31" s="9">
        <f t="shared" si="13"/>
        <v>0.4618601208831874</v>
      </c>
      <c r="AT31" s="9">
        <f t="shared" si="14"/>
        <v>5.5423214505982488</v>
      </c>
      <c r="AU31" s="76">
        <f t="shared" si="17"/>
        <v>2730.8051571722349</v>
      </c>
    </row>
    <row r="32" spans="1:48" ht="60.75" hidden="1" customHeight="1">
      <c r="A32" s="16">
        <v>32</v>
      </c>
      <c r="B32" s="16" t="s">
        <v>121</v>
      </c>
      <c r="C32" s="16" t="s">
        <v>122</v>
      </c>
      <c r="D32" s="20" t="s">
        <v>68</v>
      </c>
      <c r="E32" s="78"/>
      <c r="F32" s="78"/>
      <c r="G32" s="78" t="e">
        <f t="shared" si="4"/>
        <v>#DIV/0!</v>
      </c>
      <c r="H32" s="78">
        <f t="shared" si="5"/>
        <v>642.5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>
        <v>168</v>
      </c>
      <c r="AB32" s="27">
        <v>1752</v>
      </c>
      <c r="AC32" s="27">
        <v>472</v>
      </c>
      <c r="AD32" s="27">
        <v>178</v>
      </c>
      <c r="AE32" s="33">
        <f t="shared" si="6"/>
        <v>2570</v>
      </c>
      <c r="AF32" s="33"/>
      <c r="AG32" s="40">
        <v>25.76</v>
      </c>
      <c r="AH32" s="33">
        <f t="shared" si="7"/>
        <v>66203.199999999997</v>
      </c>
      <c r="AI32" s="46">
        <f t="shared" si="8"/>
        <v>1.5939310265081279</v>
      </c>
      <c r="AJ32" s="46">
        <f t="shared" si="9"/>
        <v>318786.2053016256</v>
      </c>
      <c r="AK32" s="46">
        <f t="shared" si="10"/>
        <v>12375.240889038259</v>
      </c>
      <c r="AN32" s="53">
        <v>4750</v>
      </c>
      <c r="AP32" s="74"/>
      <c r="AQ32" s="74"/>
      <c r="AR32" s="9"/>
      <c r="AS32" s="9">
        <f t="shared" si="13"/>
        <v>0</v>
      </c>
      <c r="AT32" s="9">
        <f t="shared" si="14"/>
        <v>0</v>
      </c>
      <c r="AU32" s="76"/>
    </row>
    <row r="33" spans="1:47" ht="48.75" hidden="1" customHeight="1">
      <c r="A33" s="16">
        <v>33</v>
      </c>
      <c r="B33" s="14" t="s">
        <v>123</v>
      </c>
      <c r="C33" s="14" t="s">
        <v>124</v>
      </c>
      <c r="D33" s="20" t="s">
        <v>47</v>
      </c>
      <c r="E33" s="78">
        <f>AVERAGE(J33:N33)</f>
        <v>401.4</v>
      </c>
      <c r="F33" s="78">
        <f>AVERAGE(O33:V33)</f>
        <v>514.5</v>
      </c>
      <c r="G33" s="78">
        <f t="shared" si="4"/>
        <v>882.75</v>
      </c>
      <c r="H33" s="78">
        <f t="shared" si="5"/>
        <v>838.25</v>
      </c>
      <c r="I33" s="6">
        <v>647</v>
      </c>
      <c r="J33" s="6">
        <f>118+269</f>
        <v>387</v>
      </c>
      <c r="K33" s="6">
        <f>20+54+196</f>
        <v>270</v>
      </c>
      <c r="L33" s="6">
        <f>254+23+229</f>
        <v>506</v>
      </c>
      <c r="M33" s="6">
        <f>90+362</f>
        <v>452</v>
      </c>
      <c r="N33" s="6">
        <f>215+143+8+26</f>
        <v>392</v>
      </c>
      <c r="O33" s="6">
        <v>422</v>
      </c>
      <c r="P33" s="6">
        <v>557</v>
      </c>
      <c r="Q33" s="6">
        <v>504</v>
      </c>
      <c r="R33" s="6">
        <v>431</v>
      </c>
      <c r="S33" s="6">
        <v>653</v>
      </c>
      <c r="T33" s="6">
        <v>459</v>
      </c>
      <c r="U33" s="6">
        <v>534</v>
      </c>
      <c r="V33" s="6">
        <v>556</v>
      </c>
      <c r="W33" s="6">
        <v>849</v>
      </c>
      <c r="X33" s="6">
        <v>896</v>
      </c>
      <c r="Y33" s="6">
        <v>844</v>
      </c>
      <c r="Z33" s="6">
        <v>942</v>
      </c>
      <c r="AA33" s="6">
        <v>956</v>
      </c>
      <c r="AB33" s="27">
        <v>888</v>
      </c>
      <c r="AC33" s="27">
        <v>844</v>
      </c>
      <c r="AD33" s="27">
        <v>665</v>
      </c>
      <c r="AE33" s="33">
        <f t="shared" si="6"/>
        <v>13654</v>
      </c>
      <c r="AF33" s="33"/>
      <c r="AG33" s="43">
        <v>4.8</v>
      </c>
      <c r="AH33" s="33">
        <f t="shared" si="7"/>
        <v>65539.199999999997</v>
      </c>
      <c r="AI33" s="46">
        <f t="shared" si="8"/>
        <v>1.5779443339977752</v>
      </c>
      <c r="AJ33" s="46">
        <f t="shared" si="9"/>
        <v>315588.86679955502</v>
      </c>
      <c r="AK33" s="46">
        <f>AJ33/AG33</f>
        <v>65747.680583240639</v>
      </c>
      <c r="AL33" s="46">
        <f t="shared" ref="AL33:AL41" si="20">AK33/AS33</f>
        <v>131494.49337641359</v>
      </c>
      <c r="AM33" s="46">
        <f t="shared" si="11"/>
        <v>10957.874448034465</v>
      </c>
      <c r="AN33" s="48">
        <v>2015</v>
      </c>
      <c r="AP33" s="74">
        <f>საპენსიო!D23</f>
        <v>1.9255583126550868</v>
      </c>
      <c r="AQ33" s="74">
        <f>შშმპ!D23</f>
        <v>2.0744680851063828</v>
      </c>
      <c r="AR33" s="9">
        <f t="shared" si="12"/>
        <v>2.000013198880735</v>
      </c>
      <c r="AS33" s="9">
        <f t="shared" si="13"/>
        <v>0.50000329972018376</v>
      </c>
      <c r="AT33" s="9">
        <f t="shared" si="14"/>
        <v>6.0000395966422051</v>
      </c>
      <c r="AU33" s="76">
        <f t="shared" ref="AU33:AU41" si="21">AN33/AR33</f>
        <v>1007.4933511077087</v>
      </c>
    </row>
    <row r="34" spans="1:47" ht="85.5" hidden="1" customHeight="1">
      <c r="A34" s="16">
        <v>34</v>
      </c>
      <c r="B34" s="16" t="s">
        <v>125</v>
      </c>
      <c r="C34" s="16" t="s">
        <v>126</v>
      </c>
      <c r="D34" s="20" t="s">
        <v>106</v>
      </c>
      <c r="E34" s="78">
        <f>AVERAGE(J34:N34)</f>
        <v>53.2</v>
      </c>
      <c r="F34" s="78">
        <f>AVERAGE(O34:V34)</f>
        <v>113.75</v>
      </c>
      <c r="G34" s="78">
        <f t="shared" si="4"/>
        <v>252.5</v>
      </c>
      <c r="H34" s="78">
        <f t="shared" si="5"/>
        <v>310.5</v>
      </c>
      <c r="I34" s="6">
        <v>0</v>
      </c>
      <c r="J34" s="6">
        <v>10</v>
      </c>
      <c r="K34" s="6">
        <v>41</v>
      </c>
      <c r="L34" s="6">
        <v>62</v>
      </c>
      <c r="M34" s="6">
        <v>65</v>
      </c>
      <c r="N34" s="6">
        <v>88</v>
      </c>
      <c r="O34" s="6">
        <v>84</v>
      </c>
      <c r="P34" s="6">
        <v>83</v>
      </c>
      <c r="Q34" s="6">
        <v>104</v>
      </c>
      <c r="R34" s="6">
        <v>114</v>
      </c>
      <c r="S34" s="6">
        <v>141</v>
      </c>
      <c r="T34" s="6">
        <v>142</v>
      </c>
      <c r="U34" s="6">
        <v>104</v>
      </c>
      <c r="V34" s="6">
        <v>138</v>
      </c>
      <c r="W34" s="6">
        <v>190</v>
      </c>
      <c r="X34" s="6">
        <v>242</v>
      </c>
      <c r="Y34" s="6">
        <v>258</v>
      </c>
      <c r="Z34" s="6">
        <v>320</v>
      </c>
      <c r="AA34" s="6">
        <v>340</v>
      </c>
      <c r="AB34" s="27">
        <v>282</v>
      </c>
      <c r="AC34" s="27">
        <v>338</v>
      </c>
      <c r="AD34" s="27">
        <v>282</v>
      </c>
      <c r="AE34" s="33">
        <f t="shared" si="6"/>
        <v>3428</v>
      </c>
      <c r="AF34" s="33"/>
      <c r="AG34" s="40">
        <v>79.558000000000007</v>
      </c>
      <c r="AH34" s="33">
        <f t="shared" si="7"/>
        <v>272724.82400000002</v>
      </c>
      <c r="AI34" s="46">
        <f t="shared" si="8"/>
        <v>6.5662167187170493</v>
      </c>
      <c r="AJ34" s="46">
        <f t="shared" si="9"/>
        <v>1313243.3437434097</v>
      </c>
      <c r="AK34" s="46">
        <f t="shared" si="10"/>
        <v>16506.741543822238</v>
      </c>
      <c r="AL34" s="46">
        <f t="shared" si="20"/>
        <v>31818.9425198024</v>
      </c>
      <c r="AM34" s="46">
        <f t="shared" si="11"/>
        <v>2651.5785433168667</v>
      </c>
      <c r="AN34" s="48">
        <v>2530</v>
      </c>
      <c r="AP34" s="74">
        <f>საპენსიო!D26</f>
        <v>2.034782608695652</v>
      </c>
      <c r="AQ34" s="74">
        <f>შშმპ!D24</f>
        <v>2.1153846153846154</v>
      </c>
      <c r="AR34" s="9">
        <f t="shared" si="12"/>
        <v>2.0750836120401335</v>
      </c>
      <c r="AS34" s="9">
        <f t="shared" si="13"/>
        <v>0.51877090301003337</v>
      </c>
      <c r="AT34" s="9">
        <f t="shared" si="14"/>
        <v>6.2252508361204004</v>
      </c>
      <c r="AU34" s="76">
        <f t="shared" si="21"/>
        <v>1219.2279796921591</v>
      </c>
    </row>
    <row r="35" spans="1:47" ht="45" hidden="1" customHeight="1">
      <c r="A35" s="16">
        <v>35</v>
      </c>
      <c r="B35" s="16" t="s">
        <v>127</v>
      </c>
      <c r="C35" s="16" t="s">
        <v>128</v>
      </c>
      <c r="D35" s="20" t="s">
        <v>129</v>
      </c>
      <c r="E35" s="78">
        <f>AVERAGE(J35:N35)</f>
        <v>458.2</v>
      </c>
      <c r="F35" s="78">
        <f>AVERAGE(O35:V35)</f>
        <v>496.5</v>
      </c>
      <c r="G35" s="78">
        <f t="shared" si="4"/>
        <v>733</v>
      </c>
      <c r="H35" s="78">
        <f t="shared" si="5"/>
        <v>713</v>
      </c>
      <c r="I35" s="6">
        <v>401</v>
      </c>
      <c r="J35" s="6">
        <f>101+62</f>
        <v>163</v>
      </c>
      <c r="K35" s="6">
        <f>18+30+176</f>
        <v>224</v>
      </c>
      <c r="L35" s="6">
        <f>25+8+1017</f>
        <v>1050</v>
      </c>
      <c r="M35" s="6">
        <v>539</v>
      </c>
      <c r="N35" s="6">
        <v>315</v>
      </c>
      <c r="O35" s="6">
        <v>419</v>
      </c>
      <c r="P35" s="6">
        <v>564</v>
      </c>
      <c r="Q35" s="6">
        <v>377</v>
      </c>
      <c r="R35" s="6">
        <v>511</v>
      </c>
      <c r="S35" s="6">
        <v>477</v>
      </c>
      <c r="T35" s="6">
        <v>435</v>
      </c>
      <c r="U35" s="6">
        <v>530</v>
      </c>
      <c r="V35" s="6">
        <v>659</v>
      </c>
      <c r="W35" s="6">
        <v>515</v>
      </c>
      <c r="X35" s="6">
        <v>837</v>
      </c>
      <c r="Y35" s="6">
        <v>827</v>
      </c>
      <c r="Z35" s="6">
        <v>753</v>
      </c>
      <c r="AA35" s="6">
        <v>1084</v>
      </c>
      <c r="AB35" s="27">
        <v>482</v>
      </c>
      <c r="AC35" s="27">
        <v>611</v>
      </c>
      <c r="AD35" s="27">
        <v>675</v>
      </c>
      <c r="AE35" s="33">
        <f t="shared" si="6"/>
        <v>12448</v>
      </c>
      <c r="AF35" s="33"/>
      <c r="AG35" s="41">
        <v>0.36980000000000002</v>
      </c>
      <c r="AH35" s="33">
        <f t="shared" si="7"/>
        <v>4603.2704000000003</v>
      </c>
      <c r="AI35" s="46">
        <f t="shared" si="8"/>
        <v>0.11082992232953214</v>
      </c>
      <c r="AJ35" s="46">
        <f t="shared" si="9"/>
        <v>22165.984465906429</v>
      </c>
      <c r="AK35" s="46">
        <f t="shared" si="10"/>
        <v>59940.466376166652</v>
      </c>
      <c r="AL35" s="46">
        <f t="shared" si="20"/>
        <v>16836.977818572112</v>
      </c>
      <c r="AM35" s="46">
        <f t="shared" si="11"/>
        <v>1403.0814848810094</v>
      </c>
      <c r="AN35" s="48">
        <v>8533</v>
      </c>
      <c r="AP35" s="74">
        <f>საპენსიო!D24</f>
        <v>14.980392156862745</v>
      </c>
      <c r="AQ35" s="74">
        <f>შშმპ!D21</f>
        <v>13.5</v>
      </c>
      <c r="AR35" s="9">
        <f t="shared" si="12"/>
        <v>14.240196078431373</v>
      </c>
      <c r="AS35" s="9">
        <f t="shared" si="13"/>
        <v>3.5600490196078431</v>
      </c>
      <c r="AT35" s="9">
        <f t="shared" si="14"/>
        <v>42.720588235294116</v>
      </c>
      <c r="AU35" s="76">
        <f t="shared" si="21"/>
        <v>599.21927710843374</v>
      </c>
    </row>
    <row r="36" spans="1:47" ht="24.75" hidden="1">
      <c r="A36" s="16">
        <v>36</v>
      </c>
      <c r="B36" s="24" t="s">
        <v>130</v>
      </c>
      <c r="C36" s="7" t="s">
        <v>131</v>
      </c>
      <c r="D36" s="8" t="s">
        <v>89</v>
      </c>
      <c r="E36" s="78"/>
      <c r="F36" s="78"/>
      <c r="G36" s="78">
        <f t="shared" si="4"/>
        <v>12111</v>
      </c>
      <c r="H36" s="78">
        <f t="shared" si="5"/>
        <v>40549.5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6">
        <v>12111</v>
      </c>
      <c r="AA36" s="6">
        <v>37545</v>
      </c>
      <c r="AB36" s="27">
        <v>37213</v>
      </c>
      <c r="AC36" s="27">
        <v>44342</v>
      </c>
      <c r="AD36" s="27">
        <v>43098</v>
      </c>
      <c r="AE36" s="33">
        <f t="shared" si="6"/>
        <v>174309</v>
      </c>
      <c r="AF36" s="33"/>
      <c r="AG36" s="43">
        <v>0.57999999999999996</v>
      </c>
      <c r="AH36" s="33">
        <f t="shared" si="7"/>
        <v>101099.21999999999</v>
      </c>
      <c r="AI36" s="46">
        <f t="shared" si="8"/>
        <v>2.4340996132176547</v>
      </c>
      <c r="AJ36" s="46">
        <f t="shared" si="9"/>
        <v>486819.92264353094</v>
      </c>
      <c r="AK36" s="46">
        <f t="shared" si="10"/>
        <v>839344.69421298441</v>
      </c>
      <c r="AL36" s="46">
        <f t="shared" si="20"/>
        <v>28187.520302096942</v>
      </c>
      <c r="AM36" s="46">
        <f t="shared" si="11"/>
        <v>2348.9600251747447</v>
      </c>
      <c r="AN36" s="48">
        <v>310319</v>
      </c>
      <c r="AP36" s="74">
        <f>საპენსიო!D34</f>
        <v>128.21739130434781</v>
      </c>
      <c r="AQ36" s="74">
        <f>შშმპ!D35</f>
        <v>110</v>
      </c>
      <c r="AR36" s="9">
        <f t="shared" si="12"/>
        <v>119.10869565217391</v>
      </c>
      <c r="AS36" s="9">
        <f t="shared" si="13"/>
        <v>29.777173913043477</v>
      </c>
      <c r="AT36" s="9">
        <f t="shared" si="14"/>
        <v>357.32608695652175</v>
      </c>
      <c r="AU36" s="76">
        <f t="shared" si="21"/>
        <v>2605.3429457930279</v>
      </c>
    </row>
    <row r="37" spans="1:47" ht="36.75" hidden="1">
      <c r="A37" s="16">
        <v>37</v>
      </c>
      <c r="B37" s="24" t="s">
        <v>132</v>
      </c>
      <c r="C37" s="7" t="s">
        <v>133</v>
      </c>
      <c r="D37" s="8" t="s">
        <v>106</v>
      </c>
      <c r="E37" s="78"/>
      <c r="F37" s="78"/>
      <c r="G37" s="78">
        <f t="shared" si="4"/>
        <v>2522</v>
      </c>
      <c r="H37" s="78">
        <f t="shared" si="5"/>
        <v>13491.75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6">
        <v>2522</v>
      </c>
      <c r="AA37" s="6">
        <v>11386</v>
      </c>
      <c r="AB37" s="27">
        <v>12128</v>
      </c>
      <c r="AC37" s="27">
        <v>16396</v>
      </c>
      <c r="AD37" s="27">
        <v>14057</v>
      </c>
      <c r="AE37" s="33">
        <f t="shared" si="6"/>
        <v>56489</v>
      </c>
      <c r="AF37" s="33"/>
      <c r="AG37" s="43">
        <v>0.39</v>
      </c>
      <c r="AH37" s="33">
        <f t="shared" si="7"/>
        <v>22030.71</v>
      </c>
      <c r="AI37" s="46">
        <f t="shared" si="8"/>
        <v>0.53041895565475505</v>
      </c>
      <c r="AJ37" s="46">
        <f t="shared" si="9"/>
        <v>106083.79113095101</v>
      </c>
      <c r="AK37" s="46">
        <f t="shared" si="10"/>
        <v>272009.72084859235</v>
      </c>
      <c r="AL37" s="46">
        <f t="shared" si="20"/>
        <v>8053.5816683521052</v>
      </c>
      <c r="AM37" s="46">
        <f t="shared" si="11"/>
        <v>671.13180569600888</v>
      </c>
      <c r="AN37" s="48">
        <v>194503</v>
      </c>
      <c r="AP37" s="74">
        <f>საპენსიო!D33</f>
        <v>170.2</v>
      </c>
      <c r="AQ37" s="74">
        <f>შშმპ!D34</f>
        <v>100</v>
      </c>
      <c r="AR37" s="9">
        <f t="shared" si="12"/>
        <v>135.1</v>
      </c>
      <c r="AS37" s="9">
        <f t="shared" si="13"/>
        <v>33.774999999999999</v>
      </c>
      <c r="AT37" s="9">
        <f t="shared" si="14"/>
        <v>405.29999999999995</v>
      </c>
      <c r="AU37" s="76">
        <f t="shared" si="21"/>
        <v>1439.696521095485</v>
      </c>
    </row>
    <row r="38" spans="1:47" ht="24.75" hidden="1">
      <c r="A38" s="16">
        <v>38</v>
      </c>
      <c r="B38" s="25" t="s">
        <v>134</v>
      </c>
      <c r="C38" s="7" t="s">
        <v>135</v>
      </c>
      <c r="D38" s="8" t="s">
        <v>136</v>
      </c>
      <c r="E38" s="78"/>
      <c r="F38" s="78"/>
      <c r="G38" s="78">
        <f t="shared" si="4"/>
        <v>2254</v>
      </c>
      <c r="H38" s="78">
        <f t="shared" si="5"/>
        <v>13798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6">
        <v>2254</v>
      </c>
      <c r="AA38" s="6">
        <v>9669</v>
      </c>
      <c r="AB38" s="27">
        <v>16679</v>
      </c>
      <c r="AC38" s="27">
        <v>15229</v>
      </c>
      <c r="AD38" s="27">
        <v>13615</v>
      </c>
      <c r="AE38" s="33">
        <f t="shared" si="6"/>
        <v>57446</v>
      </c>
      <c r="AF38" s="33"/>
      <c r="AG38" s="44">
        <v>0.70299999999999996</v>
      </c>
      <c r="AH38" s="33">
        <f t="shared" si="7"/>
        <v>40384.538</v>
      </c>
      <c r="AI38" s="46">
        <f t="shared" si="8"/>
        <v>0.97231203490762541</v>
      </c>
      <c r="AJ38" s="46">
        <f t="shared" si="9"/>
        <v>194462.4069815251</v>
      </c>
      <c r="AK38" s="46">
        <f t="shared" si="10"/>
        <v>276617.93311738991</v>
      </c>
      <c r="AL38" s="46">
        <f t="shared" si="20"/>
        <v>9069.4404300783572</v>
      </c>
      <c r="AM38" s="46">
        <f t="shared" si="11"/>
        <v>755.78670250652976</v>
      </c>
      <c r="AN38" s="48">
        <v>1841431</v>
      </c>
      <c r="AP38" s="74">
        <f>საპენსიო!D32</f>
        <v>30</v>
      </c>
      <c r="AQ38" s="74">
        <f>შშმპ!D33</f>
        <v>214</v>
      </c>
      <c r="AR38" s="9">
        <f t="shared" si="12"/>
        <v>122</v>
      </c>
      <c r="AS38" s="9">
        <f t="shared" si="13"/>
        <v>30.5</v>
      </c>
      <c r="AT38" s="9">
        <f t="shared" si="14"/>
        <v>366</v>
      </c>
      <c r="AU38" s="76">
        <f t="shared" si="21"/>
        <v>15093.696721311475</v>
      </c>
    </row>
    <row r="39" spans="1:47" hidden="1">
      <c r="A39" s="16">
        <v>39</v>
      </c>
      <c r="B39" s="25" t="s">
        <v>137</v>
      </c>
      <c r="C39" s="7" t="s">
        <v>138</v>
      </c>
      <c r="D39" s="8" t="s">
        <v>139</v>
      </c>
      <c r="E39" s="78"/>
      <c r="F39" s="78"/>
      <c r="G39" s="78">
        <f t="shared" si="4"/>
        <v>3581</v>
      </c>
      <c r="H39" s="78">
        <f t="shared" si="5"/>
        <v>34071.75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6">
        <v>3581</v>
      </c>
      <c r="AA39" s="6">
        <v>29394</v>
      </c>
      <c r="AB39" s="27">
        <v>42380</v>
      </c>
      <c r="AC39" s="27">
        <v>29080</v>
      </c>
      <c r="AD39" s="27">
        <v>35433</v>
      </c>
      <c r="AE39" s="33">
        <f t="shared" si="6"/>
        <v>139868</v>
      </c>
      <c r="AF39" s="33"/>
      <c r="AG39" s="41">
        <v>6.9599999999999995E-2</v>
      </c>
      <c r="AH39" s="33">
        <f t="shared" si="7"/>
        <v>9734.8127999999997</v>
      </c>
      <c r="AI39" s="46">
        <f t="shared" si="8"/>
        <v>0.23437870313169851</v>
      </c>
      <c r="AJ39" s="46">
        <f t="shared" si="9"/>
        <v>46875.740626339699</v>
      </c>
      <c r="AK39" s="46">
        <f t="shared" si="10"/>
        <v>673502.02049338655</v>
      </c>
      <c r="AL39" s="46">
        <f t="shared" si="20"/>
        <v>8379.4963669472672</v>
      </c>
      <c r="AM39" s="46">
        <f t="shared" si="11"/>
        <v>698.29136391227223</v>
      </c>
      <c r="AN39" s="48">
        <v>948766</v>
      </c>
      <c r="AP39" s="74">
        <f>საპენსიო!D36</f>
        <v>275</v>
      </c>
      <c r="AQ39" s="74">
        <f>შშმპ!D37</f>
        <v>368</v>
      </c>
      <c r="AR39" s="9">
        <f t="shared" si="12"/>
        <v>321.5</v>
      </c>
      <c r="AS39" s="9">
        <f t="shared" si="13"/>
        <v>80.375</v>
      </c>
      <c r="AT39" s="9">
        <f t="shared" si="14"/>
        <v>964.5</v>
      </c>
      <c r="AU39" s="76">
        <f t="shared" si="21"/>
        <v>2951.0606531881804</v>
      </c>
    </row>
    <row r="40" spans="1:47" ht="24.75" hidden="1">
      <c r="A40" s="16">
        <v>40</v>
      </c>
      <c r="B40" s="24" t="s">
        <v>140</v>
      </c>
      <c r="C40" s="7" t="s">
        <v>141</v>
      </c>
      <c r="D40" s="8" t="s">
        <v>142</v>
      </c>
      <c r="E40" s="78"/>
      <c r="F40" s="78"/>
      <c r="G40" s="78">
        <f t="shared" si="4"/>
        <v>92</v>
      </c>
      <c r="H40" s="78">
        <f t="shared" si="5"/>
        <v>5311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6">
        <v>92</v>
      </c>
      <c r="AA40" s="6">
        <v>5662</v>
      </c>
      <c r="AB40" s="27">
        <v>3330</v>
      </c>
      <c r="AC40" s="27">
        <v>4580</v>
      </c>
      <c r="AD40" s="27">
        <v>7672</v>
      </c>
      <c r="AE40" s="33">
        <f t="shared" si="6"/>
        <v>21336</v>
      </c>
      <c r="AF40" s="33"/>
      <c r="AG40" s="41">
        <f>0.0653*3.0274</f>
        <v>0.19768922</v>
      </c>
      <c r="AH40" s="33">
        <f t="shared" si="7"/>
        <v>4217.8971979199996</v>
      </c>
      <c r="AI40" s="46">
        <f t="shared" si="8"/>
        <v>0.10155154449311185</v>
      </c>
      <c r="AJ40" s="46">
        <f t="shared" si="9"/>
        <v>20310.30889862237</v>
      </c>
      <c r="AK40" s="46">
        <f t="shared" si="10"/>
        <v>102738.57572315967</v>
      </c>
      <c r="AL40" s="46">
        <f t="shared" si="20"/>
        <v>4466.8945966591155</v>
      </c>
      <c r="AM40" s="46">
        <f t="shared" si="11"/>
        <v>372.24121638825966</v>
      </c>
      <c r="AN40" s="48">
        <v>235752</v>
      </c>
      <c r="AP40" s="74"/>
      <c r="AQ40" s="74">
        <f>შშმპ!D29</f>
        <v>92</v>
      </c>
      <c r="AR40" s="9">
        <f t="shared" si="12"/>
        <v>92</v>
      </c>
      <c r="AS40" s="9">
        <f t="shared" si="13"/>
        <v>23</v>
      </c>
      <c r="AT40" s="9">
        <f t="shared" si="14"/>
        <v>276</v>
      </c>
      <c r="AU40" s="76">
        <f t="shared" si="21"/>
        <v>2562.521739130435</v>
      </c>
    </row>
    <row r="41" spans="1:47" ht="24.75" hidden="1">
      <c r="A41" s="16">
        <v>41</v>
      </c>
      <c r="B41" s="24" t="s">
        <v>143</v>
      </c>
      <c r="C41" s="7" t="s">
        <v>144</v>
      </c>
      <c r="D41" s="8" t="s">
        <v>106</v>
      </c>
      <c r="E41" s="78"/>
      <c r="F41" s="78"/>
      <c r="G41" s="78">
        <f t="shared" si="4"/>
        <v>276</v>
      </c>
      <c r="H41" s="78">
        <f t="shared" si="5"/>
        <v>13475.5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6">
        <v>276</v>
      </c>
      <c r="AA41" s="6">
        <v>11673</v>
      </c>
      <c r="AB41" s="27">
        <v>12009</v>
      </c>
      <c r="AC41" s="27">
        <v>11266</v>
      </c>
      <c r="AD41" s="27">
        <v>18954</v>
      </c>
      <c r="AE41" s="33">
        <f t="shared" si="6"/>
        <v>54178</v>
      </c>
      <c r="AF41" s="33"/>
      <c r="AG41" s="41">
        <f>0.0911*3.0274</f>
        <v>0.27579614000000002</v>
      </c>
      <c r="AH41" s="33">
        <f t="shared" si="7"/>
        <v>14942.083272920001</v>
      </c>
      <c r="AI41" s="46">
        <f t="shared" si="8"/>
        <v>0.35975073907870475</v>
      </c>
      <c r="AJ41" s="46">
        <f t="shared" si="9"/>
        <v>71950.147815740944</v>
      </c>
      <c r="AK41" s="46">
        <f t="shared" si="10"/>
        <v>260881.63458611473</v>
      </c>
      <c r="AL41" s="46">
        <f t="shared" si="20"/>
        <v>11594.739314938432</v>
      </c>
      <c r="AM41" s="46">
        <f t="shared" si="11"/>
        <v>966.22827624486933</v>
      </c>
      <c r="AN41" s="48">
        <v>1175322</v>
      </c>
      <c r="AP41" s="74"/>
      <c r="AQ41" s="74">
        <f>შშმპ!D30</f>
        <v>90</v>
      </c>
      <c r="AR41" s="9">
        <f t="shared" si="12"/>
        <v>90</v>
      </c>
      <c r="AS41" s="9">
        <f t="shared" si="13"/>
        <v>22.5</v>
      </c>
      <c r="AT41" s="9">
        <f t="shared" si="14"/>
        <v>270</v>
      </c>
      <c r="AU41" s="76">
        <f t="shared" si="21"/>
        <v>13059.133333333333</v>
      </c>
    </row>
    <row r="42" spans="1:47" hidden="1">
      <c r="A42" s="16">
        <v>42</v>
      </c>
      <c r="B42" s="25" t="s">
        <v>145</v>
      </c>
      <c r="C42" s="7" t="s">
        <v>146</v>
      </c>
      <c r="D42" s="8" t="s">
        <v>147</v>
      </c>
      <c r="E42" s="78"/>
      <c r="F42" s="78"/>
      <c r="G42" s="78"/>
      <c r="H42" s="78">
        <f t="shared" si="5"/>
        <v>2032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6"/>
      <c r="AA42" s="6">
        <v>1803</v>
      </c>
      <c r="AB42" s="27">
        <v>1784</v>
      </c>
      <c r="AC42" s="27">
        <v>1724</v>
      </c>
      <c r="AD42" s="27">
        <v>2817</v>
      </c>
      <c r="AE42" s="33">
        <f t="shared" si="6"/>
        <v>8128</v>
      </c>
      <c r="AF42" s="33"/>
      <c r="AG42" s="41">
        <v>1.0943000000000001</v>
      </c>
      <c r="AH42" s="33">
        <f t="shared" si="7"/>
        <v>8894.4704000000002</v>
      </c>
      <c r="AI42" s="46">
        <f t="shared" si="8"/>
        <v>0.21414633031210215</v>
      </c>
      <c r="AJ42" s="46">
        <f t="shared" si="9"/>
        <v>42829.266062420429</v>
      </c>
      <c r="AK42" s="46">
        <f t="shared" si="10"/>
        <v>39138.505037394156</v>
      </c>
      <c r="AN42" s="48">
        <v>449555</v>
      </c>
      <c r="AP42" s="74"/>
      <c r="AQ42" s="74"/>
      <c r="AR42" s="9"/>
      <c r="AS42" s="9">
        <f t="shared" si="13"/>
        <v>0</v>
      </c>
      <c r="AT42" s="9">
        <f t="shared" si="14"/>
        <v>0</v>
      </c>
      <c r="AU42" s="76"/>
    </row>
    <row r="43" spans="1:47" hidden="1">
      <c r="A43" s="16">
        <v>43</v>
      </c>
      <c r="B43" s="25" t="s">
        <v>148</v>
      </c>
      <c r="C43" s="7" t="s">
        <v>149</v>
      </c>
      <c r="D43" s="8" t="s">
        <v>150</v>
      </c>
      <c r="E43" s="78"/>
      <c r="F43" s="78"/>
      <c r="G43" s="78">
        <f t="shared" si="4"/>
        <v>990</v>
      </c>
      <c r="H43" s="78">
        <f t="shared" si="5"/>
        <v>6296.5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6">
        <v>990</v>
      </c>
      <c r="AA43" s="6">
        <v>2878</v>
      </c>
      <c r="AB43" s="27">
        <v>5373</v>
      </c>
      <c r="AC43" s="27">
        <v>6512</v>
      </c>
      <c r="AD43" s="27">
        <v>10423</v>
      </c>
      <c r="AE43" s="33">
        <f t="shared" si="6"/>
        <v>26176</v>
      </c>
      <c r="AF43" s="33"/>
      <c r="AG43" s="43">
        <v>0.37</v>
      </c>
      <c r="AH43" s="33">
        <f t="shared" si="7"/>
        <v>9685.119999999999</v>
      </c>
      <c r="AI43" s="46">
        <f t="shared" si="8"/>
        <v>0.23318228217751405</v>
      </c>
      <c r="AJ43" s="46">
        <f t="shared" si="9"/>
        <v>46636.456435502812</v>
      </c>
      <c r="AK43" s="46">
        <f>AJ43/AG43</f>
        <v>126044.4768527103</v>
      </c>
      <c r="AL43" s="46">
        <f>AK43/AS43</f>
        <v>3734.6511660062311</v>
      </c>
      <c r="AM43" s="46">
        <f t="shared" si="11"/>
        <v>311.22093050051927</v>
      </c>
      <c r="AN43" s="48">
        <v>165836</v>
      </c>
      <c r="AP43" s="74"/>
      <c r="AQ43" s="74">
        <f>შშმპ!D32</f>
        <v>135</v>
      </c>
      <c r="AR43" s="9">
        <f t="shared" si="12"/>
        <v>135</v>
      </c>
      <c r="AS43" s="9">
        <f t="shared" si="13"/>
        <v>33.75</v>
      </c>
      <c r="AT43" s="9">
        <f t="shared" si="14"/>
        <v>405</v>
      </c>
      <c r="AU43" s="76">
        <f>AN43/AR43</f>
        <v>1228.4148148148149</v>
      </c>
    </row>
    <row r="44" spans="1:47" hidden="1">
      <c r="E44" s="78"/>
      <c r="F44" s="80"/>
      <c r="G44" s="80"/>
      <c r="H44" s="80"/>
      <c r="AB44" s="30"/>
      <c r="AC44" s="30"/>
      <c r="AD44" s="30"/>
      <c r="AE44" s="76">
        <f>SUM(AE2:AE43)</f>
        <v>28656834</v>
      </c>
      <c r="AH44" s="33">
        <f>SUM(AH2:AH43)</f>
        <v>4153454.5033001406</v>
      </c>
      <c r="AJ44" s="46">
        <v>20000000</v>
      </c>
      <c r="AM44" s="46">
        <f>SUM(AM2:AM43)</f>
        <v>529846.14803571731</v>
      </c>
    </row>
    <row r="45" spans="1:47" hidden="1"/>
  </sheetData>
  <mergeCells count="1">
    <mergeCell ref="A2:A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ბენეფიციარი</vt:lpstr>
      <vt:lpstr>Sheet15</vt:lpstr>
      <vt:lpstr>მედიკამენტები</vt:lpstr>
      <vt:lpstr>საპენსიო</vt:lpstr>
      <vt:lpstr>შშმპ</vt:lpstr>
      <vt:lpstr>გულ-სისხლძარღვთა-1</vt:lpstr>
      <vt:lpstr>გულ-სისხლძარღვთა-2</vt:lpstr>
      <vt:lpstr>დიაბეტი</vt:lpstr>
      <vt:lpstr>ფარისებრი</vt:lpstr>
      <vt:lpstr>ფილტვი</vt:lpstr>
      <vt:lpstr>პარკინსონი</vt:lpstr>
      <vt:lpstr>ეპილეფსია</vt:lpstr>
      <vt:lpstr>Sheet7</vt:lpstr>
      <vt:lpstr>ვადაგასული მედიკამენტები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2019-06-05T16:09:57Z</dcterms:modified>
</cp:coreProperties>
</file>