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 tabRatio="815" activeTab="13"/>
  </bookViews>
  <sheets>
    <sheet name="ნანეიშვილი" sheetId="2" r:id="rId1"/>
    <sheet name="#5" sheetId="3" r:id="rId2"/>
    <sheet name="ღუდუშაური" sheetId="4" r:id="rId3"/>
    <sheet name="ქუთაისი" sheetId="5" r:id="rId4"/>
    <sheet name="უნიმედი" sheetId="6" r:id="rId5"/>
    <sheet name="რუსთავი" sheetId="7" r:id="rId6"/>
    <sheet name="სენაკი" sheetId="8" r:id="rId7"/>
    <sheet name="სურამი" sheetId="9" r:id="rId8"/>
    <sheet name="ბედიანი" sheetId="10" r:id="rId9"/>
    <sheet name="ქავთარაძე" sheetId="11" r:id="rId10"/>
    <sheet name="გლდანი" sheetId="12" r:id="rId11"/>
    <sheet name="ბათუმი" sheetId="13" r:id="rId12"/>
    <sheet name="რეჰოსპიტალიზაცია" sheetId="14" r:id="rId13"/>
    <sheet name="ჯამური" sheetId="15" r:id="rId14"/>
    <sheet name="Sheet2" sheetId="16" r:id="rId15"/>
  </sheets>
  <calcPr calcId="145621"/>
</workbook>
</file>

<file path=xl/calcChain.xml><?xml version="1.0" encoding="utf-8"?>
<calcChain xmlns="http://schemas.openxmlformats.org/spreadsheetml/2006/main">
  <c r="F22" i="15" l="1"/>
  <c r="E23" i="15" l="1"/>
  <c r="F36" i="15" l="1"/>
  <c r="F35" i="15"/>
  <c r="E35" i="15" l="1"/>
  <c r="D35" i="15"/>
  <c r="E17" i="15"/>
  <c r="D17" i="15"/>
  <c r="D25" i="15" s="1"/>
  <c r="D23" i="15"/>
  <c r="E36" i="15" s="1"/>
  <c r="D36" i="15" l="1"/>
  <c r="D30" i="15"/>
  <c r="D27" i="15"/>
  <c r="D26" i="15"/>
  <c r="D32" i="15"/>
  <c r="D31" i="15"/>
  <c r="N16" i="9"/>
  <c r="L10" i="9"/>
  <c r="L16" i="9" s="1"/>
  <c r="G16" i="9"/>
  <c r="F15" i="9"/>
  <c r="F14" i="9"/>
  <c r="F13" i="9"/>
  <c r="F12" i="9"/>
  <c r="F11" i="9"/>
  <c r="F10" i="9"/>
  <c r="F9" i="9"/>
  <c r="F16" i="9" s="1"/>
  <c r="E11" i="9"/>
  <c r="E10" i="9"/>
  <c r="E16" i="9" s="1"/>
  <c r="D15" i="9"/>
  <c r="D14" i="9"/>
  <c r="D13" i="9"/>
  <c r="D12" i="9"/>
  <c r="D11" i="9"/>
  <c r="D10" i="9"/>
  <c r="D9" i="9"/>
  <c r="D16" i="9" s="1"/>
  <c r="C15" i="9"/>
  <c r="C14" i="9"/>
  <c r="C13" i="9"/>
  <c r="C12" i="9"/>
  <c r="C11" i="9"/>
  <c r="C10" i="9"/>
  <c r="C9" i="9"/>
  <c r="C16" i="9" s="1"/>
  <c r="P10" i="13" l="1"/>
  <c r="Q16" i="9"/>
  <c r="W16" i="2"/>
  <c r="V16" i="2"/>
  <c r="U16" i="2"/>
  <c r="Q15" i="5"/>
  <c r="N15" i="5"/>
  <c r="M15" i="5"/>
  <c r="L15" i="5"/>
  <c r="K15" i="5"/>
  <c r="J15" i="5"/>
  <c r="H15" i="5"/>
  <c r="G15" i="5"/>
  <c r="F15" i="5"/>
  <c r="E15" i="5"/>
  <c r="D15" i="5"/>
  <c r="C15" i="5"/>
  <c r="Q15" i="11"/>
  <c r="N15" i="11"/>
  <c r="M15" i="11"/>
  <c r="K15" i="11"/>
  <c r="J15" i="11"/>
  <c r="H12" i="11"/>
  <c r="H15" i="11"/>
  <c r="G15" i="11"/>
  <c r="F15" i="11"/>
  <c r="E15" i="11"/>
  <c r="D15" i="11"/>
  <c r="C15" i="11"/>
  <c r="P16" i="13"/>
  <c r="Q14" i="12"/>
  <c r="Q13" i="12"/>
  <c r="Q12" i="12"/>
  <c r="Q11" i="12"/>
  <c r="Q10" i="12"/>
  <c r="Q9" i="12"/>
  <c r="N15" i="12"/>
  <c r="M15" i="12"/>
  <c r="L15" i="12"/>
  <c r="K15" i="12"/>
  <c r="J15" i="12"/>
  <c r="H15" i="12"/>
  <c r="G15" i="12"/>
  <c r="F15" i="12"/>
  <c r="E15" i="12"/>
  <c r="D15" i="12"/>
  <c r="C15" i="12"/>
  <c r="Q8" i="10"/>
  <c r="Q9" i="10"/>
  <c r="Q10" i="10"/>
  <c r="Q11" i="10"/>
  <c r="Q12" i="10"/>
  <c r="N15" i="10"/>
  <c r="M15" i="10"/>
  <c r="L15" i="10"/>
  <c r="K15" i="10"/>
  <c r="J15" i="10"/>
  <c r="G15" i="10"/>
  <c r="F15" i="10"/>
  <c r="E15" i="10"/>
  <c r="D15" i="10"/>
  <c r="C15" i="10"/>
  <c r="Q14" i="8"/>
  <c r="Q12" i="8"/>
  <c r="Q11" i="8"/>
  <c r="Q10" i="8"/>
  <c r="Q9" i="8"/>
  <c r="N15" i="8"/>
  <c r="M15" i="8"/>
  <c r="L15" i="8"/>
  <c r="K15" i="8"/>
  <c r="J15" i="8"/>
  <c r="H15" i="8"/>
  <c r="G15" i="8"/>
  <c r="F15" i="8"/>
  <c r="E15" i="8"/>
  <c r="D15" i="8"/>
  <c r="C15" i="8"/>
  <c r="Q15" i="7"/>
  <c r="N15" i="7"/>
  <c r="M15" i="7"/>
  <c r="L15" i="7"/>
  <c r="K15" i="7"/>
  <c r="J15" i="7"/>
  <c r="H15" i="7"/>
  <c r="F15" i="7"/>
  <c r="E15" i="7"/>
  <c r="D15" i="7"/>
  <c r="C15" i="7"/>
  <c r="Q15" i="6"/>
  <c r="H15" i="6"/>
  <c r="G15" i="6"/>
  <c r="F15" i="6"/>
  <c r="E15" i="6"/>
  <c r="D15" i="6"/>
  <c r="C15" i="6"/>
  <c r="Q15" i="4"/>
  <c r="H15" i="4"/>
  <c r="G15" i="4"/>
  <c r="F15" i="4"/>
  <c r="E15" i="4"/>
  <c r="D15" i="4"/>
  <c r="C15" i="4"/>
  <c r="Q15" i="3"/>
  <c r="H15" i="3"/>
  <c r="G15" i="3"/>
  <c r="F15" i="3"/>
  <c r="E15" i="3"/>
  <c r="D15" i="3"/>
  <c r="C15" i="3"/>
  <c r="M16" i="13" l="1"/>
  <c r="L16" i="13"/>
  <c r="K16" i="13"/>
  <c r="J16" i="13"/>
  <c r="I16" i="13"/>
  <c r="G16" i="13"/>
  <c r="F16" i="13"/>
  <c r="E16" i="13"/>
  <c r="D16" i="13"/>
  <c r="C16" i="13"/>
  <c r="Q15" i="12" l="1"/>
  <c r="Q15" i="8" l="1"/>
  <c r="L15" i="11" l="1"/>
  <c r="M8" i="9"/>
  <c r="M7" i="9"/>
  <c r="M6" i="9"/>
  <c r="M5" i="9"/>
  <c r="M4" i="9"/>
  <c r="K8" i="9"/>
  <c r="K7" i="9"/>
  <c r="K6" i="9"/>
  <c r="K5" i="9"/>
  <c r="K4" i="9"/>
  <c r="J8" i="9"/>
  <c r="J7" i="9"/>
  <c r="J6" i="9"/>
  <c r="J5" i="9"/>
  <c r="J4" i="9"/>
  <c r="F8" i="9"/>
  <c r="F7" i="9"/>
  <c r="F6" i="9"/>
  <c r="F5" i="9"/>
  <c r="F4" i="9"/>
  <c r="D8" i="9"/>
  <c r="D7" i="9"/>
  <c r="D6" i="9"/>
  <c r="D5" i="9"/>
  <c r="D4" i="9"/>
  <c r="C8" i="9"/>
  <c r="C7" i="9"/>
  <c r="C6" i="9"/>
  <c r="C5" i="9"/>
  <c r="C4" i="9"/>
  <c r="H15" i="10"/>
  <c r="H16" i="9" l="1"/>
  <c r="G15" i="7"/>
  <c r="N15" i="6"/>
  <c r="M15" i="6"/>
  <c r="L15" i="6"/>
  <c r="K15" i="6"/>
  <c r="J15" i="6"/>
  <c r="T10" i="2"/>
  <c r="P10" i="2" s="1"/>
  <c r="T8" i="2"/>
  <c r="P8" i="2" s="1"/>
  <c r="T15" i="2"/>
  <c r="P15" i="2" s="1"/>
  <c r="T14" i="2"/>
  <c r="P14" i="2" s="1"/>
  <c r="T13" i="2"/>
  <c r="P13" i="2" s="1"/>
  <c r="T12" i="2"/>
  <c r="P12" i="2" s="1"/>
  <c r="T11" i="2"/>
  <c r="P11" i="2" s="1"/>
  <c r="T9" i="2"/>
  <c r="P9" i="2" s="1"/>
  <c r="T7" i="2"/>
  <c r="P7" i="2" s="1"/>
  <c r="T6" i="2"/>
  <c r="P6" i="2" s="1"/>
  <c r="T5" i="2"/>
  <c r="P5" i="2" s="1"/>
  <c r="T4" i="2"/>
  <c r="P4" i="2" s="1"/>
  <c r="S16" i="2"/>
  <c r="R16" i="2"/>
  <c r="Q16" i="2"/>
  <c r="O16" i="2"/>
  <c r="M16" i="2"/>
  <c r="L16" i="2"/>
  <c r="K16" i="2"/>
  <c r="J16" i="2"/>
  <c r="I16" i="2"/>
  <c r="G16" i="2"/>
  <c r="F16" i="2"/>
  <c r="E16" i="2"/>
  <c r="T16" i="2" l="1"/>
  <c r="P16" i="2"/>
</calcChain>
</file>

<file path=xl/sharedStrings.xml><?xml version="1.0" encoding="utf-8"?>
<sst xmlns="http://schemas.openxmlformats.org/spreadsheetml/2006/main" count="1144" uniqueCount="318">
  <si>
    <t>იანვარი</t>
  </si>
  <si>
    <t>თებერვალი</t>
  </si>
  <si>
    <t>მარტი</t>
  </si>
  <si>
    <t xml:space="preserve">აპრილი 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</si>
  <si>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</si>
  <si>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</si>
  <si>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</si>
  <si>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</si>
  <si>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</si>
  <si>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</si>
  <si>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</si>
  <si>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</si>
  <si>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N</t>
  </si>
  <si>
    <t>2015 წლის თვეები</t>
  </si>
  <si>
    <t>ხელფასი</t>
  </si>
  <si>
    <t>არაპირდაპირი ხარჯი</t>
  </si>
  <si>
    <t>მედიკამენტი</t>
  </si>
  <si>
    <t xml:space="preserve">კვება </t>
  </si>
  <si>
    <t>საწოლ/დღე</t>
  </si>
  <si>
    <t>მწვავე პაციენტების შესახებ ინფორმაცია</t>
  </si>
  <si>
    <t>ქრონიკი პაციენტების შესახებ ინფორმაცია</t>
  </si>
  <si>
    <t>სულ. ჯამი</t>
  </si>
  <si>
    <t>გაერთიანებული მწვავე -ქრონიკის</t>
  </si>
  <si>
    <t>არ-იძუ პაციენტების შესახებ ინფორმაცია</t>
  </si>
  <si>
    <t>დაცვა</t>
  </si>
  <si>
    <t>გამოკვლევა</t>
  </si>
  <si>
    <t>2 8071.46</t>
  </si>
  <si>
    <t>შემთ-მწვავე</t>
  </si>
  <si>
    <t>შემ-ქრონიკი</t>
  </si>
  <si>
    <t>105</t>
  </si>
  <si>
    <t>93</t>
  </si>
  <si>
    <t>116</t>
  </si>
  <si>
    <t>94</t>
  </si>
  <si>
    <t>110</t>
  </si>
  <si>
    <t>108</t>
  </si>
  <si>
    <t>34</t>
  </si>
  <si>
    <t>36</t>
  </si>
  <si>
    <t>43</t>
  </si>
  <si>
    <t>46</t>
  </si>
  <si>
    <t>59</t>
  </si>
  <si>
    <t>65</t>
  </si>
  <si>
    <t>47</t>
  </si>
  <si>
    <t>49</t>
  </si>
  <si>
    <t>68</t>
  </si>
  <si>
    <t>67</t>
  </si>
  <si>
    <t>75</t>
  </si>
  <si>
    <t>69</t>
  </si>
  <si>
    <t>55</t>
  </si>
  <si>
    <t>83</t>
  </si>
  <si>
    <t>64</t>
  </si>
  <si>
    <t>74</t>
  </si>
  <si>
    <t>72</t>
  </si>
  <si>
    <t>27</t>
  </si>
  <si>
    <t>18</t>
  </si>
  <si>
    <t>24</t>
  </si>
  <si>
    <t>29</t>
  </si>
  <si>
    <t>25</t>
  </si>
  <si>
    <t>17</t>
  </si>
  <si>
    <t>45</t>
  </si>
  <si>
    <t>50</t>
  </si>
  <si>
    <t>30</t>
  </si>
  <si>
    <t>33</t>
  </si>
  <si>
    <t>38</t>
  </si>
  <si>
    <t>41</t>
  </si>
  <si>
    <t>11</t>
  </si>
  <si>
    <t>13</t>
  </si>
  <si>
    <t>20</t>
  </si>
  <si>
    <t>15</t>
  </si>
  <si>
    <t>7</t>
  </si>
  <si>
    <t>4</t>
  </si>
  <si>
    <t>14</t>
  </si>
  <si>
    <t>8</t>
  </si>
  <si>
    <t xml:space="preserve"> </t>
  </si>
  <si>
    <t>1</t>
  </si>
  <si>
    <t>5</t>
  </si>
  <si>
    <t>6</t>
  </si>
  <si>
    <t>შემ-არანებაყოფლობითი</t>
  </si>
  <si>
    <t>54</t>
  </si>
  <si>
    <t>62</t>
  </si>
  <si>
    <t>3</t>
  </si>
  <si>
    <t>მოთხოვნილი თანხა</t>
  </si>
  <si>
    <t>61</t>
  </si>
  <si>
    <t>60</t>
  </si>
  <si>
    <t>53</t>
  </si>
  <si>
    <t>56</t>
  </si>
  <si>
    <t>58</t>
  </si>
  <si>
    <t>76</t>
  </si>
  <si>
    <t>66</t>
  </si>
  <si>
    <t>40</t>
  </si>
  <si>
    <t>37</t>
  </si>
  <si>
    <t>2</t>
  </si>
  <si>
    <t>42</t>
  </si>
  <si>
    <t>48</t>
  </si>
  <si>
    <t>154</t>
  </si>
  <si>
    <t>127</t>
  </si>
  <si>
    <t>122</t>
  </si>
  <si>
    <t>10</t>
  </si>
  <si>
    <t>ხელფასი : 807 284.3/194074=4.16</t>
  </si>
  <si>
    <t>არაპირდაპირი ხარჯი : 831 867.6/194074= 4.29</t>
  </si>
  <si>
    <t>მედიკამენტი :137 808.6/194074=0.71</t>
  </si>
  <si>
    <t>კვება: 965 876.9/194074=4.98</t>
  </si>
  <si>
    <t>ხელფასი: 202 806/8515=23.82</t>
  </si>
  <si>
    <t>არაპირდაპირი ხარჯი: 120 967.2/8515=14.21</t>
  </si>
  <si>
    <t xml:space="preserve">მედიკამენტი: 19 829.55/8515=2.33 </t>
  </si>
  <si>
    <t>კვება: 56 938/8515=6.69</t>
  </si>
  <si>
    <t>გამოკვლევა: 24 660.38/8515=2.90</t>
  </si>
  <si>
    <t>ხელფასი: 320 370.6/8245=38.86</t>
  </si>
  <si>
    <t>არაპირდაპირი ხარჯი : 254 094.7/8245=30.82</t>
  </si>
  <si>
    <t>მედიკამენტი: 29 897.38/8245=3.36</t>
  </si>
  <si>
    <t>კვება: 74 205/8245=9.00</t>
  </si>
  <si>
    <t>გამოკვლევა: 14 948.9/8245=1.81</t>
  </si>
  <si>
    <t>ხელფასი: 239 549.8/10561=22.68</t>
  </si>
  <si>
    <t>არაპირდაპირი ხარჯი: 90 871.93/10561=8.60</t>
  </si>
  <si>
    <t>მედიკამენტი: 24 478.02/10561=2.32</t>
  </si>
  <si>
    <t>კვება: 31 779/10561=3.01</t>
  </si>
  <si>
    <t>გამოკვლევა: 7 290/10561=0.69</t>
  </si>
  <si>
    <t>ხელფასი: 71 402.81/5903=12.10</t>
  </si>
  <si>
    <t>არაპირდაპირი ხარჯი: 191 040.6/5903= 32.36</t>
  </si>
  <si>
    <t>მედიკამენტი: 29 786.27/5903=5.05</t>
  </si>
  <si>
    <t>კვება: 44 183.5/5903=7.48</t>
  </si>
  <si>
    <t>გამოკვლევა: 16 425.6/5903=2.78</t>
  </si>
  <si>
    <t>ხელფასი: 183 569.2/6259=29.33</t>
  </si>
  <si>
    <t>არაპირდაპირი ხარჯი: 124 263.8/6259=19.85</t>
  </si>
  <si>
    <t>მედიკამენტი: 21 680.32/6259=3.46</t>
  </si>
  <si>
    <t>კვება: 52 298.34/6259=8.36</t>
  </si>
  <si>
    <t>გამოკვლევა: 9 112.16/6259=1.46</t>
  </si>
  <si>
    <t>ხელფასი: 61 224.08/5163=11.86</t>
  </si>
  <si>
    <t>არაპირდაპირი ხარჯი: 19 879.55/5163=3.85</t>
  </si>
  <si>
    <t>მედიკამენტი: 23 193.99/5163=4.49</t>
  </si>
  <si>
    <t>კვება: 23 913/5163=4.63</t>
  </si>
  <si>
    <t>გამოკვლევა: 6 846.91/5163=1.33</t>
  </si>
  <si>
    <t>ხელფასი: 195 880.9/90500=2.16</t>
  </si>
  <si>
    <t>არაპირდაპირი ხარჯი: 329 736/90500=3.64</t>
  </si>
  <si>
    <t>მედიკამენტი: 38 694.79/90500=0.43</t>
  </si>
  <si>
    <t>კვება: 227 481.5/90500=2.51</t>
  </si>
  <si>
    <t>გამოკვლევა: 0</t>
  </si>
  <si>
    <t>ხელფასი: 478 783.8/29588=16.18</t>
  </si>
  <si>
    <t>არაპირდაპირი ხარჯი: 812 852.4/= 27.47</t>
  </si>
  <si>
    <t>მედიკამენტი: 46 957.56/= 1.59</t>
  </si>
  <si>
    <t>კვება: 201 178.6/= 6.80</t>
  </si>
  <si>
    <t>გამოკვლევა: 25 110.83/= 0.85</t>
  </si>
  <si>
    <t>ხელფასი: 500 996.4/74203= 6.75</t>
  </si>
  <si>
    <t>არაპირდაპირი ხარჯი: 564 777.8/=7.61</t>
  </si>
  <si>
    <t>მედიკამენტი: 61 870.2/= 0.83</t>
  </si>
  <si>
    <t>კვება: 362 160.9/= 4.88</t>
  </si>
  <si>
    <t>გამოკვლევა: 16 777/= 0.23</t>
  </si>
  <si>
    <t>ხელფასი: 381 405/53973=7.07 ლარი</t>
  </si>
  <si>
    <t>არაპირდაპირი ხარჯი: 452 650/53973=8.38 ლარი</t>
  </si>
  <si>
    <t>მედიკამენტის ხარჯი: 43 125/53973=0.80 ლარი</t>
  </si>
  <si>
    <t>კვება: 213 318/53973=3.96 ლარი</t>
  </si>
  <si>
    <t>3 990 455</t>
  </si>
  <si>
    <r>
      <t xml:space="preserve">სულ:   ხარჯი  ერთი ს/დ  - </t>
    </r>
    <r>
      <rPr>
        <b/>
        <sz val="11"/>
        <color theme="1"/>
        <rFont val="Calibri"/>
        <family val="2"/>
        <charset val="204"/>
        <scheme val="minor"/>
      </rPr>
      <t>84.11</t>
    </r>
  </si>
  <si>
    <r>
      <t xml:space="preserve">სულ:     ერთ ს/დ  ხარჯი -  </t>
    </r>
    <r>
      <rPr>
        <b/>
        <sz val="11"/>
        <color theme="1"/>
        <rFont val="Calibri"/>
        <family val="2"/>
        <charset val="204"/>
        <scheme val="minor"/>
      </rPr>
      <t>14.13</t>
    </r>
  </si>
  <si>
    <r>
      <t xml:space="preserve">სულ:  ერთ ს/დ ხარჯი  - </t>
    </r>
    <r>
      <rPr>
        <b/>
        <sz val="11"/>
        <color theme="1"/>
        <rFont val="Calibri"/>
        <family val="2"/>
        <charset val="204"/>
        <scheme val="minor"/>
      </rPr>
      <t>49.94</t>
    </r>
  </si>
  <si>
    <r>
      <t xml:space="preserve">სულ:    ერთი ს/დ  ხარჯი  - </t>
    </r>
    <r>
      <rPr>
        <b/>
        <sz val="11"/>
        <color theme="1"/>
        <rFont val="Calibri"/>
        <family val="2"/>
        <charset val="204"/>
        <scheme val="minor"/>
      </rPr>
      <t>37.30</t>
    </r>
  </si>
  <si>
    <r>
      <t xml:space="preserve">სულ:    ერთი ს/დ ხარჯი -  </t>
    </r>
    <r>
      <rPr>
        <b/>
        <sz val="11"/>
        <color theme="1"/>
        <rFont val="Calibri"/>
        <family val="2"/>
        <charset val="204"/>
        <scheme val="minor"/>
      </rPr>
      <t>59.77</t>
    </r>
  </si>
  <si>
    <r>
      <t xml:space="preserve">სულ:  ერთი ს/დ  ხარჯი - </t>
    </r>
    <r>
      <rPr>
        <b/>
        <sz val="11"/>
        <color theme="1"/>
        <rFont val="Calibri"/>
        <family val="2"/>
        <charset val="204"/>
        <scheme val="minor"/>
      </rPr>
      <t>62.46</t>
    </r>
  </si>
  <si>
    <r>
      <t xml:space="preserve">სულ:    ერთი ს/დ ხარჯი -  </t>
    </r>
    <r>
      <rPr>
        <b/>
        <sz val="11"/>
        <color theme="1"/>
        <rFont val="Calibri"/>
        <family val="2"/>
        <charset val="204"/>
        <scheme val="minor"/>
      </rPr>
      <t>26.16</t>
    </r>
  </si>
  <si>
    <r>
      <t xml:space="preserve">სულ:   ერთი ს/დ  ხარჯი -  </t>
    </r>
    <r>
      <rPr>
        <b/>
        <sz val="11"/>
        <color theme="1"/>
        <rFont val="Calibri"/>
        <family val="2"/>
        <charset val="204"/>
        <scheme val="minor"/>
      </rPr>
      <t>8.57</t>
    </r>
  </si>
  <si>
    <r>
      <t xml:space="preserve">სულ:   ერთი ს/დ ხარჯი  -  </t>
    </r>
    <r>
      <rPr>
        <b/>
        <sz val="11"/>
        <color theme="1"/>
        <rFont val="Calibri"/>
        <family val="2"/>
        <charset val="204"/>
        <scheme val="minor"/>
      </rPr>
      <t>52.89</t>
    </r>
  </si>
  <si>
    <r>
      <t xml:space="preserve">სულ:   ერთი ს/დ ხარჯი  -  </t>
    </r>
    <r>
      <rPr>
        <b/>
        <sz val="11"/>
        <color theme="1"/>
        <rFont val="Calibri"/>
        <family val="2"/>
        <charset val="204"/>
        <scheme val="minor"/>
      </rPr>
      <t>20.30</t>
    </r>
  </si>
  <si>
    <r>
      <t xml:space="preserve">სულ:  ერთი ს/დ  ხარჯი -  </t>
    </r>
    <r>
      <rPr>
        <b/>
        <sz val="11"/>
        <color theme="1"/>
        <rFont val="Calibri"/>
        <family val="2"/>
        <charset val="204"/>
        <scheme val="minor"/>
      </rPr>
      <t>20.21</t>
    </r>
    <r>
      <rPr>
        <sz val="11"/>
        <color theme="1"/>
        <rFont val="Calibri"/>
        <family val="2"/>
        <scheme val="minor"/>
      </rPr>
      <t xml:space="preserve"> ლარი</t>
    </r>
  </si>
  <si>
    <t>კომპონენტი</t>
  </si>
  <si>
    <t>სუბკომპონენტი</t>
  </si>
  <si>
    <t>ანგარიშგების პერიოდი - დასაწყისი</t>
  </si>
  <si>
    <t>ანგარიშგების პერიოდი - დასასრული</t>
  </si>
  <si>
    <t>პაციენტი</t>
  </si>
  <si>
    <t>პირადი ნომერი</t>
  </si>
  <si>
    <t>ხელოვნური კოდი</t>
  </si>
  <si>
    <t>ორგანიზაცია</t>
  </si>
  <si>
    <t>ფსიქიატრია</t>
  </si>
  <si>
    <t>სტაციონარი</t>
  </si>
  <si>
    <t>2015-01-01 12:00:00.000</t>
  </si>
  <si>
    <t>2015-01-31 12:00:00.000</t>
  </si>
  <si>
    <t>ელიაიძე ვალერიანე</t>
  </si>
  <si>
    <t>20001004121</t>
  </si>
  <si>
    <t>11010347</t>
  </si>
  <si>
    <t xml:space="preserve"> ფსიქიკური ჯანმრთელობის და ნარკომანიის პრევენციის ცენტრი</t>
  </si>
  <si>
    <t>11010357</t>
  </si>
  <si>
    <t>2015-02-01 12:00:00.000</t>
  </si>
  <si>
    <t>2015-02-28 12:00:00.000</t>
  </si>
  <si>
    <t xml:space="preserve"> ,,SUNSTONE MEDICAL"</t>
  </si>
  <si>
    <t>ელიზარაშვილი მერი</t>
  </si>
  <si>
    <t>13001035218</t>
  </si>
  <si>
    <t>11010349</t>
  </si>
  <si>
    <t xml:space="preserve"> აკადემიკოს ო. ღუდუშაურის სახელობის ეროვნული სამედიცინო ცენტრი</t>
  </si>
  <si>
    <t>კობოსნიძე ნინო</t>
  </si>
  <si>
    <t>01024055824</t>
  </si>
  <si>
    <t>11010354</t>
  </si>
  <si>
    <t>რეჰოსპიტალიზაცია ფსიქიკური ჯანმრთელობის ცენტრში  09.02.15 გრძელვადიანი კოდით</t>
  </si>
  <si>
    <t>2015-04-01 12:00:00.000</t>
  </si>
  <si>
    <t>2015-04-30 12:00:00.000</t>
  </si>
  <si>
    <t>მარტიკიანი არტურ</t>
  </si>
  <si>
    <t>01001010283</t>
  </si>
  <si>
    <t xml:space="preserve"> 5 კლინიკური საავადმყოფო</t>
  </si>
  <si>
    <t>2015-03-01 12:00:00.000</t>
  </si>
  <si>
    <t>2015-03-31 12:00:00.000</t>
  </si>
  <si>
    <t>11010350</t>
  </si>
  <si>
    <t>ლანდია ზურაბ</t>
  </si>
  <si>
    <t>01005008907</t>
  </si>
  <si>
    <t>11010359</t>
  </si>
  <si>
    <t>სალუქვაძე გიორგი</t>
  </si>
  <si>
    <t>01008057126</t>
  </si>
  <si>
    <t>ფსიქიკური ჯანმრთელობის და ნარკომანიის პრევენციის ცენტრი</t>
  </si>
  <si>
    <t>11010355</t>
  </si>
  <si>
    <t>ურუმაშვილი ავთანდილ</t>
  </si>
  <si>
    <t>01003008473</t>
  </si>
  <si>
    <t>5 კლინიკური საავადმყოფო</t>
  </si>
  <si>
    <t>11010353</t>
  </si>
  <si>
    <t>ჩიტაია ნათია</t>
  </si>
  <si>
    <t>01023009677</t>
  </si>
  <si>
    <t>2015-05-01 12:00:00.000</t>
  </si>
  <si>
    <t>2015-05-31 12:00:00.000</t>
  </si>
  <si>
    <t>2015-06-01 12:00:00.000</t>
  </si>
  <si>
    <t>2015-06-30 12:00:00.000</t>
  </si>
  <si>
    <t>ხუციშვილი ნანა</t>
  </si>
  <si>
    <t>41001006685</t>
  </si>
  <si>
    <t xml:space="preserve"> "თბილისის ფსიქიკური ჯანმრთელობის ცენტრი"</t>
  </si>
  <si>
    <t xml:space="preserve">  "თბილისის ფსიქიკური ჯანმრთელობის ცენტრი"</t>
  </si>
  <si>
    <t>თოლორაია პაპუნა</t>
  </si>
  <si>
    <t>19001068827</t>
  </si>
  <si>
    <t>შპს  აკად. ბ. ნანეიშვილის სახ. ფსიქიკური ჯანმრთელობის ეროვნული ცენტრი 16.04.15</t>
  </si>
  <si>
    <t xml:space="preserve">  აკად. ბ. ნანეიშვილის სახ. ფსიქიკური ჯანმრთელობის ეროვნული ცენტრი</t>
  </si>
  <si>
    <t>მუსაევი ანარ</t>
  </si>
  <si>
    <t>01003009030</t>
  </si>
  <si>
    <t>კობახიძე დავით</t>
  </si>
  <si>
    <t>01019047041</t>
  </si>
  <si>
    <t>გაბუნია დავით</t>
  </si>
  <si>
    <t>01009015808</t>
  </si>
  <si>
    <t>01.08.2015</t>
  </si>
  <si>
    <t>31.08.2015</t>
  </si>
  <si>
    <t xml:space="preserve">პაატა ჭელიძე </t>
  </si>
  <si>
    <t>01017041517</t>
  </si>
  <si>
    <t>01.09.2015</t>
  </si>
  <si>
    <t>30.09.2015</t>
  </si>
  <si>
    <t xml:space="preserve"> ,,ფსიქიკური ჯანმრთელობის და ნარკომანიის პრევენციის ცენტრი,,</t>
  </si>
  <si>
    <t>,,ფსიქიკური ჯანმრთელობის და ნარკომანიის პრევენციის ცენტრი,,</t>
  </si>
  <si>
    <t xml:space="preserve">თამარ ძიძიგური </t>
  </si>
  <si>
    <t>ქეთევან ზაზუნაშვილი</t>
  </si>
  <si>
    <t>01019033534</t>
  </si>
  <si>
    <t>" თბილისის ფსიქიკური ჯანმრთელობის ცენტრი"</t>
  </si>
  <si>
    <t>01019033535</t>
  </si>
  <si>
    <t>01019033536</t>
  </si>
  <si>
    <t xml:space="preserve"> " თბილისის ფსიქიკური ჯანმრთელობის ცენტრი"</t>
  </si>
  <si>
    <t>გიორგი წიკლაური</t>
  </si>
  <si>
    <t>01027065031</t>
  </si>
  <si>
    <t>01027065032</t>
  </si>
  <si>
    <t>01027065033</t>
  </si>
  <si>
    <t>გიორგი ახვლედიანი</t>
  </si>
  <si>
    <t>01002011858</t>
  </si>
  <si>
    <t xml:space="preserve">   N5 კლინიკური  რეჰოსპიტალიზაცია 06.09.15</t>
  </si>
  <si>
    <t>. აკად. ო. ღუდუშაურის სახელობის ეროვნული სამედიცინო ცენტრი</t>
  </si>
  <si>
    <t>ალექსანდრე ხარაზიშვილი</t>
  </si>
  <si>
    <t>24001044070</t>
  </si>
  <si>
    <t>01.10.2015</t>
  </si>
  <si>
    <t>30.10.2015</t>
  </si>
  <si>
    <t>თინათინ შალამბერიძე</t>
  </si>
  <si>
    <t xml:space="preserve"> "უნიმედი კახეთი" თბილისის რეფერალური ჰოსპიტალი</t>
  </si>
  <si>
    <t>ოფელია ავეტისიანი</t>
  </si>
  <si>
    <t>01011070170</t>
  </si>
  <si>
    <t>01.11.2015</t>
  </si>
  <si>
    <t>31.11.2015</t>
  </si>
  <si>
    <t>01011070171</t>
  </si>
  <si>
    <t>"უნიმედი კახეთი" თბილისის რეფერალური ჰოსპიტალი</t>
  </si>
  <si>
    <t xml:space="preserve">გოჩა სულაბერიძე </t>
  </si>
  <si>
    <t xml:space="preserve"> " აკად. ბ. ნანეიშვილის სახ. ფსიქიკური ჯანმრთელობის ეროვნული ცენტრი"</t>
  </si>
  <si>
    <t>01.12.2015</t>
  </si>
  <si>
    <t>31.12.2015</t>
  </si>
  <si>
    <t xml:space="preserve">ლევან ძამუკაშვილი </t>
  </si>
  <si>
    <t>01024040046</t>
  </si>
  <si>
    <t>ტატიანა გრიზანოვი</t>
  </si>
  <si>
    <t>01019071983</t>
  </si>
  <si>
    <t>N 5 კლინიკური საავადმყოფო, რეჰოსპიტალიზაცია ღუდუშაურიდან</t>
  </si>
  <si>
    <t>ღუდუშაური</t>
  </si>
  <si>
    <t>01.01.2016</t>
  </si>
  <si>
    <t>31.01.2016</t>
  </si>
  <si>
    <t>ზურაბ ბაბაევი</t>
  </si>
  <si>
    <t>დავით მენაბდე</t>
  </si>
  <si>
    <t xml:space="preserve"> აკად. ო. ღუდუშაურის სახელობის ეროვნული სამედიცინო ცენტრი</t>
  </si>
  <si>
    <t>ზურაბ ელიზბარაშვილი</t>
  </si>
  <si>
    <t>იმედა ვადაჭკორია</t>
  </si>
  <si>
    <t xml:space="preserve"> შპს "უნიმედი კახეთი" თბილისის რეფერალური ჰოსპიტალი რეჰოსპიტალიზაცია 05.02.16</t>
  </si>
  <si>
    <t>გამოკვლევა:0</t>
  </si>
  <si>
    <r>
      <t>სულ:   ერთი ს/დ ხარჯი :</t>
    </r>
    <r>
      <rPr>
        <b/>
        <sz val="11"/>
        <color theme="1"/>
        <rFont val="Calibri"/>
        <family val="2"/>
        <charset val="204"/>
        <scheme val="minor"/>
      </rPr>
      <t xml:space="preserve"> 14.71</t>
    </r>
  </si>
  <si>
    <t>ხელფასი: 87 509.55/34304=2.55</t>
  </si>
  <si>
    <t>არაპირდაპირი ხარჯი: 25 397.2/=7.39</t>
  </si>
  <si>
    <t>მედიკამენტი: 14 459.89=0.42</t>
  </si>
  <si>
    <t>კვება: 149 194.5=4.35</t>
  </si>
  <si>
    <t>მწვავე შემთხვევა</t>
  </si>
  <si>
    <t>ქრონიკი შემ-ვა</t>
  </si>
  <si>
    <t>558</t>
  </si>
  <si>
    <t>1261</t>
  </si>
  <si>
    <t>შპს "ფსიქიკური ჯანმრთელობის და ნარკომანიის პრევენციის ცენტრი"</t>
  </si>
  <si>
    <t>ქ. თბილისი შპს ,, # 5 კლინიკური საავადმყოფო''</t>
  </si>
  <si>
    <t>შპს "ბედიანის ფსიქიატრიული საავადმყოფო"</t>
  </si>
  <si>
    <t>შპს "ქუთაისის ფსიქიკური ჯანმრთელობის ცენტრი"</t>
  </si>
  <si>
    <t>შპს ,,რესპუბლიკური, კლინიკური, ფსიქონევროლოგიური საავადმყოფო"</t>
  </si>
  <si>
    <t>შპს "ქალაქ თბილისის ფსიქიკური ჯანმრთელობის ცენტრი"</t>
  </si>
  <si>
    <t>შპს. აკად. ო. ღუდუშაურის სახელობის ეროვნული სამედიცინო ცენტრი</t>
  </si>
  <si>
    <t>შპს „უნიმედი კახეთი” თბილისის რეფერალური ჰოსპიტალი</t>
  </si>
  <si>
    <t>შპს ''რუსთავის ფსიქიკური ჯანმრთელობის ცენტრი''</t>
  </si>
  <si>
    <t>შპს აკად. ბ. ნანეიშვილის სახ. ფსიქიკური ჯანმრთელობის ეროვნული ცენტრი</t>
  </si>
  <si>
    <t>შპს "სენაკის სარაიონთაშორისო ფსიქონევროლოგიური დისპანსერი"</t>
  </si>
  <si>
    <t>შპს "ალ. ქაჯაიას სახ. სურამის ფსიქიატრიული საავადმყოფო</t>
  </si>
  <si>
    <t>პირველი კვარტლის ხარჯი</t>
  </si>
  <si>
    <t>დარჩენილი ბიუჯეტი</t>
  </si>
  <si>
    <t>სულ საწოლდღეები 100%</t>
  </si>
  <si>
    <t>სულ საწოლდღეები 80%</t>
  </si>
  <si>
    <t>სულ საწოლდღეები 90%</t>
  </si>
  <si>
    <t>საწოლფონდი</t>
  </si>
  <si>
    <t>საწოლდღე ხარჯვით</t>
  </si>
  <si>
    <t>საწოლდღის ფასი 100%</t>
  </si>
  <si>
    <t>საწოლდღის ფასი 90%</t>
  </si>
  <si>
    <t>საწოლდღის ფასი 80%</t>
  </si>
  <si>
    <t>სულ ბიუჯეტი 2016</t>
  </si>
  <si>
    <t>საშუალო</t>
  </si>
  <si>
    <t>სულ ბიუჯეტი 9 თვე</t>
  </si>
  <si>
    <t>სხვაობა(დეფიციტი)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</si>
</sst>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L_a_r_i_-;\-* #,##0.00\ _L_a_r_i_-;_-* &quot;-&quot;??\ _L_a_r_i_-;_-@_-"/>
    <numFmt numFmtId="164" formatCode="#,##0.00;[Red]#,##0.00"/>
    <numFmt numFmtId="165" formatCode="_-* #,##0\ _L_a_r_i_-;\-* #,##0\ _L_a_r_i_-;_-* &quot;-&quot;??\ _L_a_r_i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Sylfaen"/>
      <family val="1"/>
    </font>
    <font>
      <sz val="10"/>
      <name val="Arial"/>
      <family val="2"/>
    </font>
    <font>
      <sz val="10"/>
      <name val="Sylfaen"/>
      <family val="1"/>
    </font>
    <font>
      <sz val="10"/>
      <name val="Sylfaen"/>
      <family val="1"/>
      <charset val="204"/>
    </font>
    <font>
      <sz val="10"/>
      <color indexed="63"/>
      <name val="Sylfaen"/>
      <family val="1"/>
    </font>
    <font>
      <sz val="10"/>
      <color indexed="8"/>
      <name val="Arial"/>
      <family val="2"/>
    </font>
    <font>
      <sz val="10"/>
      <color indexed="8"/>
      <name val="Sylfaen"/>
      <family val="1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11" fillId="0" borderId="0"/>
    <xf numFmtId="0" fontId="15" fillId="0" borderId="0"/>
    <xf numFmtId="43" fontId="5" fillId="0" borderId="0" applyFont="0" applyFill="0" applyBorder="0" applyAlignment="0" applyProtection="0"/>
  </cellStyleXfs>
  <cellXfs count="16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textRotation="90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textRotation="90" wrapText="1"/>
    </xf>
    <xf numFmtId="0" fontId="0" fillId="0" borderId="0" xfId="0" applyBorder="1" applyAlignment="1"/>
    <xf numFmtId="0" fontId="0" fillId="0" borderId="8" xfId="0" applyFill="1" applyBorder="1"/>
    <xf numFmtId="0" fontId="0" fillId="0" borderId="1" xfId="0" applyBorder="1" applyAlignment="1">
      <alignment horizontal="center"/>
    </xf>
    <xf numFmtId="49" fontId="0" fillId="0" borderId="0" xfId="0" applyNumberFormat="1"/>
    <xf numFmtId="0" fontId="0" fillId="0" borderId="0" xfId="0" applyNumberFormat="1"/>
    <xf numFmtId="0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2" fontId="0" fillId="0" borderId="0" xfId="0" applyNumberFormat="1"/>
    <xf numFmtId="0" fontId="0" fillId="2" borderId="1" xfId="0" applyFill="1" applyBorder="1"/>
    <xf numFmtId="0" fontId="3" fillId="0" borderId="0" xfId="0" applyFont="1"/>
    <xf numFmtId="0" fontId="3" fillId="0" borderId="1" xfId="0" applyFont="1" applyBorder="1"/>
    <xf numFmtId="0" fontId="3" fillId="0" borderId="1" xfId="0" applyNumberFormat="1" applyFont="1" applyBorder="1"/>
    <xf numFmtId="0" fontId="2" fillId="0" borderId="4" xfId="0" applyFont="1" applyBorder="1" applyAlignment="1">
      <alignment horizontal="center" textRotation="90" wrapText="1"/>
    </xf>
    <xf numFmtId="0" fontId="0" fillId="0" borderId="4" xfId="0" applyBorder="1"/>
    <xf numFmtId="0" fontId="3" fillId="0" borderId="4" xfId="0" applyFont="1" applyBorder="1"/>
    <xf numFmtId="0" fontId="0" fillId="0" borderId="6" xfId="0" applyBorder="1"/>
    <xf numFmtId="0" fontId="3" fillId="0" borderId="6" xfId="0" applyFont="1" applyBorder="1"/>
    <xf numFmtId="0" fontId="0" fillId="0" borderId="7" xfId="0" applyBorder="1"/>
    <xf numFmtId="0" fontId="0" fillId="0" borderId="7" xfId="0" applyFill="1" applyBorder="1"/>
    <xf numFmtId="0" fontId="2" fillId="0" borderId="6" xfId="0" applyFont="1" applyBorder="1" applyAlignment="1">
      <alignment horizontal="center" textRotation="90" wrapText="1"/>
    </xf>
    <xf numFmtId="0" fontId="2" fillId="0" borderId="13" xfId="0" applyFont="1" applyBorder="1" applyAlignment="1">
      <alignment horizontal="center" textRotation="90" wrapText="1"/>
    </xf>
    <xf numFmtId="0" fontId="0" fillId="0" borderId="13" xfId="0" applyBorder="1"/>
    <xf numFmtId="0" fontId="3" fillId="0" borderId="14" xfId="0" applyFont="1" applyBorder="1"/>
    <xf numFmtId="0" fontId="3" fillId="0" borderId="15" xfId="0" applyFont="1" applyBorder="1"/>
    <xf numFmtId="0" fontId="2" fillId="0" borderId="16" xfId="0" applyFont="1" applyBorder="1" applyAlignment="1">
      <alignment horizontal="center" wrapText="1"/>
    </xf>
    <xf numFmtId="0" fontId="0" fillId="0" borderId="17" xfId="0" applyBorder="1"/>
    <xf numFmtId="0" fontId="3" fillId="0" borderId="18" xfId="0" applyFont="1" applyBorder="1"/>
    <xf numFmtId="0" fontId="4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Border="1"/>
    <xf numFmtId="49" fontId="3" fillId="0" borderId="0" xfId="0" applyNumberFormat="1" applyFont="1" applyBorder="1"/>
    <xf numFmtId="0" fontId="3" fillId="0" borderId="0" xfId="0" applyNumberFormat="1" applyFont="1" applyBorder="1"/>
    <xf numFmtId="0" fontId="0" fillId="0" borderId="0" xfId="0" applyBorder="1"/>
    <xf numFmtId="2" fontId="0" fillId="0" borderId="0" xfId="0" applyNumberFormat="1" applyBorder="1"/>
    <xf numFmtId="2" fontId="3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6" fillId="0" borderId="1" xfId="1" applyNumberFormat="1" applyFont="1" applyFill="1" applyBorder="1" applyAlignment="1">
      <alignment horizontal="left" vertical="top" wrapText="1"/>
    </xf>
    <xf numFmtId="49" fontId="6" fillId="0" borderId="4" xfId="1" applyNumberFormat="1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49" fontId="8" fillId="2" borderId="3" xfId="0" applyNumberFormat="1" applyFont="1" applyFill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left" vertical="top" wrapText="1"/>
    </xf>
    <xf numFmtId="0" fontId="12" fillId="2" borderId="1" xfId="2" applyFont="1" applyFill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left" vertical="top" wrapText="1"/>
    </xf>
    <xf numFmtId="49" fontId="13" fillId="2" borderId="1" xfId="2" applyNumberFormat="1" applyFont="1" applyFill="1" applyBorder="1" applyAlignment="1">
      <alignment horizontal="left" vertical="top" wrapText="1"/>
    </xf>
    <xf numFmtId="0" fontId="13" fillId="2" borderId="1" xfId="2" applyFont="1" applyFill="1" applyBorder="1" applyAlignment="1">
      <alignment horizontal="left" vertical="top" wrapText="1"/>
    </xf>
    <xf numFmtId="49" fontId="12" fillId="2" borderId="1" xfId="2" applyNumberFormat="1" applyFont="1" applyFill="1" applyBorder="1" applyAlignment="1">
      <alignment horizontal="left" vertical="top" wrapText="1"/>
    </xf>
    <xf numFmtId="49" fontId="14" fillId="2" borderId="1" xfId="0" applyNumberFormat="1" applyFont="1" applyFill="1" applyBorder="1" applyAlignment="1" applyProtection="1">
      <alignment horizontal="left" vertical="top" wrapText="1"/>
    </xf>
    <xf numFmtId="0" fontId="14" fillId="2" borderId="1" xfId="0" applyNumberFormat="1" applyFont="1" applyFill="1" applyBorder="1" applyAlignment="1" applyProtection="1">
      <alignment horizontal="left" vertical="top" wrapText="1"/>
    </xf>
    <xf numFmtId="49" fontId="9" fillId="2" borderId="0" xfId="0" applyNumberFormat="1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49" fontId="9" fillId="2" borderId="6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49" fontId="12" fillId="2" borderId="1" xfId="0" applyNumberFormat="1" applyFont="1" applyFill="1" applyBorder="1" applyAlignment="1" applyProtection="1">
      <alignment horizontal="left" vertical="top" wrapText="1"/>
    </xf>
    <xf numFmtId="0" fontId="16" fillId="2" borderId="1" xfId="3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0" fillId="0" borderId="0" xfId="0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 textRotation="90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textRotation="90" wrapText="1"/>
    </xf>
    <xf numFmtId="0" fontId="0" fillId="3" borderId="1" xfId="0" applyFill="1" applyBorder="1"/>
    <xf numFmtId="0" fontId="3" fillId="3" borderId="1" xfId="0" applyFont="1" applyFill="1" applyBorder="1"/>
    <xf numFmtId="0" fontId="0" fillId="3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8" xfId="0" applyFill="1" applyBorder="1"/>
    <xf numFmtId="0" fontId="2" fillId="3" borderId="23" xfId="0" applyFont="1" applyFill="1" applyBorder="1" applyAlignment="1">
      <alignment horizontal="center" textRotation="90" wrapText="1"/>
    </xf>
    <xf numFmtId="0" fontId="0" fillId="3" borderId="13" xfId="0" applyFill="1" applyBorder="1"/>
    <xf numFmtId="0" fontId="0" fillId="3" borderId="24" xfId="0" applyFill="1" applyBorder="1"/>
    <xf numFmtId="0" fontId="3" fillId="3" borderId="13" xfId="0" applyFont="1" applyFill="1" applyBorder="1"/>
    <xf numFmtId="0" fontId="2" fillId="0" borderId="25" xfId="0" applyFont="1" applyBorder="1" applyAlignment="1">
      <alignment horizontal="center" wrapText="1"/>
    </xf>
    <xf numFmtId="0" fontId="0" fillId="0" borderId="22" xfId="0" applyBorder="1"/>
    <xf numFmtId="0" fontId="3" fillId="0" borderId="26" xfId="0" applyFont="1" applyBorder="1"/>
    <xf numFmtId="0" fontId="1" fillId="0" borderId="20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3" fillId="0" borderId="27" xfId="0" applyFont="1" applyBorder="1"/>
    <xf numFmtId="0" fontId="1" fillId="3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textRotation="90" wrapText="1"/>
    </xf>
    <xf numFmtId="0" fontId="3" fillId="3" borderId="3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0" fillId="0" borderId="1" xfId="0" applyBorder="1"/>
    <xf numFmtId="0" fontId="0" fillId="0" borderId="1" xfId="0" applyBorder="1"/>
    <xf numFmtId="0" fontId="0" fillId="0" borderId="0" xfId="0" applyAlignment="1">
      <alignment horizontal="center"/>
    </xf>
    <xf numFmtId="49" fontId="0" fillId="0" borderId="6" xfId="0" applyNumberFormat="1" applyBorder="1" applyAlignment="1">
      <alignment horizontal="right"/>
    </xf>
    <xf numFmtId="0" fontId="0" fillId="0" borderId="9" xfId="0" applyFill="1" applyBorder="1" applyAlignment="1">
      <alignment horizontal="right"/>
    </xf>
    <xf numFmtId="49" fontId="3" fillId="0" borderId="6" xfId="0" applyNumberFormat="1" applyFont="1" applyBorder="1" applyAlignment="1">
      <alignment horizontal="right"/>
    </xf>
    <xf numFmtId="0" fontId="0" fillId="0" borderId="1" xfId="0" applyNumberForma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49" fontId="0" fillId="3" borderId="1" xfId="0" applyNumberFormat="1" applyFill="1" applyBorder="1"/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43" fontId="0" fillId="0" borderId="0" xfId="0" applyNumberFormat="1"/>
    <xf numFmtId="43" fontId="0" fillId="0" borderId="0" xfId="4" applyFont="1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5" fontId="0" fillId="0" borderId="1" xfId="4" applyNumberFormat="1" applyFont="1" applyBorder="1" applyAlignment="1">
      <alignment horizontal="center" vertical="center"/>
    </xf>
    <xf numFmtId="43" fontId="0" fillId="0" borderId="0" xfId="4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</cellXfs>
  <cellStyles count="5">
    <cellStyle name="Comma" xfId="4" builtinId="3"/>
    <cellStyle name="Normal" xfId="0" builtinId="0"/>
    <cellStyle name="Normal 2 3" xfId="1"/>
    <cellStyle name="Normal_Sheet1" xfId="3"/>
    <cellStyle name="Normal_uwyisis forma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workbookViewId="0">
      <selection activeCell="V4" sqref="V4:V16"/>
    </sheetView>
  </sheetViews>
  <sheetFormatPr defaultRowHeight="15" x14ac:dyDescent="0.25"/>
  <cols>
    <col min="1" max="1" width="3.140625" customWidth="1"/>
    <col min="2" max="2" width="13.140625" customWidth="1"/>
    <col min="3" max="3" width="11.5703125" customWidth="1"/>
    <col min="4" max="4" width="9.140625" customWidth="1"/>
    <col min="5" max="5" width="7.5703125" customWidth="1"/>
    <col min="9" max="9" width="12" customWidth="1"/>
    <col min="15" max="15" width="12.140625" customWidth="1"/>
    <col min="24" max="24" width="10.140625" bestFit="1" customWidth="1"/>
    <col min="25" max="25" width="9.140625" style="42"/>
  </cols>
  <sheetData>
    <row r="2" spans="1:25" x14ac:dyDescent="0.25">
      <c r="A2" s="146" t="s">
        <v>12</v>
      </c>
      <c r="B2" s="148" t="s">
        <v>13</v>
      </c>
      <c r="C2" s="140" t="s">
        <v>19</v>
      </c>
      <c r="D2" s="140"/>
      <c r="E2" s="140"/>
      <c r="F2" s="140"/>
      <c r="G2" s="140"/>
      <c r="H2" s="47"/>
      <c r="I2" s="140" t="s">
        <v>20</v>
      </c>
      <c r="J2" s="140"/>
      <c r="K2" s="140"/>
      <c r="L2" s="140"/>
      <c r="M2" s="140"/>
      <c r="N2" s="47"/>
      <c r="O2" s="140" t="s">
        <v>23</v>
      </c>
      <c r="P2" s="140"/>
      <c r="Q2" s="140"/>
      <c r="R2" s="140"/>
      <c r="S2" s="140"/>
      <c r="T2" s="1"/>
      <c r="U2" s="1"/>
      <c r="V2" s="1"/>
      <c r="W2" s="1"/>
      <c r="X2" s="1"/>
    </row>
    <row r="3" spans="1:25" ht="108.75" customHeight="1" x14ac:dyDescent="0.25">
      <c r="A3" s="147"/>
      <c r="B3" s="149"/>
      <c r="C3" s="2" t="s">
        <v>14</v>
      </c>
      <c r="D3" s="3" t="s">
        <v>15</v>
      </c>
      <c r="E3" s="3" t="s">
        <v>16</v>
      </c>
      <c r="F3" s="2" t="s">
        <v>17</v>
      </c>
      <c r="G3" s="3" t="s">
        <v>18</v>
      </c>
      <c r="H3" s="93"/>
      <c r="I3" s="2" t="s">
        <v>14</v>
      </c>
      <c r="J3" s="3" t="s">
        <v>15</v>
      </c>
      <c r="K3" s="3" t="s">
        <v>16</v>
      </c>
      <c r="L3" s="2" t="s">
        <v>17</v>
      </c>
      <c r="M3" s="3" t="s">
        <v>18</v>
      </c>
      <c r="N3" s="93"/>
      <c r="O3" s="2" t="s">
        <v>14</v>
      </c>
      <c r="P3" s="3" t="s">
        <v>15</v>
      </c>
      <c r="Q3" s="3" t="s">
        <v>16</v>
      </c>
      <c r="R3" s="2" t="s">
        <v>17</v>
      </c>
      <c r="S3" s="3" t="s">
        <v>18</v>
      </c>
      <c r="T3" s="6" t="s">
        <v>24</v>
      </c>
      <c r="U3" s="3" t="s">
        <v>27</v>
      </c>
      <c r="V3" s="3" t="s">
        <v>28</v>
      </c>
      <c r="W3" s="3" t="s">
        <v>76</v>
      </c>
      <c r="X3" s="3" t="s">
        <v>80</v>
      </c>
      <c r="Y3" s="46"/>
    </row>
    <row r="4" spans="1:25" x14ac:dyDescent="0.25">
      <c r="A4" s="1">
        <v>1</v>
      </c>
      <c r="B4" s="1" t="s">
        <v>0</v>
      </c>
      <c r="C4" s="9">
        <v>13535.68</v>
      </c>
      <c r="D4" s="9">
        <v>14337.72</v>
      </c>
      <c r="E4" s="9">
        <v>932.44</v>
      </c>
      <c r="F4" s="9">
        <v>2683.28</v>
      </c>
      <c r="G4" s="9">
        <v>602</v>
      </c>
      <c r="H4" s="96"/>
      <c r="I4" s="9">
        <v>20034.3</v>
      </c>
      <c r="J4" s="9">
        <v>21220.81</v>
      </c>
      <c r="K4" s="9">
        <v>3151.37</v>
      </c>
      <c r="L4" s="9">
        <v>25696.94</v>
      </c>
      <c r="M4" s="9">
        <v>5765</v>
      </c>
      <c r="N4" s="96"/>
      <c r="O4" s="9">
        <v>33568.800000000003</v>
      </c>
      <c r="P4" s="9">
        <f>69300.18-T4</f>
        <v>14894.18</v>
      </c>
      <c r="Q4" s="9">
        <v>5926.34</v>
      </c>
      <c r="R4" s="9">
        <v>37589.370000000003</v>
      </c>
      <c r="S4" s="9">
        <v>8433</v>
      </c>
      <c r="T4" s="9">
        <f>272.03*200</f>
        <v>54405.999999999993</v>
      </c>
      <c r="U4" s="14">
        <v>31</v>
      </c>
      <c r="V4" s="14">
        <v>210</v>
      </c>
      <c r="W4" s="9">
        <v>282</v>
      </c>
      <c r="X4" s="97">
        <v>284897</v>
      </c>
    </row>
    <row r="5" spans="1:25" x14ac:dyDescent="0.25">
      <c r="A5" s="1">
        <v>2</v>
      </c>
      <c r="B5" s="1" t="s">
        <v>1</v>
      </c>
      <c r="C5" s="9">
        <v>13723.85</v>
      </c>
      <c r="D5" s="9">
        <v>13897.67</v>
      </c>
      <c r="E5" s="9">
        <v>544.61</v>
      </c>
      <c r="F5" s="9">
        <v>4444.1899999999996</v>
      </c>
      <c r="G5" s="9">
        <v>945</v>
      </c>
      <c r="H5" s="96"/>
      <c r="I5" s="9">
        <v>20324.57</v>
      </c>
      <c r="J5" s="9">
        <v>20581.099999999999</v>
      </c>
      <c r="K5" s="9">
        <v>3224.47</v>
      </c>
      <c r="L5" s="9">
        <v>25569.42</v>
      </c>
      <c r="M5" s="9">
        <v>5437</v>
      </c>
      <c r="N5" s="96"/>
      <c r="O5" s="9">
        <v>34048.379999999997</v>
      </c>
      <c r="P5" s="9">
        <f>68912.83-T5</f>
        <v>12820.830000000009</v>
      </c>
      <c r="Q5" s="9">
        <v>6052.22</v>
      </c>
      <c r="R5" s="9">
        <v>36931.5</v>
      </c>
      <c r="S5" s="9">
        <v>7853</v>
      </c>
      <c r="T5" s="9">
        <f>280.46*200</f>
        <v>56091.999999999993</v>
      </c>
      <c r="U5" s="14">
        <v>46</v>
      </c>
      <c r="V5" s="14">
        <v>227</v>
      </c>
      <c r="W5" s="9">
        <v>295</v>
      </c>
      <c r="X5" s="97">
        <v>306631</v>
      </c>
    </row>
    <row r="6" spans="1:25" x14ac:dyDescent="0.25">
      <c r="A6" s="1">
        <v>3</v>
      </c>
      <c r="B6" s="1" t="s">
        <v>2</v>
      </c>
      <c r="C6" s="9">
        <v>14752.8</v>
      </c>
      <c r="D6" s="9">
        <v>13374.33</v>
      </c>
      <c r="E6" s="9">
        <v>512.04</v>
      </c>
      <c r="F6" s="9">
        <v>5312.0990000000002</v>
      </c>
      <c r="G6" s="9">
        <v>1080</v>
      </c>
      <c r="H6" s="96"/>
      <c r="I6" s="9">
        <v>22129.91</v>
      </c>
      <c r="J6" s="9">
        <v>20060.810000000001</v>
      </c>
      <c r="K6" s="9">
        <v>3395.97</v>
      </c>
      <c r="L6" s="9">
        <v>32232.21</v>
      </c>
      <c r="M6" s="9">
        <v>6553</v>
      </c>
      <c r="N6" s="96"/>
      <c r="O6" s="9">
        <v>36881.89</v>
      </c>
      <c r="P6" s="9">
        <f>67125.98-T6</f>
        <v>11087.979999999996</v>
      </c>
      <c r="Q6" s="9">
        <v>7430.39</v>
      </c>
      <c r="R6" s="9">
        <v>42723.91</v>
      </c>
      <c r="S6" s="9">
        <v>8686</v>
      </c>
      <c r="T6" s="9">
        <f>280.19*200</f>
        <v>56038</v>
      </c>
      <c r="U6" s="14">
        <v>54</v>
      </c>
      <c r="V6" s="14">
        <v>249</v>
      </c>
      <c r="W6" s="9">
        <v>297</v>
      </c>
      <c r="X6" s="97">
        <v>321956</v>
      </c>
    </row>
    <row r="7" spans="1:25" x14ac:dyDescent="0.25">
      <c r="A7" s="1">
        <v>4</v>
      </c>
      <c r="B7" s="1" t="s">
        <v>3</v>
      </c>
      <c r="C7" s="9">
        <v>13876.19</v>
      </c>
      <c r="D7" s="9">
        <v>19944.84</v>
      </c>
      <c r="E7" s="9">
        <v>1472.16</v>
      </c>
      <c r="F7" s="9">
        <v>5586.98</v>
      </c>
      <c r="G7" s="9">
        <v>1106</v>
      </c>
      <c r="H7" s="96"/>
      <c r="I7" s="9">
        <v>20587.759999999998</v>
      </c>
      <c r="J7" s="9">
        <v>29592.41</v>
      </c>
      <c r="K7" s="9">
        <v>4030.04</v>
      </c>
      <c r="L7" s="9">
        <v>33563.06</v>
      </c>
      <c r="M7" s="9">
        <v>6644</v>
      </c>
      <c r="N7" s="96"/>
      <c r="O7" s="9">
        <v>34359.75</v>
      </c>
      <c r="P7" s="9">
        <f>84403.39-T7</f>
        <v>27783.389999999992</v>
      </c>
      <c r="Q7" s="9">
        <v>6724.82</v>
      </c>
      <c r="R7" s="9">
        <v>42903.68</v>
      </c>
      <c r="S7" s="9">
        <v>8493</v>
      </c>
      <c r="T7" s="9">
        <f>283.1*200</f>
        <v>56620.000000000007</v>
      </c>
      <c r="U7" s="14">
        <v>62</v>
      </c>
      <c r="V7" s="14">
        <v>272</v>
      </c>
      <c r="W7" s="9">
        <v>305</v>
      </c>
      <c r="X7" s="97">
        <v>334541</v>
      </c>
    </row>
    <row r="8" spans="1:25" x14ac:dyDescent="0.25">
      <c r="A8" s="1">
        <v>5</v>
      </c>
      <c r="B8" s="1" t="s">
        <v>4</v>
      </c>
      <c r="C8" s="9">
        <v>13689.73</v>
      </c>
      <c r="D8" s="9">
        <v>21030.33</v>
      </c>
      <c r="E8" s="9">
        <v>653.57000000000005</v>
      </c>
      <c r="F8" s="9">
        <v>4521.16</v>
      </c>
      <c r="G8" s="9">
        <v>911</v>
      </c>
      <c r="H8" s="96"/>
      <c r="I8" s="9">
        <v>20533.91</v>
      </c>
      <c r="J8" s="9">
        <v>31545.96</v>
      </c>
      <c r="K8" s="9">
        <v>3484.58</v>
      </c>
      <c r="L8" s="9">
        <v>35077.75</v>
      </c>
      <c r="M8" s="9">
        <v>7068</v>
      </c>
      <c r="N8" s="96"/>
      <c r="O8" s="9">
        <v>34223.379999999997</v>
      </c>
      <c r="P8" s="9">
        <f>87357.55-T8</f>
        <v>30461.550000000003</v>
      </c>
      <c r="Q8" s="9">
        <v>6611.39</v>
      </c>
      <c r="R8" s="9">
        <v>44075.56</v>
      </c>
      <c r="S8" s="9">
        <v>8881</v>
      </c>
      <c r="T8" s="9">
        <f>284.48*200</f>
        <v>56896</v>
      </c>
      <c r="U8" s="14">
        <v>52</v>
      </c>
      <c r="V8" s="14">
        <v>273</v>
      </c>
      <c r="W8" s="9">
        <v>297</v>
      </c>
      <c r="X8" s="97">
        <v>332494</v>
      </c>
    </row>
    <row r="9" spans="1:25" x14ac:dyDescent="0.25">
      <c r="A9" s="1">
        <v>6</v>
      </c>
      <c r="B9" s="1" t="s">
        <v>5</v>
      </c>
      <c r="C9" s="9">
        <v>13053.84</v>
      </c>
      <c r="D9" s="9">
        <v>27775.54</v>
      </c>
      <c r="E9" s="9">
        <v>710.88</v>
      </c>
      <c r="F9" s="9">
        <v>3861.69</v>
      </c>
      <c r="G9" s="9">
        <v>770</v>
      </c>
      <c r="H9" s="96"/>
      <c r="I9" s="9">
        <v>19581.060000000001</v>
      </c>
      <c r="J9" s="9">
        <v>41663.480000000003</v>
      </c>
      <c r="K9" s="9">
        <v>3487.16</v>
      </c>
      <c r="L9" s="9">
        <v>35136.46</v>
      </c>
      <c r="M9" s="9">
        <v>6658</v>
      </c>
      <c r="N9" s="96"/>
      <c r="O9" s="9">
        <v>32635.17</v>
      </c>
      <c r="P9" s="9">
        <f>102487.43-T9</f>
        <v>42875.429999999993</v>
      </c>
      <c r="Q9" s="9">
        <v>7098.1</v>
      </c>
      <c r="R9" s="9">
        <v>44844.22</v>
      </c>
      <c r="S9" s="9">
        <v>8942</v>
      </c>
      <c r="T9" s="9">
        <f>298.06*200</f>
        <v>59612</v>
      </c>
      <c r="U9" s="14">
        <v>57</v>
      </c>
      <c r="V9" s="14">
        <v>280</v>
      </c>
      <c r="W9" s="9">
        <v>314</v>
      </c>
      <c r="X9" s="97">
        <v>340827</v>
      </c>
    </row>
    <row r="10" spans="1:25" x14ac:dyDescent="0.25">
      <c r="A10" s="1">
        <v>7</v>
      </c>
      <c r="B10" s="1" t="s">
        <v>6</v>
      </c>
      <c r="C10" s="9">
        <v>13050</v>
      </c>
      <c r="D10" s="9">
        <v>24188.6</v>
      </c>
      <c r="E10" s="9">
        <v>1381.08</v>
      </c>
      <c r="F10" s="9">
        <v>4965.2299999999996</v>
      </c>
      <c r="G10" s="9">
        <v>1012</v>
      </c>
      <c r="H10" s="96"/>
      <c r="I10" s="9">
        <v>11106.37</v>
      </c>
      <c r="J10" s="9">
        <v>20585.37</v>
      </c>
      <c r="K10" s="9">
        <v>2973.38</v>
      </c>
      <c r="L10" s="9">
        <v>20462.669999999998</v>
      </c>
      <c r="M10" s="9">
        <v>4043</v>
      </c>
      <c r="N10" s="96"/>
      <c r="O10" s="9">
        <v>41095.25</v>
      </c>
      <c r="P10" s="9">
        <f>110685.03-T10</f>
        <v>52235.03</v>
      </c>
      <c r="Q10" s="9">
        <v>9082.14</v>
      </c>
      <c r="R10" s="9">
        <v>61833.69</v>
      </c>
      <c r="S10" s="9">
        <v>9150</v>
      </c>
      <c r="T10" s="9">
        <f>292.25*200</f>
        <v>58450</v>
      </c>
      <c r="U10" s="9">
        <v>75</v>
      </c>
      <c r="V10" s="9">
        <v>290</v>
      </c>
      <c r="W10" s="9">
        <v>312</v>
      </c>
      <c r="X10" s="97">
        <v>359272</v>
      </c>
    </row>
    <row r="11" spans="1:25" x14ac:dyDescent="0.25">
      <c r="A11" s="1">
        <v>8</v>
      </c>
      <c r="B11" s="1" t="s">
        <v>7</v>
      </c>
      <c r="C11" s="9">
        <v>12309.35</v>
      </c>
      <c r="D11" s="9">
        <v>22658.86</v>
      </c>
      <c r="E11" s="9">
        <v>568.92999999999995</v>
      </c>
      <c r="F11" s="9">
        <v>4319.1099999999997</v>
      </c>
      <c r="G11" s="9">
        <v>855</v>
      </c>
      <c r="H11" s="96"/>
      <c r="I11" s="9">
        <v>18464.53</v>
      </c>
      <c r="J11" s="9">
        <v>33988.47</v>
      </c>
      <c r="K11" s="9">
        <v>3748.97</v>
      </c>
      <c r="L11" s="9">
        <v>36063.4</v>
      </c>
      <c r="M11" s="9">
        <v>7139</v>
      </c>
      <c r="N11" s="96"/>
      <c r="O11" s="9">
        <v>30772.95</v>
      </c>
      <c r="P11" s="9">
        <f>91356.66-T11</f>
        <v>32144.660000000003</v>
      </c>
      <c r="Q11" s="9">
        <v>7303.41</v>
      </c>
      <c r="R11" s="9">
        <v>46363.73</v>
      </c>
      <c r="S11" s="9">
        <v>9178</v>
      </c>
      <c r="T11" s="9">
        <f>296.06*200</f>
        <v>59212</v>
      </c>
      <c r="U11" s="9">
        <v>57</v>
      </c>
      <c r="V11" s="9">
        <v>287</v>
      </c>
      <c r="W11" s="9">
        <v>317</v>
      </c>
      <c r="X11" s="97">
        <v>343340</v>
      </c>
    </row>
    <row r="12" spans="1:25" x14ac:dyDescent="0.25">
      <c r="A12" s="1">
        <v>9</v>
      </c>
      <c r="B12" s="1" t="s">
        <v>8</v>
      </c>
      <c r="C12" s="9">
        <v>13270.71</v>
      </c>
      <c r="D12" s="9">
        <v>14385.23</v>
      </c>
      <c r="E12" s="9">
        <v>584.15</v>
      </c>
      <c r="F12" s="9">
        <v>4613.2299999999996</v>
      </c>
      <c r="G12" s="9">
        <v>914</v>
      </c>
      <c r="H12" s="96"/>
      <c r="I12" s="9">
        <v>19906.32</v>
      </c>
      <c r="J12" s="9">
        <v>21578.48</v>
      </c>
      <c r="K12" s="9">
        <v>4000.57</v>
      </c>
      <c r="L12" s="9">
        <v>35361.51</v>
      </c>
      <c r="M12" s="9">
        <v>7006</v>
      </c>
      <c r="N12" s="96"/>
      <c r="O12" s="9">
        <v>33175.75</v>
      </c>
      <c r="P12" s="9">
        <f>69742.34-T12</f>
        <v>8590.3399999999965</v>
      </c>
      <c r="Q12" s="9">
        <v>7907.97</v>
      </c>
      <c r="R12" s="9">
        <v>46299.16</v>
      </c>
      <c r="S12" s="9">
        <v>9173</v>
      </c>
      <c r="T12" s="9">
        <f>305.76*200</f>
        <v>61152</v>
      </c>
      <c r="U12" s="9">
        <v>57</v>
      </c>
      <c r="V12" s="9">
        <v>283</v>
      </c>
      <c r="W12" s="9">
        <v>325</v>
      </c>
      <c r="X12" s="97">
        <v>351718</v>
      </c>
    </row>
    <row r="13" spans="1:25" x14ac:dyDescent="0.25">
      <c r="A13" s="1">
        <v>10</v>
      </c>
      <c r="B13" s="1" t="s">
        <v>9</v>
      </c>
      <c r="C13" s="9">
        <v>13313.65</v>
      </c>
      <c r="D13" s="9">
        <v>15085.04</v>
      </c>
      <c r="E13" s="9">
        <v>455.19</v>
      </c>
      <c r="F13" s="9">
        <v>3989.46</v>
      </c>
      <c r="G13" s="9">
        <v>817</v>
      </c>
      <c r="H13" s="96"/>
      <c r="I13" s="9">
        <v>19969.95</v>
      </c>
      <c r="J13" s="9">
        <v>22628.16</v>
      </c>
      <c r="K13" s="9">
        <v>3366.73</v>
      </c>
      <c r="L13" s="9">
        <v>34104.449999999997</v>
      </c>
      <c r="M13" s="9">
        <v>6984</v>
      </c>
      <c r="N13" s="96"/>
      <c r="O13" s="9">
        <v>32283.19</v>
      </c>
      <c r="P13" s="9">
        <f>71685.5-T13</f>
        <v>9821.5</v>
      </c>
      <c r="Q13" s="9">
        <v>8732.82</v>
      </c>
      <c r="R13" s="9">
        <v>46825.24</v>
      </c>
      <c r="S13" s="9">
        <v>9589</v>
      </c>
      <c r="T13" s="9">
        <f>309.32*200</f>
        <v>61864</v>
      </c>
      <c r="U13" s="9">
        <v>50</v>
      </c>
      <c r="V13" s="9">
        <v>282</v>
      </c>
      <c r="W13" s="9">
        <v>329</v>
      </c>
      <c r="X13" s="97">
        <v>344440</v>
      </c>
    </row>
    <row r="14" spans="1:25" x14ac:dyDescent="0.25">
      <c r="A14" s="1">
        <v>11</v>
      </c>
      <c r="B14" s="1" t="s">
        <v>10</v>
      </c>
      <c r="C14" s="9">
        <v>13389.25</v>
      </c>
      <c r="D14" s="9">
        <v>16643.46</v>
      </c>
      <c r="E14" s="9">
        <v>509.63</v>
      </c>
      <c r="F14" s="9">
        <v>3620.5</v>
      </c>
      <c r="G14" s="9">
        <v>728</v>
      </c>
      <c r="H14" s="96"/>
      <c r="I14" s="9">
        <v>20080.72</v>
      </c>
      <c r="J14" s="9">
        <v>24961.97</v>
      </c>
      <c r="K14" s="9">
        <v>3091.99</v>
      </c>
      <c r="L14" s="9">
        <v>31394.9</v>
      </c>
      <c r="M14" s="9">
        <v>6573</v>
      </c>
      <c r="N14" s="96"/>
      <c r="O14" s="9">
        <v>33473.43</v>
      </c>
      <c r="P14" s="9">
        <f>74791.74-T14</f>
        <v>13191.740000000005</v>
      </c>
      <c r="Q14" s="9">
        <v>8108.97</v>
      </c>
      <c r="R14" s="9">
        <v>44133.36</v>
      </c>
      <c r="S14" s="9">
        <v>9240</v>
      </c>
      <c r="T14" s="9">
        <f>308*200</f>
        <v>61600</v>
      </c>
      <c r="U14" s="9">
        <v>48</v>
      </c>
      <c r="V14" s="9">
        <v>260</v>
      </c>
      <c r="W14" s="9">
        <v>320</v>
      </c>
      <c r="X14" s="97">
        <v>337771</v>
      </c>
    </row>
    <row r="15" spans="1:25" x14ac:dyDescent="0.25">
      <c r="A15" s="1">
        <v>12</v>
      </c>
      <c r="B15" s="1" t="s">
        <v>11</v>
      </c>
      <c r="C15" s="9">
        <v>14016.03</v>
      </c>
      <c r="D15" s="9">
        <v>22166.75</v>
      </c>
      <c r="E15" s="9">
        <v>418.25</v>
      </c>
      <c r="F15" s="9">
        <v>2885.07</v>
      </c>
      <c r="G15" s="9">
        <v>617</v>
      </c>
      <c r="H15" s="96"/>
      <c r="I15" s="9">
        <v>21024.61</v>
      </c>
      <c r="J15" s="9">
        <v>33250.019999999997</v>
      </c>
      <c r="K15" s="9">
        <v>3316.5</v>
      </c>
      <c r="L15" s="9">
        <v>31287.87</v>
      </c>
      <c r="M15" s="9">
        <v>6691</v>
      </c>
      <c r="N15" s="96"/>
      <c r="O15" s="9">
        <v>35041.31</v>
      </c>
      <c r="P15" s="9">
        <f>90349.52-T15</f>
        <v>28815.520000000004</v>
      </c>
      <c r="Q15" s="9">
        <v>6815.36</v>
      </c>
      <c r="R15" s="9">
        <v>44600.86</v>
      </c>
      <c r="S15" s="9">
        <v>9538</v>
      </c>
      <c r="T15" s="9">
        <f>307.67*200</f>
        <v>61534</v>
      </c>
      <c r="U15" s="9">
        <v>44</v>
      </c>
      <c r="V15" s="9">
        <v>258</v>
      </c>
      <c r="W15" s="9">
        <v>322</v>
      </c>
      <c r="X15" s="97">
        <v>332568</v>
      </c>
    </row>
    <row r="16" spans="1:25" s="17" customFormat="1" x14ac:dyDescent="0.25">
      <c r="A16" s="150" t="s">
        <v>21</v>
      </c>
      <c r="B16" s="150"/>
      <c r="C16" s="49">
        <v>161981.07999999999</v>
      </c>
      <c r="D16" s="49">
        <v>225488.37</v>
      </c>
      <c r="E16" s="49">
        <f t="shared" ref="E16:M16" si="0">SUM(E4:E15)</f>
        <v>8742.9299999999985</v>
      </c>
      <c r="F16" s="49">
        <f t="shared" si="0"/>
        <v>50801.998999999996</v>
      </c>
      <c r="G16" s="49">
        <f t="shared" si="0"/>
        <v>10357</v>
      </c>
      <c r="H16" s="98"/>
      <c r="I16" s="49">
        <f t="shared" si="0"/>
        <v>233744.01</v>
      </c>
      <c r="J16" s="49">
        <f t="shared" si="0"/>
        <v>321657.04000000004</v>
      </c>
      <c r="K16" s="49">
        <f t="shared" si="0"/>
        <v>41271.730000000003</v>
      </c>
      <c r="L16" s="49">
        <f t="shared" si="0"/>
        <v>375950.64</v>
      </c>
      <c r="M16" s="49">
        <f t="shared" si="0"/>
        <v>76561</v>
      </c>
      <c r="N16" s="98"/>
      <c r="O16" s="49">
        <f t="shared" ref="O16:S16" si="1">SUM(O4:O15)</f>
        <v>411559.25</v>
      </c>
      <c r="P16" s="49">
        <f t="shared" si="1"/>
        <v>284722.15000000002</v>
      </c>
      <c r="Q16" s="49">
        <f t="shared" si="1"/>
        <v>87793.930000000008</v>
      </c>
      <c r="R16" s="49">
        <f t="shared" si="1"/>
        <v>539124.27999999991</v>
      </c>
      <c r="S16" s="49">
        <f t="shared" si="1"/>
        <v>107156</v>
      </c>
      <c r="T16" s="49">
        <f>SUM(T4:T15)</f>
        <v>703476</v>
      </c>
      <c r="U16" s="49">
        <f>SUM(U4:U15)</f>
        <v>633</v>
      </c>
      <c r="V16" s="49">
        <f>SUM(V4:V15)</f>
        <v>3171</v>
      </c>
      <c r="W16" s="49">
        <f>SUM(W4:W15)</f>
        <v>3715</v>
      </c>
      <c r="X16" s="49" t="s">
        <v>150</v>
      </c>
      <c r="Y16" s="39"/>
    </row>
    <row r="17" spans="1:25" s="17" customFormat="1" x14ac:dyDescent="0.25">
      <c r="A17" s="36"/>
      <c r="B17" s="37"/>
      <c r="C17" s="38"/>
      <c r="D17" s="38"/>
      <c r="E17" s="24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5" x14ac:dyDescent="0.25">
      <c r="A18" s="142" t="s">
        <v>22</v>
      </c>
      <c r="B18" s="143"/>
      <c r="C18" s="143"/>
      <c r="D18" s="143"/>
      <c r="E18" s="144"/>
      <c r="W18" s="15"/>
    </row>
    <row r="19" spans="1:25" ht="24.75" customHeight="1" x14ac:dyDescent="0.25">
      <c r="A19" s="145" t="s">
        <v>97</v>
      </c>
      <c r="B19" s="145"/>
      <c r="C19" s="145"/>
      <c r="D19" s="145"/>
      <c r="E19" s="145"/>
      <c r="F19" s="42"/>
      <c r="G19" s="42"/>
      <c r="H19" s="42"/>
      <c r="I19" s="43"/>
      <c r="J19" s="7"/>
      <c r="K19" s="4"/>
      <c r="L19" s="4"/>
      <c r="M19" s="4"/>
      <c r="N19" s="4"/>
    </row>
    <row r="20" spans="1:25" x14ac:dyDescent="0.25">
      <c r="A20" s="145" t="s">
        <v>98</v>
      </c>
      <c r="B20" s="145"/>
      <c r="C20" s="145"/>
      <c r="D20" s="145"/>
      <c r="E20" s="145"/>
      <c r="F20" s="42"/>
      <c r="G20" s="42"/>
      <c r="H20" s="42"/>
      <c r="I20" s="43"/>
      <c r="J20" s="7"/>
      <c r="K20" s="4"/>
      <c r="L20" s="4"/>
      <c r="M20" s="4"/>
      <c r="N20" s="4"/>
    </row>
    <row r="21" spans="1:25" x14ac:dyDescent="0.25">
      <c r="A21" s="145" t="s">
        <v>99</v>
      </c>
      <c r="B21" s="145"/>
      <c r="C21" s="145"/>
      <c r="D21" s="145"/>
      <c r="E21" s="145"/>
      <c r="F21" s="42"/>
      <c r="G21" s="42"/>
      <c r="H21" s="42"/>
      <c r="I21" s="43"/>
      <c r="J21" s="7"/>
      <c r="K21" s="4"/>
      <c r="L21" s="4"/>
      <c r="M21" s="4"/>
      <c r="N21" s="4"/>
    </row>
    <row r="22" spans="1:25" x14ac:dyDescent="0.25">
      <c r="A22" s="145" t="s">
        <v>100</v>
      </c>
      <c r="B22" s="145"/>
      <c r="C22" s="145"/>
      <c r="D22" s="145"/>
      <c r="E22" s="145"/>
      <c r="F22" s="42"/>
      <c r="G22" s="42"/>
      <c r="H22" s="42"/>
      <c r="I22" s="43"/>
      <c r="J22" s="7"/>
      <c r="K22" s="4"/>
      <c r="L22" s="4"/>
      <c r="M22" s="4"/>
      <c r="N22" s="4"/>
    </row>
    <row r="23" spans="1:25" ht="27" customHeight="1" x14ac:dyDescent="0.25">
      <c r="A23" s="141" t="s">
        <v>152</v>
      </c>
      <c r="B23" s="141"/>
      <c r="C23" s="141"/>
      <c r="D23" s="141"/>
      <c r="E23" s="141"/>
      <c r="F23" s="42"/>
      <c r="G23" s="42"/>
      <c r="H23" s="42"/>
      <c r="I23" s="44"/>
      <c r="J23" s="5"/>
      <c r="K23" s="5"/>
      <c r="L23" s="5"/>
      <c r="M23" s="5"/>
      <c r="N23" s="5"/>
    </row>
    <row r="24" spans="1:25" x14ac:dyDescent="0.25">
      <c r="I24" s="4"/>
    </row>
    <row r="27" spans="1:25" x14ac:dyDescent="0.25">
      <c r="X27" s="17"/>
    </row>
  </sheetData>
  <mergeCells count="12">
    <mergeCell ref="O2:S2"/>
    <mergeCell ref="A23:E23"/>
    <mergeCell ref="A18:E18"/>
    <mergeCell ref="A20:E20"/>
    <mergeCell ref="A21:E21"/>
    <mergeCell ref="A22:E22"/>
    <mergeCell ref="A19:E19"/>
    <mergeCell ref="A2:A3"/>
    <mergeCell ref="B2:B3"/>
    <mergeCell ref="C2:G2"/>
    <mergeCell ref="I2:M2"/>
    <mergeCell ref="A16:B16"/>
  </mergeCells>
  <pageMargins left="0" right="0" top="0.5" bottom="0.75" header="0.3" footer="0.3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selection activeCell="A23" sqref="A23:E23"/>
    </sheetView>
  </sheetViews>
  <sheetFormatPr defaultRowHeight="15" x14ac:dyDescent="0.25"/>
  <cols>
    <col min="1" max="1" width="7.140625" customWidth="1"/>
    <col min="2" max="2" width="14.7109375" customWidth="1"/>
    <col min="10" max="10" width="14.140625" customWidth="1"/>
  </cols>
  <sheetData>
    <row r="1" spans="1:17" ht="15.75" thickBot="1" x14ac:dyDescent="0.3">
      <c r="A1" s="146" t="s">
        <v>12</v>
      </c>
      <c r="B1" s="148" t="s">
        <v>13</v>
      </c>
      <c r="C1" s="154" t="s">
        <v>19</v>
      </c>
      <c r="D1" s="155"/>
      <c r="E1" s="155"/>
      <c r="F1" s="155"/>
      <c r="G1" s="155"/>
      <c r="H1" s="156"/>
      <c r="I1" s="76"/>
      <c r="J1" s="146" t="s">
        <v>20</v>
      </c>
      <c r="K1" s="140"/>
      <c r="L1" s="140"/>
      <c r="M1" s="140"/>
      <c r="N1" s="140"/>
      <c r="O1" s="10"/>
      <c r="P1" s="11"/>
    </row>
    <row r="2" spans="1:17" ht="81.75" x14ac:dyDescent="0.25">
      <c r="A2" s="147"/>
      <c r="B2" s="149"/>
      <c r="C2" s="2" t="s">
        <v>14</v>
      </c>
      <c r="D2" s="3" t="s">
        <v>15</v>
      </c>
      <c r="E2" s="3" t="s">
        <v>16</v>
      </c>
      <c r="F2" s="2" t="s">
        <v>17</v>
      </c>
      <c r="G2" s="3" t="s">
        <v>18</v>
      </c>
      <c r="H2" s="20" t="s">
        <v>25</v>
      </c>
      <c r="I2" s="93"/>
      <c r="J2" s="104" t="s">
        <v>14</v>
      </c>
      <c r="K2" s="27" t="s">
        <v>15</v>
      </c>
      <c r="L2" s="3" t="s">
        <v>16</v>
      </c>
      <c r="M2" s="2" t="s">
        <v>17</v>
      </c>
      <c r="N2" s="3" t="s">
        <v>18</v>
      </c>
      <c r="O2" s="3" t="s">
        <v>27</v>
      </c>
      <c r="P2" s="3" t="s">
        <v>28</v>
      </c>
      <c r="Q2" s="6" t="s">
        <v>80</v>
      </c>
    </row>
    <row r="3" spans="1:17" x14ac:dyDescent="0.25">
      <c r="A3" s="1">
        <v>1</v>
      </c>
      <c r="B3" s="1" t="s">
        <v>0</v>
      </c>
      <c r="C3" s="1">
        <v>30261.35</v>
      </c>
      <c r="D3" s="1">
        <v>56789.5</v>
      </c>
      <c r="E3" s="1">
        <v>1828.6</v>
      </c>
      <c r="F3" s="1">
        <v>9389.59</v>
      </c>
      <c r="G3" s="1">
        <v>1027</v>
      </c>
      <c r="H3" s="21">
        <v>1837.72</v>
      </c>
      <c r="I3" s="94"/>
      <c r="J3" s="105">
        <v>11202.21</v>
      </c>
      <c r="K3" s="23">
        <v>18157.75</v>
      </c>
      <c r="L3" s="1">
        <v>1602.95</v>
      </c>
      <c r="M3" s="1">
        <v>10574.22</v>
      </c>
      <c r="N3" s="1">
        <v>1339</v>
      </c>
      <c r="O3" s="122" t="s">
        <v>29</v>
      </c>
      <c r="P3" s="12">
        <v>78</v>
      </c>
      <c r="Q3" s="1">
        <v>100235</v>
      </c>
    </row>
    <row r="4" spans="1:17" x14ac:dyDescent="0.25">
      <c r="A4" s="1">
        <v>2</v>
      </c>
      <c r="B4" s="1" t="s">
        <v>1</v>
      </c>
      <c r="C4">
        <v>20895.87</v>
      </c>
      <c r="D4" s="1">
        <v>45724.76</v>
      </c>
      <c r="E4" s="1">
        <v>2286.37</v>
      </c>
      <c r="F4" s="8">
        <v>7096.5</v>
      </c>
      <c r="G4" s="1">
        <v>906</v>
      </c>
      <c r="H4" s="26">
        <v>1557</v>
      </c>
      <c r="I4" s="99"/>
      <c r="J4" s="105">
        <v>8727.2199999999993</v>
      </c>
      <c r="K4" s="23">
        <v>20593.849999999999</v>
      </c>
      <c r="L4" s="1">
        <v>1652.59</v>
      </c>
      <c r="M4" s="1">
        <v>10161.81</v>
      </c>
      <c r="N4" s="1">
        <v>1300</v>
      </c>
      <c r="O4" s="122" t="s">
        <v>30</v>
      </c>
      <c r="P4" s="12">
        <v>79</v>
      </c>
      <c r="Q4" s="1">
        <v>92863</v>
      </c>
    </row>
    <row r="5" spans="1:17" x14ac:dyDescent="0.25">
      <c r="A5" s="1">
        <v>3</v>
      </c>
      <c r="B5" s="1" t="s">
        <v>2</v>
      </c>
      <c r="C5" s="1">
        <v>27227.05</v>
      </c>
      <c r="D5" s="1">
        <v>48857.599999999999</v>
      </c>
      <c r="E5" s="1">
        <v>3009.2</v>
      </c>
      <c r="F5" s="1">
        <v>8070.91</v>
      </c>
      <c r="G5" s="1">
        <v>1184</v>
      </c>
      <c r="H5" s="21">
        <v>1931.88</v>
      </c>
      <c r="I5" s="94"/>
      <c r="J5" s="105">
        <v>11723.73</v>
      </c>
      <c r="K5" s="23">
        <v>20218.310000000001</v>
      </c>
      <c r="L5" s="1">
        <v>2178.69</v>
      </c>
      <c r="M5" s="1">
        <v>9945.69</v>
      </c>
      <c r="N5" s="1">
        <v>1463</v>
      </c>
      <c r="O5" s="122" t="s">
        <v>31</v>
      </c>
      <c r="P5" s="12">
        <v>90</v>
      </c>
      <c r="Q5" s="1">
        <v>108268</v>
      </c>
    </row>
    <row r="6" spans="1:17" x14ac:dyDescent="0.25">
      <c r="A6" s="1">
        <v>4</v>
      </c>
      <c r="B6" s="1" t="s">
        <v>3</v>
      </c>
      <c r="C6" s="1">
        <v>34033.339999999997</v>
      </c>
      <c r="D6" s="1">
        <v>43460.2</v>
      </c>
      <c r="E6" s="1">
        <v>2434.66</v>
      </c>
      <c r="F6" s="1">
        <v>7450.08</v>
      </c>
      <c r="G6" s="1">
        <v>973</v>
      </c>
      <c r="H6" s="21">
        <v>1902.45</v>
      </c>
      <c r="I6" s="94"/>
      <c r="J6" s="105">
        <v>10725.61</v>
      </c>
      <c r="K6" s="23">
        <v>17530.75</v>
      </c>
      <c r="L6" s="1">
        <v>1929.06</v>
      </c>
      <c r="M6" s="1">
        <v>10485.75</v>
      </c>
      <c r="N6" s="1">
        <v>1353</v>
      </c>
      <c r="O6" s="122" t="s">
        <v>32</v>
      </c>
      <c r="P6" s="12">
        <v>79</v>
      </c>
      <c r="Q6" s="1">
        <v>89406</v>
      </c>
    </row>
    <row r="7" spans="1:17" x14ac:dyDescent="0.25">
      <c r="A7" s="1">
        <v>5</v>
      </c>
      <c r="B7" s="1" t="s">
        <v>4</v>
      </c>
      <c r="C7" s="1" t="s">
        <v>26</v>
      </c>
      <c r="D7" s="1">
        <v>48845.79</v>
      </c>
      <c r="E7" s="1">
        <v>3035.14</v>
      </c>
      <c r="F7" s="1">
        <v>9123.1299999999992</v>
      </c>
      <c r="G7" s="1">
        <v>1297</v>
      </c>
      <c r="H7" s="21">
        <v>3113.45</v>
      </c>
      <c r="I7" s="94"/>
      <c r="J7" s="105">
        <v>11163.25</v>
      </c>
      <c r="K7" s="23">
        <v>17539.64</v>
      </c>
      <c r="L7" s="1">
        <v>1581.36</v>
      </c>
      <c r="M7" s="1">
        <v>9977.76</v>
      </c>
      <c r="N7" s="1">
        <v>1476</v>
      </c>
      <c r="O7" s="122" t="s">
        <v>33</v>
      </c>
      <c r="P7" s="12">
        <v>73</v>
      </c>
      <c r="Q7" s="1">
        <v>105243</v>
      </c>
    </row>
    <row r="8" spans="1:17" x14ac:dyDescent="0.25">
      <c r="A8" s="1">
        <v>6</v>
      </c>
      <c r="B8" s="1" t="s">
        <v>5</v>
      </c>
      <c r="C8" s="1">
        <v>24377.16</v>
      </c>
      <c r="D8" s="1">
        <v>38670.07</v>
      </c>
      <c r="E8" s="1">
        <v>2891.34</v>
      </c>
      <c r="F8" s="1">
        <v>7948.49</v>
      </c>
      <c r="G8" s="1">
        <v>1132</v>
      </c>
      <c r="H8" s="21">
        <v>3696.33</v>
      </c>
      <c r="I8" s="94"/>
      <c r="J8" s="105">
        <v>10203.049999999999</v>
      </c>
      <c r="K8" s="23">
        <v>18950.22</v>
      </c>
      <c r="L8" s="1">
        <v>1659.6</v>
      </c>
      <c r="M8" s="1">
        <v>9037.68</v>
      </c>
      <c r="N8" s="1">
        <v>1272</v>
      </c>
      <c r="O8" s="122" t="s">
        <v>34</v>
      </c>
      <c r="P8" s="12">
        <v>72</v>
      </c>
      <c r="Q8" s="1">
        <v>97661</v>
      </c>
    </row>
    <row r="9" spans="1:17" x14ac:dyDescent="0.25">
      <c r="A9" s="1">
        <v>7</v>
      </c>
      <c r="B9" s="1" t="s">
        <v>6</v>
      </c>
      <c r="C9" s="1">
        <v>28052</v>
      </c>
      <c r="D9" s="1">
        <v>41376</v>
      </c>
      <c r="E9" s="1">
        <v>3036</v>
      </c>
      <c r="F9" s="1">
        <v>6820</v>
      </c>
      <c r="G9" s="1">
        <v>1142</v>
      </c>
      <c r="H9" s="21">
        <v>4300</v>
      </c>
      <c r="I9" s="94"/>
      <c r="J9" s="105">
        <v>12186</v>
      </c>
      <c r="K9" s="23">
        <v>20360</v>
      </c>
      <c r="L9" s="1">
        <v>2221</v>
      </c>
      <c r="M9" s="1">
        <v>8603</v>
      </c>
      <c r="N9" s="1">
        <v>1432</v>
      </c>
      <c r="O9" s="122" t="s">
        <v>93</v>
      </c>
      <c r="P9" s="12">
        <v>134</v>
      </c>
      <c r="Q9" s="1">
        <v>111052</v>
      </c>
    </row>
    <row r="10" spans="1:17" x14ac:dyDescent="0.25">
      <c r="A10" s="1">
        <v>8</v>
      </c>
      <c r="B10" s="1" t="s">
        <v>7</v>
      </c>
      <c r="C10" s="1">
        <v>28015</v>
      </c>
      <c r="D10" s="1">
        <v>46268</v>
      </c>
      <c r="E10" s="1">
        <v>3120</v>
      </c>
      <c r="F10" s="1">
        <v>6696</v>
      </c>
      <c r="G10" s="1">
        <v>958</v>
      </c>
      <c r="H10" s="21">
        <v>3028</v>
      </c>
      <c r="I10" s="94"/>
      <c r="J10" s="105">
        <v>12311</v>
      </c>
      <c r="K10" s="23">
        <v>19939</v>
      </c>
      <c r="L10" s="1">
        <v>2069</v>
      </c>
      <c r="M10" s="1">
        <v>7827</v>
      </c>
      <c r="N10" s="1">
        <v>1241</v>
      </c>
      <c r="O10" s="122" t="s">
        <v>29</v>
      </c>
      <c r="P10" s="12">
        <v>78</v>
      </c>
      <c r="Q10" s="1">
        <v>95818</v>
      </c>
    </row>
    <row r="11" spans="1:17" x14ac:dyDescent="0.25">
      <c r="A11" s="1">
        <v>9</v>
      </c>
      <c r="B11" s="1" t="s">
        <v>8</v>
      </c>
      <c r="C11" s="1">
        <v>30692</v>
      </c>
      <c r="D11" s="1">
        <v>52513</v>
      </c>
      <c r="E11" s="1">
        <v>3460</v>
      </c>
      <c r="F11" s="1">
        <v>7437</v>
      </c>
      <c r="G11" s="1">
        <v>1230</v>
      </c>
      <c r="H11" s="21">
        <v>3744</v>
      </c>
      <c r="I11" s="94"/>
      <c r="J11" s="105">
        <v>12543</v>
      </c>
      <c r="K11" s="23">
        <v>14715</v>
      </c>
      <c r="L11" s="1">
        <v>2007</v>
      </c>
      <c r="M11" s="1">
        <v>7501</v>
      </c>
      <c r="N11" s="1">
        <v>1253</v>
      </c>
      <c r="O11" s="122" t="s">
        <v>94</v>
      </c>
      <c r="P11" s="12">
        <v>82</v>
      </c>
      <c r="Q11" s="1">
        <v>115571</v>
      </c>
    </row>
    <row r="12" spans="1:17" x14ac:dyDescent="0.25">
      <c r="A12" s="1">
        <v>10</v>
      </c>
      <c r="B12" s="1" t="s">
        <v>9</v>
      </c>
      <c r="C12" s="1">
        <v>30733</v>
      </c>
      <c r="D12" s="1">
        <v>50222</v>
      </c>
      <c r="E12" s="1">
        <v>3521</v>
      </c>
      <c r="F12" s="1">
        <v>7357</v>
      </c>
      <c r="G12" s="1">
        <v>1190</v>
      </c>
      <c r="H12" s="21">
        <f>8051/2</f>
        <v>4025.5</v>
      </c>
      <c r="I12" s="94"/>
      <c r="J12" s="105">
        <v>13388</v>
      </c>
      <c r="K12" s="23">
        <v>14936</v>
      </c>
      <c r="L12" s="1">
        <v>2577</v>
      </c>
      <c r="M12" s="1">
        <v>8196</v>
      </c>
      <c r="N12" s="1">
        <v>1317</v>
      </c>
      <c r="O12" s="122" t="s">
        <v>94</v>
      </c>
      <c r="P12" s="12">
        <v>87</v>
      </c>
      <c r="Q12" s="1">
        <v>115080</v>
      </c>
    </row>
    <row r="13" spans="1:17" x14ac:dyDescent="0.25">
      <c r="A13" s="1">
        <v>11</v>
      </c>
      <c r="B13" s="1" t="s">
        <v>10</v>
      </c>
      <c r="C13" s="1">
        <v>30582</v>
      </c>
      <c r="D13" s="1">
        <v>52321</v>
      </c>
      <c r="E13" s="1">
        <v>3094</v>
      </c>
      <c r="F13" s="1">
        <v>6587</v>
      </c>
      <c r="G13" s="1">
        <v>1062</v>
      </c>
      <c r="H13" s="21">
        <v>3691</v>
      </c>
      <c r="I13" s="94"/>
      <c r="J13" s="105">
        <v>13316</v>
      </c>
      <c r="K13" s="23">
        <v>22391</v>
      </c>
      <c r="L13" s="1">
        <v>2181</v>
      </c>
      <c r="M13" s="1">
        <v>7959</v>
      </c>
      <c r="N13" s="1">
        <v>1284</v>
      </c>
      <c r="O13" s="122" t="s">
        <v>29</v>
      </c>
      <c r="P13" s="12">
        <v>86</v>
      </c>
      <c r="Q13" s="1">
        <v>105077</v>
      </c>
    </row>
    <row r="14" spans="1:17" x14ac:dyDescent="0.25">
      <c r="A14" s="1">
        <v>12</v>
      </c>
      <c r="B14" s="1" t="s">
        <v>11</v>
      </c>
      <c r="C14" s="1">
        <v>45731</v>
      </c>
      <c r="D14" s="1">
        <v>46432</v>
      </c>
      <c r="E14" s="1">
        <v>4637</v>
      </c>
      <c r="F14" s="1">
        <v>8041</v>
      </c>
      <c r="G14" s="1">
        <v>1308</v>
      </c>
      <c r="H14" s="21">
        <v>4108</v>
      </c>
      <c r="I14" s="94"/>
      <c r="J14" s="105">
        <v>20695</v>
      </c>
      <c r="K14" s="23">
        <v>36041</v>
      </c>
      <c r="L14" s="1">
        <v>2391</v>
      </c>
      <c r="M14" s="1">
        <v>8893</v>
      </c>
      <c r="N14" s="1">
        <v>1449</v>
      </c>
      <c r="O14" s="122" t="s">
        <v>95</v>
      </c>
      <c r="P14" s="12">
        <v>90</v>
      </c>
      <c r="Q14" s="1">
        <v>118374</v>
      </c>
    </row>
    <row r="15" spans="1:17" s="17" customFormat="1" ht="15.75" thickBot="1" x14ac:dyDescent="0.3">
      <c r="A15" s="150" t="s">
        <v>21</v>
      </c>
      <c r="B15" s="150"/>
      <c r="C15" s="18">
        <f>SUM(C3:C14)</f>
        <v>330599.77</v>
      </c>
      <c r="D15" s="18">
        <f>SUM(D3:D14)</f>
        <v>571479.91999999993</v>
      </c>
      <c r="E15" s="18">
        <f>SUM(E3:E14)</f>
        <v>36353.31</v>
      </c>
      <c r="F15" s="18">
        <f>SUM(F3:F14)</f>
        <v>92016.7</v>
      </c>
      <c r="G15" s="18">
        <f>SUM(G3:G14)</f>
        <v>13409</v>
      </c>
      <c r="H15" s="22">
        <f>SUM(H3:H11)</f>
        <v>25110.83</v>
      </c>
      <c r="I15" s="95"/>
      <c r="J15" s="106">
        <f>SUM(J3:J14)</f>
        <v>148184.07</v>
      </c>
      <c r="K15" s="24">
        <f>SUM(K3:K14)</f>
        <v>241372.52000000002</v>
      </c>
      <c r="L15" s="18">
        <f t="shared" ref="L15" si="0">SUM(L3:L8)</f>
        <v>10604.25</v>
      </c>
      <c r="M15" s="18">
        <f>SUM(M3:M14)</f>
        <v>109161.91</v>
      </c>
      <c r="N15" s="18">
        <f>SUM(N3:N14)</f>
        <v>16179</v>
      </c>
      <c r="O15" s="123" t="s">
        <v>291</v>
      </c>
      <c r="P15" s="19">
        <v>1028</v>
      </c>
      <c r="Q15" s="18">
        <f>SUM(Q3:Q14)</f>
        <v>1254648</v>
      </c>
    </row>
    <row r="16" spans="1:17" s="17" customFormat="1" x14ac:dyDescent="0.25">
      <c r="A16" s="36"/>
      <c r="B16" s="37"/>
      <c r="C16" s="38"/>
      <c r="D16" s="38"/>
      <c r="E16" s="24"/>
      <c r="F16" s="39"/>
      <c r="G16" s="39"/>
      <c r="H16" s="39"/>
      <c r="I16" s="39"/>
      <c r="J16" s="39"/>
      <c r="K16" s="39"/>
      <c r="L16" s="39"/>
      <c r="M16" s="39"/>
      <c r="N16" s="39"/>
      <c r="O16" s="40"/>
      <c r="P16" s="41"/>
      <c r="Q16" s="39"/>
    </row>
    <row r="17" spans="1:16" x14ac:dyDescent="0.25">
      <c r="A17" s="142" t="s">
        <v>22</v>
      </c>
      <c r="B17" s="143"/>
      <c r="C17" s="143"/>
      <c r="D17" s="143"/>
      <c r="E17" s="144"/>
      <c r="O17" s="10"/>
      <c r="P17" s="11"/>
    </row>
    <row r="18" spans="1:16" x14ac:dyDescent="0.25">
      <c r="A18" s="157" t="s">
        <v>136</v>
      </c>
      <c r="B18" s="160"/>
      <c r="C18" s="160"/>
      <c r="D18" s="160"/>
      <c r="E18" s="160"/>
      <c r="F18" s="25"/>
      <c r="G18" s="42"/>
      <c r="H18" s="42"/>
      <c r="I18" s="42"/>
      <c r="J18" s="43"/>
      <c r="K18" s="7"/>
      <c r="L18" s="4"/>
      <c r="M18" s="4"/>
      <c r="N18" s="4"/>
      <c r="O18" s="10"/>
      <c r="P18" s="11"/>
    </row>
    <row r="19" spans="1:16" x14ac:dyDescent="0.25">
      <c r="A19" s="145" t="s">
        <v>137</v>
      </c>
      <c r="B19" s="145"/>
      <c r="C19" s="145"/>
      <c r="D19" s="145"/>
      <c r="E19" s="157"/>
      <c r="F19" s="25"/>
      <c r="G19" s="42"/>
      <c r="H19" s="42"/>
      <c r="I19" s="42"/>
      <c r="J19" s="43"/>
      <c r="K19" s="7"/>
      <c r="L19" s="4"/>
      <c r="M19" s="4"/>
      <c r="N19" s="4"/>
      <c r="O19" s="10"/>
      <c r="P19" s="11"/>
    </row>
    <row r="20" spans="1:16" x14ac:dyDescent="0.25">
      <c r="A20" s="145" t="s">
        <v>138</v>
      </c>
      <c r="B20" s="145"/>
      <c r="C20" s="145"/>
      <c r="D20" s="145"/>
      <c r="E20" s="157"/>
      <c r="F20" s="25"/>
      <c r="G20" s="42"/>
      <c r="H20" s="42"/>
      <c r="I20" s="42"/>
      <c r="J20" s="43"/>
      <c r="K20" s="7"/>
      <c r="L20" s="4"/>
      <c r="M20" s="4"/>
      <c r="N20" s="4"/>
      <c r="O20" s="10"/>
      <c r="P20" s="11"/>
    </row>
    <row r="21" spans="1:16" x14ac:dyDescent="0.25">
      <c r="A21" s="145" t="s">
        <v>139</v>
      </c>
      <c r="B21" s="145"/>
      <c r="C21" s="145"/>
      <c r="D21" s="145"/>
      <c r="E21" s="157"/>
      <c r="F21" s="25"/>
      <c r="G21" s="42"/>
      <c r="H21" s="42"/>
      <c r="I21" s="42"/>
      <c r="J21" s="43"/>
      <c r="K21" s="7"/>
      <c r="L21" s="4"/>
      <c r="M21" s="4"/>
      <c r="N21" s="4"/>
      <c r="O21" s="10"/>
      <c r="P21" s="11"/>
    </row>
    <row r="22" spans="1:16" x14ac:dyDescent="0.25">
      <c r="A22" s="145" t="s">
        <v>140</v>
      </c>
      <c r="B22" s="145"/>
      <c r="C22" s="145"/>
      <c r="D22" s="145"/>
      <c r="E22" s="157"/>
      <c r="F22" s="25"/>
      <c r="G22" s="42"/>
      <c r="H22" s="42"/>
      <c r="I22" s="42"/>
      <c r="J22" s="43"/>
      <c r="K22" s="7"/>
      <c r="L22" s="4"/>
      <c r="M22" s="4"/>
      <c r="N22" s="4"/>
      <c r="O22" s="10"/>
      <c r="P22" s="11"/>
    </row>
    <row r="23" spans="1:16" ht="30.75" customHeight="1" x14ac:dyDescent="0.25">
      <c r="A23" s="141" t="s">
        <v>159</v>
      </c>
      <c r="B23" s="141"/>
      <c r="C23" s="141"/>
      <c r="D23" s="141"/>
      <c r="E23" s="151"/>
      <c r="F23" s="25"/>
      <c r="G23" s="42"/>
      <c r="H23" s="42"/>
      <c r="I23" s="42"/>
      <c r="J23" s="44"/>
      <c r="K23" s="5"/>
      <c r="L23" s="5"/>
      <c r="M23" s="5"/>
      <c r="N23" s="5"/>
      <c r="O23" s="10"/>
      <c r="P23" s="11"/>
    </row>
    <row r="24" spans="1:16" x14ac:dyDescent="0.25">
      <c r="A24" s="10"/>
      <c r="B24" s="10"/>
      <c r="C24" s="11"/>
      <c r="D24" s="10"/>
      <c r="E24" s="10"/>
      <c r="F24" s="11"/>
      <c r="G24" s="11"/>
      <c r="H24" s="11"/>
      <c r="I24" s="11"/>
      <c r="J24" s="11"/>
      <c r="K24" s="10"/>
      <c r="L24" s="10"/>
      <c r="M24" s="11"/>
      <c r="N24" s="10"/>
      <c r="O24" s="10"/>
      <c r="P24" s="11"/>
    </row>
    <row r="25" spans="1:16" x14ac:dyDescent="0.25">
      <c r="A25" s="10"/>
      <c r="B25" s="10"/>
      <c r="C25" s="11"/>
      <c r="D25" s="10"/>
      <c r="E25" s="10"/>
      <c r="F25" s="11"/>
      <c r="G25" s="11"/>
      <c r="H25" s="11"/>
      <c r="I25" s="11"/>
      <c r="J25" s="11"/>
      <c r="K25" s="10"/>
      <c r="L25" s="10"/>
      <c r="M25" s="11"/>
      <c r="N25" s="10"/>
      <c r="O25" s="10"/>
      <c r="P25" s="11"/>
    </row>
    <row r="26" spans="1:16" x14ac:dyDescent="0.25">
      <c r="A26" s="10"/>
      <c r="B26" s="10"/>
      <c r="C26" s="11"/>
      <c r="D26" s="10"/>
      <c r="E26" s="10"/>
      <c r="F26" s="11"/>
      <c r="G26" s="11"/>
      <c r="H26" s="11"/>
      <c r="I26" s="11"/>
      <c r="J26" s="11"/>
      <c r="K26" s="10"/>
      <c r="L26" s="10"/>
      <c r="M26" s="11"/>
      <c r="N26" s="10"/>
      <c r="O26" s="10"/>
      <c r="P26" s="11"/>
    </row>
    <row r="27" spans="1:16" x14ac:dyDescent="0.25">
      <c r="A27" s="10"/>
      <c r="B27" s="10"/>
      <c r="C27" s="11"/>
      <c r="D27" s="10"/>
      <c r="E27" s="10"/>
      <c r="F27" s="11"/>
      <c r="G27" s="11"/>
      <c r="H27" s="11"/>
      <c r="I27" s="11"/>
      <c r="J27" s="11"/>
      <c r="K27" s="10"/>
      <c r="L27" s="10"/>
      <c r="M27" s="11"/>
      <c r="N27" s="10"/>
      <c r="O27" s="10"/>
      <c r="P27" s="11"/>
    </row>
    <row r="28" spans="1:16" x14ac:dyDescent="0.25">
      <c r="A28" s="10"/>
      <c r="B28" s="10"/>
      <c r="C28" s="11"/>
      <c r="D28" s="10"/>
      <c r="E28" s="10"/>
      <c r="F28" s="11"/>
      <c r="G28" s="11"/>
      <c r="H28" s="11"/>
      <c r="I28" s="11"/>
      <c r="J28" s="11"/>
      <c r="K28" s="10"/>
      <c r="L28" s="10"/>
      <c r="M28" s="11"/>
      <c r="N28" s="10"/>
      <c r="O28" s="10"/>
      <c r="P28" s="11"/>
    </row>
    <row r="29" spans="1:16" x14ac:dyDescent="0.25">
      <c r="A29" s="10"/>
      <c r="B29" s="10"/>
      <c r="C29" s="11"/>
      <c r="D29" s="10"/>
      <c r="E29" s="10"/>
      <c r="F29" s="11"/>
      <c r="G29" s="11"/>
      <c r="H29" s="11"/>
      <c r="I29" s="11"/>
      <c r="J29" s="11"/>
      <c r="K29" s="10"/>
      <c r="L29" s="10"/>
      <c r="M29" s="11"/>
      <c r="N29" s="10"/>
      <c r="O29" s="10"/>
      <c r="P29" s="11"/>
    </row>
    <row r="30" spans="1:16" x14ac:dyDescent="0.25">
      <c r="A30" s="10"/>
      <c r="B30" s="10"/>
      <c r="C30" s="11"/>
      <c r="D30" s="10"/>
      <c r="E30" s="10"/>
      <c r="F30" s="11"/>
      <c r="G30" s="11"/>
      <c r="H30" s="11"/>
      <c r="I30" s="11"/>
      <c r="J30" s="11"/>
      <c r="K30" s="10"/>
      <c r="L30" s="10"/>
      <c r="M30" s="11"/>
      <c r="N30" s="10"/>
      <c r="O30" s="10"/>
      <c r="P30" s="11"/>
    </row>
    <row r="31" spans="1:16" x14ac:dyDescent="0.25">
      <c r="A31" s="10"/>
      <c r="B31" s="10"/>
      <c r="C31" s="11"/>
      <c r="D31" s="10"/>
      <c r="E31" s="10"/>
      <c r="F31" s="11"/>
      <c r="G31" s="11"/>
      <c r="H31" s="11"/>
      <c r="I31" s="11"/>
      <c r="J31" s="11"/>
      <c r="K31" s="10"/>
      <c r="L31" s="10"/>
      <c r="M31" s="11"/>
      <c r="N31" s="10"/>
      <c r="O31" s="10"/>
      <c r="P31" s="11"/>
    </row>
    <row r="32" spans="1:16" x14ac:dyDescent="0.25">
      <c r="A32" s="10"/>
      <c r="B32" s="10"/>
      <c r="C32" s="11"/>
      <c r="D32" s="10"/>
      <c r="E32" s="10"/>
      <c r="F32" s="11"/>
      <c r="G32" s="11"/>
      <c r="H32" s="11"/>
      <c r="I32" s="11"/>
      <c r="J32" s="11"/>
      <c r="K32" s="10"/>
      <c r="L32" s="10"/>
      <c r="M32" s="11"/>
      <c r="N32" s="10"/>
      <c r="O32" s="10"/>
      <c r="P32" s="11"/>
    </row>
    <row r="33" spans="1:16" x14ac:dyDescent="0.25">
      <c r="A33" s="10"/>
      <c r="B33" s="10"/>
      <c r="C33" s="11"/>
      <c r="D33" s="10"/>
      <c r="E33" s="10"/>
      <c r="F33" s="11"/>
      <c r="G33" s="11"/>
      <c r="H33" s="11"/>
      <c r="I33" s="11"/>
      <c r="J33" s="11"/>
      <c r="K33" s="10"/>
      <c r="L33" s="10"/>
      <c r="M33" s="11"/>
      <c r="N33" s="10"/>
      <c r="O33" s="10"/>
      <c r="P33" s="11"/>
    </row>
    <row r="34" spans="1:16" x14ac:dyDescent="0.25">
      <c r="A34" s="10"/>
      <c r="B34" s="10"/>
      <c r="C34" s="11"/>
      <c r="D34" s="10"/>
      <c r="E34" s="10"/>
      <c r="F34" s="11"/>
      <c r="G34" s="11"/>
      <c r="H34" s="11"/>
      <c r="I34" s="11"/>
      <c r="J34" s="11"/>
      <c r="K34" s="10"/>
      <c r="L34" s="10"/>
      <c r="M34" s="11"/>
      <c r="N34" s="10"/>
      <c r="O34" s="10"/>
      <c r="P34" s="11"/>
    </row>
    <row r="35" spans="1:16" x14ac:dyDescent="0.25">
      <c r="A35" s="10"/>
      <c r="B35" s="10"/>
      <c r="C35" s="11"/>
      <c r="D35" s="10"/>
      <c r="E35" s="10"/>
      <c r="F35" s="11"/>
      <c r="G35" s="11"/>
      <c r="H35" s="11"/>
      <c r="I35" s="11"/>
      <c r="J35" s="11"/>
      <c r="K35" s="10"/>
      <c r="L35" s="10"/>
      <c r="M35" s="11"/>
      <c r="N35" s="10"/>
      <c r="O35" s="10"/>
      <c r="P35" s="11"/>
    </row>
    <row r="36" spans="1:16" x14ac:dyDescent="0.25">
      <c r="A36" s="10"/>
      <c r="B36" s="10"/>
      <c r="C36" s="11"/>
      <c r="D36" s="10"/>
      <c r="E36" s="10"/>
      <c r="F36" s="11"/>
      <c r="G36" s="11"/>
      <c r="H36" s="11"/>
      <c r="I36" s="11"/>
      <c r="J36" s="11"/>
      <c r="K36" s="10"/>
      <c r="L36" s="10"/>
      <c r="M36" s="11"/>
      <c r="N36" s="10"/>
      <c r="O36" s="10"/>
      <c r="P36" s="11"/>
    </row>
    <row r="37" spans="1:16" x14ac:dyDescent="0.25">
      <c r="A37" s="10"/>
      <c r="B37" s="10"/>
      <c r="C37" s="11"/>
      <c r="D37" s="10"/>
      <c r="E37" s="10"/>
      <c r="F37" s="11"/>
      <c r="G37" s="11"/>
      <c r="H37" s="11"/>
      <c r="I37" s="11"/>
      <c r="J37" s="11"/>
      <c r="K37" s="10"/>
      <c r="L37" s="10"/>
      <c r="M37" s="11"/>
      <c r="N37" s="10"/>
      <c r="O37" s="10"/>
      <c r="P37" s="11"/>
    </row>
    <row r="38" spans="1:16" x14ac:dyDescent="0.25">
      <c r="A38" s="10"/>
      <c r="B38" s="10"/>
      <c r="C38" s="11"/>
      <c r="D38" s="10"/>
      <c r="E38" s="10"/>
      <c r="F38" s="11"/>
      <c r="G38" s="11"/>
      <c r="H38" s="11"/>
      <c r="I38" s="11"/>
      <c r="J38" s="11"/>
      <c r="K38" s="10"/>
      <c r="L38" s="10"/>
      <c r="M38" s="11"/>
      <c r="N38" s="10"/>
      <c r="O38" s="10"/>
      <c r="P38" s="11"/>
    </row>
    <row r="39" spans="1:16" x14ac:dyDescent="0.25">
      <c r="A39" s="10"/>
      <c r="B39" s="10"/>
      <c r="C39" s="11"/>
      <c r="D39" s="10"/>
      <c r="E39" s="10"/>
      <c r="F39" s="11"/>
      <c r="G39" s="11"/>
      <c r="H39" s="11"/>
      <c r="I39" s="11"/>
      <c r="J39" s="11"/>
      <c r="K39" s="10"/>
      <c r="L39" s="10"/>
      <c r="M39" s="11"/>
      <c r="N39" s="10"/>
      <c r="O39" s="10"/>
      <c r="P39" s="11"/>
    </row>
    <row r="40" spans="1:16" x14ac:dyDescent="0.25">
      <c r="A40" s="10"/>
      <c r="B40" s="10"/>
      <c r="C40" s="11"/>
      <c r="D40" s="10"/>
      <c r="E40" s="10"/>
      <c r="F40" s="11"/>
      <c r="G40" s="11"/>
      <c r="H40" s="11"/>
      <c r="I40" s="11"/>
      <c r="J40" s="11"/>
      <c r="K40" s="10"/>
      <c r="L40" s="10"/>
      <c r="M40" s="11"/>
      <c r="N40" s="10"/>
      <c r="O40" s="10"/>
      <c r="P40" s="11"/>
    </row>
    <row r="41" spans="1:16" x14ac:dyDescent="0.25">
      <c r="A41" s="10"/>
      <c r="B41" s="10"/>
      <c r="C41" s="11"/>
      <c r="D41" s="10"/>
      <c r="E41" s="10"/>
      <c r="F41" s="11"/>
      <c r="G41" s="11"/>
      <c r="H41" s="11"/>
      <c r="I41" s="11"/>
      <c r="J41" s="11"/>
      <c r="K41" s="10"/>
      <c r="L41" s="10"/>
      <c r="M41" s="11"/>
      <c r="N41" s="10"/>
      <c r="O41" s="10"/>
      <c r="P41" s="11"/>
    </row>
    <row r="42" spans="1:16" x14ac:dyDescent="0.25">
      <c r="A42" s="10"/>
      <c r="B42" s="10"/>
      <c r="C42" s="11"/>
      <c r="D42" s="10"/>
      <c r="E42" s="10"/>
      <c r="F42" s="11"/>
      <c r="G42" s="11"/>
      <c r="H42" s="11"/>
      <c r="I42" s="11"/>
      <c r="J42" s="11"/>
      <c r="K42" s="10"/>
      <c r="L42" s="10"/>
      <c r="M42" s="11"/>
      <c r="N42" s="10"/>
      <c r="O42" s="10"/>
      <c r="P42" s="11"/>
    </row>
    <row r="43" spans="1:16" x14ac:dyDescent="0.25">
      <c r="A43" s="10"/>
      <c r="B43" s="10"/>
      <c r="C43" s="11"/>
      <c r="D43" s="10"/>
      <c r="E43" s="10"/>
      <c r="F43" s="11"/>
      <c r="G43" s="11"/>
      <c r="H43" s="11"/>
      <c r="I43" s="11"/>
      <c r="J43" s="11"/>
      <c r="K43" s="10"/>
      <c r="L43" s="10"/>
      <c r="M43" s="11"/>
      <c r="N43" s="10"/>
      <c r="O43" s="10"/>
      <c r="P43" s="11"/>
    </row>
    <row r="44" spans="1:16" x14ac:dyDescent="0.25">
      <c r="A44" s="10"/>
      <c r="B44" s="10"/>
      <c r="C44" s="11"/>
      <c r="D44" s="10"/>
      <c r="E44" s="10"/>
      <c r="F44" s="11"/>
      <c r="G44" s="11"/>
      <c r="H44" s="11"/>
      <c r="I44" s="11"/>
      <c r="J44" s="11"/>
      <c r="K44" s="10"/>
      <c r="L44" s="10"/>
      <c r="M44" s="11"/>
      <c r="N44" s="10"/>
      <c r="O44" s="10"/>
      <c r="P44" s="11"/>
    </row>
    <row r="45" spans="1:16" x14ac:dyDescent="0.25">
      <c r="A45" s="10"/>
      <c r="B45" s="10"/>
      <c r="C45" s="11"/>
      <c r="D45" s="10"/>
      <c r="E45" s="10"/>
      <c r="F45" s="11"/>
      <c r="G45" s="11"/>
      <c r="H45" s="11"/>
      <c r="I45" s="11"/>
      <c r="J45" s="11"/>
      <c r="K45" s="10"/>
      <c r="L45" s="10"/>
      <c r="M45" s="11"/>
      <c r="N45" s="10"/>
      <c r="O45" s="10"/>
      <c r="P45" s="11"/>
    </row>
  </sheetData>
  <sortState ref="A1:O328">
    <sortCondition ref="A149"/>
  </sortState>
  <mergeCells count="12">
    <mergeCell ref="A23:E23"/>
    <mergeCell ref="A1:A2"/>
    <mergeCell ref="B1:B2"/>
    <mergeCell ref="C1:H1"/>
    <mergeCell ref="J1:N1"/>
    <mergeCell ref="A15:B15"/>
    <mergeCell ref="A17:E17"/>
    <mergeCell ref="A18:E18"/>
    <mergeCell ref="A19:E19"/>
    <mergeCell ref="A20:E20"/>
    <mergeCell ref="A21:E21"/>
    <mergeCell ref="A22:E22"/>
  </mergeCells>
  <pageMargins left="0.7" right="0.7" top="0.75" bottom="0.75" header="0.3" footer="0.3"/>
  <ignoredErrors>
    <ignoredError sqref="O3:O1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O15" sqref="O15"/>
    </sheetView>
  </sheetViews>
  <sheetFormatPr defaultRowHeight="15" x14ac:dyDescent="0.25"/>
  <cols>
    <col min="1" max="1" width="6.5703125" customWidth="1"/>
    <col min="2" max="2" width="15.7109375" customWidth="1"/>
    <col min="10" max="10" width="14.28515625" customWidth="1"/>
  </cols>
  <sheetData>
    <row r="1" spans="1:17" x14ac:dyDescent="0.25">
      <c r="A1" s="146" t="s">
        <v>12</v>
      </c>
      <c r="B1" s="148" t="s">
        <v>13</v>
      </c>
      <c r="C1" s="154" t="s">
        <v>19</v>
      </c>
      <c r="D1" s="155"/>
      <c r="E1" s="155"/>
      <c r="F1" s="155"/>
      <c r="G1" s="155"/>
      <c r="H1" s="155"/>
      <c r="I1" s="107"/>
      <c r="J1" s="161" t="s">
        <v>20</v>
      </c>
      <c r="K1" s="162"/>
      <c r="L1" s="162"/>
      <c r="M1" s="162"/>
      <c r="N1" s="163"/>
      <c r="O1" s="10"/>
      <c r="P1" s="11"/>
    </row>
    <row r="2" spans="1:17" ht="81.75" x14ac:dyDescent="0.25">
      <c r="A2" s="147"/>
      <c r="B2" s="149"/>
      <c r="C2" s="2" t="s">
        <v>14</v>
      </c>
      <c r="D2" s="3" t="s">
        <v>15</v>
      </c>
      <c r="E2" s="3" t="s">
        <v>16</v>
      </c>
      <c r="F2" s="2" t="s">
        <v>17</v>
      </c>
      <c r="G2" s="3" t="s">
        <v>18</v>
      </c>
      <c r="H2" s="20" t="s">
        <v>25</v>
      </c>
      <c r="I2" s="93"/>
      <c r="J2" s="108" t="s">
        <v>14</v>
      </c>
      <c r="K2" s="3" t="s">
        <v>15</v>
      </c>
      <c r="L2" s="3" t="s">
        <v>16</v>
      </c>
      <c r="M2" s="2" t="s">
        <v>17</v>
      </c>
      <c r="N2" s="28" t="s">
        <v>18</v>
      </c>
      <c r="O2" s="27" t="s">
        <v>27</v>
      </c>
      <c r="P2" s="3" t="s">
        <v>28</v>
      </c>
      <c r="Q2" s="6" t="s">
        <v>80</v>
      </c>
    </row>
    <row r="3" spans="1:17" x14ac:dyDescent="0.25">
      <c r="A3" s="1">
        <v>1</v>
      </c>
      <c r="B3" s="1" t="s">
        <v>0</v>
      </c>
      <c r="C3" s="1">
        <v>6054.4</v>
      </c>
      <c r="D3" s="1">
        <v>33360.800000000003</v>
      </c>
      <c r="E3" s="1">
        <v>1057.8699999999999</v>
      </c>
      <c r="F3" s="1">
        <v>4268</v>
      </c>
      <c r="G3" s="1">
        <v>880</v>
      </c>
      <c r="H3" s="21">
        <v>462</v>
      </c>
      <c r="I3" s="94"/>
      <c r="J3" s="23">
        <v>27123.360000000001</v>
      </c>
      <c r="K3" s="1">
        <v>21883.62</v>
      </c>
      <c r="L3" s="1">
        <v>3511.13</v>
      </c>
      <c r="M3" s="1">
        <v>24914.45</v>
      </c>
      <c r="N3" s="29">
        <v>5137</v>
      </c>
      <c r="O3" s="119" t="s">
        <v>38</v>
      </c>
      <c r="P3" s="12">
        <v>203</v>
      </c>
      <c r="Q3" s="1">
        <v>111306</v>
      </c>
    </row>
    <row r="4" spans="1:17" x14ac:dyDescent="0.25">
      <c r="A4" s="1">
        <v>2</v>
      </c>
      <c r="B4" s="1" t="s">
        <v>1</v>
      </c>
      <c r="C4">
        <v>5565.88</v>
      </c>
      <c r="D4" s="1">
        <v>18811.189999999999</v>
      </c>
      <c r="E4" s="1">
        <v>799.48</v>
      </c>
      <c r="F4" s="8">
        <v>2685.78</v>
      </c>
      <c r="G4" s="1">
        <v>694</v>
      </c>
      <c r="H4" s="26">
        <v>414</v>
      </c>
      <c r="I4" s="99"/>
      <c r="J4" s="23">
        <v>38949.120000000003</v>
      </c>
      <c r="K4" s="1">
        <v>37160.639999999999</v>
      </c>
      <c r="L4" s="1">
        <v>3674.52</v>
      </c>
      <c r="M4" s="1">
        <v>19226.16</v>
      </c>
      <c r="N4" s="29">
        <v>4968</v>
      </c>
      <c r="O4" s="119" t="s">
        <v>36</v>
      </c>
      <c r="P4" s="12">
        <v>210</v>
      </c>
      <c r="Q4" s="1">
        <v>108197.1</v>
      </c>
    </row>
    <row r="5" spans="1:17" x14ac:dyDescent="0.25">
      <c r="A5" s="1">
        <v>3</v>
      </c>
      <c r="B5" s="1" t="s">
        <v>2</v>
      </c>
      <c r="C5" s="1">
        <v>8301.2800000000007</v>
      </c>
      <c r="D5" s="1">
        <v>14733.32</v>
      </c>
      <c r="E5" s="1">
        <v>970.02</v>
      </c>
      <c r="F5" s="1">
        <v>2171.02</v>
      </c>
      <c r="G5" s="1">
        <v>613</v>
      </c>
      <c r="H5" s="21">
        <v>390</v>
      </c>
      <c r="I5" s="94"/>
      <c r="J5" s="23">
        <v>43149.99</v>
      </c>
      <c r="K5" s="1">
        <v>51539.38</v>
      </c>
      <c r="L5" s="1">
        <v>4126.3599999999997</v>
      </c>
      <c r="M5" s="1">
        <v>19901.88</v>
      </c>
      <c r="N5" s="29">
        <v>5622</v>
      </c>
      <c r="O5" s="119" t="s">
        <v>35</v>
      </c>
      <c r="P5" s="12">
        <v>211</v>
      </c>
      <c r="Q5" s="1">
        <v>108349.3</v>
      </c>
    </row>
    <row r="6" spans="1:17" x14ac:dyDescent="0.25">
      <c r="A6" s="1">
        <v>4</v>
      </c>
      <c r="B6" s="1" t="s">
        <v>3</v>
      </c>
      <c r="C6" s="1">
        <v>9245.01</v>
      </c>
      <c r="D6" s="1">
        <v>20320.05</v>
      </c>
      <c r="E6" s="1">
        <v>1280.3900000000001</v>
      </c>
      <c r="F6" s="1">
        <v>4291.38</v>
      </c>
      <c r="G6" s="1">
        <v>883</v>
      </c>
      <c r="H6" s="21">
        <v>624</v>
      </c>
      <c r="I6" s="94"/>
      <c r="J6" s="23">
        <v>30972</v>
      </c>
      <c r="K6" s="1">
        <v>21413.4</v>
      </c>
      <c r="L6" s="1">
        <v>3822.16</v>
      </c>
      <c r="M6" s="1">
        <v>25952.400000000001</v>
      </c>
      <c r="N6" s="29">
        <v>5340</v>
      </c>
      <c r="O6" s="119" t="s">
        <v>37</v>
      </c>
      <c r="P6" s="12">
        <v>215</v>
      </c>
      <c r="Q6" s="1">
        <v>115860.8</v>
      </c>
    </row>
    <row r="7" spans="1:17" x14ac:dyDescent="0.25">
      <c r="A7" s="1">
        <v>5</v>
      </c>
      <c r="B7" s="1" t="s">
        <v>4</v>
      </c>
      <c r="C7" s="1">
        <v>12408</v>
      </c>
      <c r="D7" s="1">
        <v>24951.19</v>
      </c>
      <c r="E7" s="1">
        <v>1564.68</v>
      </c>
      <c r="F7" s="1">
        <v>6086.4</v>
      </c>
      <c r="G7" s="1">
        <v>1200</v>
      </c>
      <c r="H7" s="21">
        <v>834</v>
      </c>
      <c r="I7" s="94"/>
      <c r="J7" s="23">
        <v>30260.560000000001</v>
      </c>
      <c r="K7" s="1">
        <v>29045.72</v>
      </c>
      <c r="L7" s="1">
        <v>4272.1000000000004</v>
      </c>
      <c r="M7" s="1">
        <v>28002.44</v>
      </c>
      <c r="N7" s="29">
        <v>5522</v>
      </c>
      <c r="O7" s="119" t="s">
        <v>39</v>
      </c>
      <c r="P7" s="12">
        <v>237</v>
      </c>
      <c r="Q7" s="1">
        <v>124442.4</v>
      </c>
    </row>
    <row r="8" spans="1:17" x14ac:dyDescent="0.25">
      <c r="A8" s="1">
        <v>6</v>
      </c>
      <c r="B8" s="1" t="s">
        <v>5</v>
      </c>
      <c r="C8" s="1">
        <v>12670.1</v>
      </c>
      <c r="D8" s="1">
        <v>28103.7</v>
      </c>
      <c r="E8" s="1">
        <v>1887.15</v>
      </c>
      <c r="F8" s="1">
        <v>6412.15</v>
      </c>
      <c r="G8" s="1">
        <v>1285</v>
      </c>
      <c r="H8" s="21">
        <v>876</v>
      </c>
      <c r="I8" s="94"/>
      <c r="J8" s="23">
        <v>29923.74</v>
      </c>
      <c r="K8" s="1">
        <v>27736.799999999999</v>
      </c>
      <c r="L8" s="1">
        <v>3671.34</v>
      </c>
      <c r="M8" s="1">
        <v>26623.86</v>
      </c>
      <c r="N8" s="29">
        <v>5334</v>
      </c>
      <c r="O8" s="119" t="s">
        <v>40</v>
      </c>
      <c r="P8" s="12">
        <v>234</v>
      </c>
      <c r="Q8" s="1">
        <v>129959.1</v>
      </c>
    </row>
    <row r="9" spans="1:17" x14ac:dyDescent="0.25">
      <c r="A9" s="1">
        <v>7</v>
      </c>
      <c r="B9" s="1" t="s">
        <v>6</v>
      </c>
      <c r="C9" s="1">
        <v>10255</v>
      </c>
      <c r="D9" s="1">
        <v>16678</v>
      </c>
      <c r="E9" s="1">
        <v>1172</v>
      </c>
      <c r="F9" s="1">
        <v>4615</v>
      </c>
      <c r="G9" s="1">
        <v>891</v>
      </c>
      <c r="H9" s="21">
        <v>1172</v>
      </c>
      <c r="I9" s="94"/>
      <c r="J9" s="23">
        <v>29570</v>
      </c>
      <c r="K9" s="1">
        <v>18560</v>
      </c>
      <c r="L9" s="1">
        <v>3237</v>
      </c>
      <c r="M9" s="1">
        <v>27158</v>
      </c>
      <c r="N9" s="29">
        <v>5243</v>
      </c>
      <c r="O9" s="119" t="s">
        <v>91</v>
      </c>
      <c r="P9" s="12">
        <v>204</v>
      </c>
      <c r="Q9" s="1">
        <f>33250+75396</f>
        <v>108646</v>
      </c>
    </row>
    <row r="10" spans="1:17" x14ac:dyDescent="0.25">
      <c r="A10" s="1">
        <v>8</v>
      </c>
      <c r="B10" s="1" t="s">
        <v>7</v>
      </c>
      <c r="C10" s="1">
        <v>12385</v>
      </c>
      <c r="D10" s="1">
        <v>16145</v>
      </c>
      <c r="E10" s="1">
        <v>1839</v>
      </c>
      <c r="F10" s="1">
        <v>5381</v>
      </c>
      <c r="G10" s="1">
        <v>1027</v>
      </c>
      <c r="H10" s="21">
        <v>1839</v>
      </c>
      <c r="I10" s="94"/>
      <c r="J10" s="23">
        <v>33740</v>
      </c>
      <c r="K10" s="1">
        <v>17615</v>
      </c>
      <c r="L10" s="1">
        <v>4021</v>
      </c>
      <c r="M10" s="1">
        <v>26830</v>
      </c>
      <c r="N10" s="29">
        <v>5120</v>
      </c>
      <c r="O10" s="119" t="s">
        <v>38</v>
      </c>
      <c r="P10" s="12">
        <v>202</v>
      </c>
      <c r="Q10" s="1">
        <f>34884+76275</f>
        <v>111159</v>
      </c>
    </row>
    <row r="11" spans="1:17" x14ac:dyDescent="0.25">
      <c r="A11" s="1">
        <v>9</v>
      </c>
      <c r="B11" s="1" t="s">
        <v>8</v>
      </c>
      <c r="C11" s="1">
        <v>10433</v>
      </c>
      <c r="D11" s="1">
        <v>19649</v>
      </c>
      <c r="E11" s="1">
        <v>1977</v>
      </c>
      <c r="F11" s="1">
        <v>5371</v>
      </c>
      <c r="G11" s="1">
        <v>1033</v>
      </c>
      <c r="H11" s="21">
        <v>1977</v>
      </c>
      <c r="I11" s="94"/>
      <c r="J11" s="23">
        <v>30363</v>
      </c>
      <c r="K11" s="1">
        <v>17589</v>
      </c>
      <c r="L11" s="1">
        <v>4217</v>
      </c>
      <c r="M11" s="1">
        <v>27222</v>
      </c>
      <c r="N11" s="29">
        <v>5235</v>
      </c>
      <c r="O11" s="119" t="s">
        <v>92</v>
      </c>
      <c r="P11" s="12">
        <v>201</v>
      </c>
      <c r="Q11" s="1">
        <f>38019+75991</f>
        <v>114010</v>
      </c>
    </row>
    <row r="12" spans="1:17" x14ac:dyDescent="0.25">
      <c r="A12" s="1">
        <v>10</v>
      </c>
      <c r="B12" s="1" t="s">
        <v>9</v>
      </c>
      <c r="C12" s="1">
        <v>10255</v>
      </c>
      <c r="D12" s="1">
        <v>16678</v>
      </c>
      <c r="E12" s="1">
        <v>1172</v>
      </c>
      <c r="F12" s="1">
        <v>4615</v>
      </c>
      <c r="G12" s="1">
        <v>891</v>
      </c>
      <c r="H12" s="21">
        <v>1172</v>
      </c>
      <c r="I12" s="94"/>
      <c r="J12" s="23">
        <v>29570</v>
      </c>
      <c r="K12" s="1">
        <v>18560</v>
      </c>
      <c r="L12" s="1">
        <v>3237</v>
      </c>
      <c r="M12" s="1">
        <v>27158</v>
      </c>
      <c r="N12" s="29">
        <v>5243</v>
      </c>
      <c r="O12" s="119" t="s">
        <v>91</v>
      </c>
      <c r="P12" s="12">
        <v>201</v>
      </c>
      <c r="Q12" s="1">
        <f>33250+75396</f>
        <v>108646</v>
      </c>
    </row>
    <row r="13" spans="1:17" x14ac:dyDescent="0.25">
      <c r="A13" s="1">
        <v>11</v>
      </c>
      <c r="B13" s="1" t="s">
        <v>10</v>
      </c>
      <c r="C13" s="1">
        <v>11041</v>
      </c>
      <c r="D13" s="1">
        <v>18527</v>
      </c>
      <c r="E13" s="1">
        <v>1391</v>
      </c>
      <c r="F13" s="1">
        <v>5587</v>
      </c>
      <c r="G13" s="1">
        <v>1060</v>
      </c>
      <c r="H13" s="21">
        <v>3237</v>
      </c>
      <c r="I13" s="94"/>
      <c r="J13" s="23">
        <v>28263</v>
      </c>
      <c r="K13" s="1">
        <v>27827</v>
      </c>
      <c r="L13" s="1">
        <v>3780</v>
      </c>
      <c r="M13" s="1">
        <v>25548</v>
      </c>
      <c r="N13" s="29">
        <v>4884</v>
      </c>
      <c r="O13" s="120">
        <v>48</v>
      </c>
      <c r="P13" s="12">
        <v>194</v>
      </c>
      <c r="Q13" s="1">
        <f>37074+72720</f>
        <v>109794</v>
      </c>
    </row>
    <row r="14" spans="1:17" x14ac:dyDescent="0.25">
      <c r="A14" s="1">
        <v>12</v>
      </c>
      <c r="B14" s="1" t="s">
        <v>11</v>
      </c>
      <c r="C14" s="1">
        <v>11582</v>
      </c>
      <c r="D14" s="1">
        <v>18467</v>
      </c>
      <c r="E14" s="1">
        <v>1626</v>
      </c>
      <c r="F14" s="1">
        <v>5401</v>
      </c>
      <c r="G14" s="1">
        <v>1025</v>
      </c>
      <c r="H14" s="21">
        <v>3780</v>
      </c>
      <c r="I14" s="94"/>
      <c r="J14" s="23">
        <v>28916</v>
      </c>
      <c r="K14" s="1">
        <v>29423</v>
      </c>
      <c r="L14" s="1">
        <v>3564</v>
      </c>
      <c r="M14" s="1">
        <v>26739</v>
      </c>
      <c r="N14" s="29">
        <v>5073</v>
      </c>
      <c r="O14" s="119" t="s">
        <v>42</v>
      </c>
      <c r="P14" s="12">
        <v>205</v>
      </c>
      <c r="Q14" s="1">
        <f>37739+73640</f>
        <v>111379</v>
      </c>
    </row>
    <row r="15" spans="1:17" s="17" customFormat="1" ht="15.75" thickBot="1" x14ac:dyDescent="0.3">
      <c r="A15" s="150" t="s">
        <v>21</v>
      </c>
      <c r="B15" s="150"/>
      <c r="C15" s="18">
        <f t="shared" ref="C15:N15" si="0">SUM(C3:C14)</f>
        <v>120195.67</v>
      </c>
      <c r="D15" s="18">
        <f t="shared" si="0"/>
        <v>246424.25</v>
      </c>
      <c r="E15" s="18">
        <f t="shared" si="0"/>
        <v>16736.59</v>
      </c>
      <c r="F15" s="18">
        <f t="shared" si="0"/>
        <v>56884.73</v>
      </c>
      <c r="G15" s="18">
        <f t="shared" si="0"/>
        <v>11482</v>
      </c>
      <c r="H15" s="22">
        <f t="shared" si="0"/>
        <v>16777</v>
      </c>
      <c r="I15" s="95"/>
      <c r="J15" s="109">
        <f t="shared" si="0"/>
        <v>380800.77</v>
      </c>
      <c r="K15" s="30">
        <f t="shared" si="0"/>
        <v>318353.55999999994</v>
      </c>
      <c r="L15" s="30">
        <f t="shared" si="0"/>
        <v>45133.61</v>
      </c>
      <c r="M15" s="30">
        <f t="shared" si="0"/>
        <v>305276.19</v>
      </c>
      <c r="N15" s="31">
        <f t="shared" si="0"/>
        <v>62721</v>
      </c>
      <c r="O15" s="121" t="s">
        <v>290</v>
      </c>
      <c r="P15" s="19">
        <v>2517</v>
      </c>
      <c r="Q15" s="18">
        <f>SUM(Q3:Q8)</f>
        <v>698114.7</v>
      </c>
    </row>
    <row r="16" spans="1:17" s="17" customFormat="1" x14ac:dyDescent="0.25">
      <c r="A16" s="36"/>
      <c r="B16" s="37"/>
      <c r="C16" s="38"/>
      <c r="D16" s="38"/>
      <c r="E16" s="24"/>
      <c r="F16" s="39"/>
      <c r="G16" s="39"/>
      <c r="H16" s="39"/>
      <c r="I16" s="39"/>
      <c r="J16" s="39"/>
      <c r="K16" s="39"/>
      <c r="L16" s="39"/>
      <c r="M16" s="39"/>
      <c r="N16" s="39"/>
      <c r="O16" s="40"/>
      <c r="P16" s="41"/>
      <c r="Q16" s="39"/>
    </row>
    <row r="17" spans="1:16" x14ac:dyDescent="0.25">
      <c r="A17" s="142" t="s">
        <v>22</v>
      </c>
      <c r="B17" s="143"/>
      <c r="C17" s="143"/>
      <c r="D17" s="143"/>
      <c r="E17" s="144"/>
      <c r="O17" s="10"/>
      <c r="P17" s="11"/>
    </row>
    <row r="18" spans="1:16" x14ac:dyDescent="0.25">
      <c r="A18" s="145" t="s">
        <v>141</v>
      </c>
      <c r="B18" s="145"/>
      <c r="C18" s="145"/>
      <c r="D18" s="145"/>
      <c r="E18" s="157"/>
      <c r="F18" s="25"/>
      <c r="G18" s="42"/>
      <c r="H18" s="42"/>
      <c r="I18" s="42"/>
      <c r="J18" s="43"/>
      <c r="K18" s="7"/>
      <c r="L18" s="4"/>
      <c r="M18" s="4"/>
      <c r="N18" s="4"/>
      <c r="O18" s="10"/>
      <c r="P18" s="11"/>
    </row>
    <row r="19" spans="1:16" x14ac:dyDescent="0.25">
      <c r="A19" s="145" t="s">
        <v>142</v>
      </c>
      <c r="B19" s="145"/>
      <c r="C19" s="145"/>
      <c r="D19" s="145"/>
      <c r="E19" s="157"/>
      <c r="F19" s="25"/>
      <c r="G19" s="42"/>
      <c r="H19" s="42"/>
      <c r="I19" s="42"/>
      <c r="J19" s="43"/>
      <c r="K19" s="7"/>
      <c r="L19" s="4"/>
      <c r="M19" s="4"/>
      <c r="N19" s="4"/>
      <c r="O19" s="10"/>
      <c r="P19" s="11"/>
    </row>
    <row r="20" spans="1:16" x14ac:dyDescent="0.25">
      <c r="A20" s="145" t="s">
        <v>143</v>
      </c>
      <c r="B20" s="145"/>
      <c r="C20" s="145"/>
      <c r="D20" s="145"/>
      <c r="E20" s="157"/>
      <c r="F20" s="25"/>
      <c r="G20" s="42"/>
      <c r="H20" s="42"/>
      <c r="I20" s="42"/>
      <c r="J20" s="43"/>
      <c r="K20" s="7"/>
      <c r="L20" s="4"/>
      <c r="M20" s="4"/>
      <c r="N20" s="4"/>
      <c r="O20" s="10"/>
      <c r="P20" s="11"/>
    </row>
    <row r="21" spans="1:16" x14ac:dyDescent="0.25">
      <c r="A21" s="145" t="s">
        <v>144</v>
      </c>
      <c r="B21" s="145"/>
      <c r="C21" s="145"/>
      <c r="D21" s="145"/>
      <c r="E21" s="157"/>
      <c r="F21" s="25"/>
      <c r="G21" s="42"/>
      <c r="H21" s="42"/>
      <c r="I21" s="42"/>
      <c r="J21" s="43"/>
      <c r="K21" s="7"/>
      <c r="L21" s="4"/>
      <c r="M21" s="4"/>
      <c r="N21" s="4"/>
      <c r="O21" s="10"/>
      <c r="P21" s="11"/>
    </row>
    <row r="22" spans="1:16" x14ac:dyDescent="0.25">
      <c r="A22" s="145" t="s">
        <v>145</v>
      </c>
      <c r="B22" s="145"/>
      <c r="C22" s="145"/>
      <c r="D22" s="145"/>
      <c r="E22" s="157"/>
      <c r="F22" s="25"/>
      <c r="G22" s="42"/>
      <c r="H22" s="42"/>
      <c r="I22" s="42"/>
      <c r="J22" s="43"/>
      <c r="K22" s="7"/>
      <c r="L22" s="4"/>
      <c r="M22" s="4"/>
      <c r="N22" s="4"/>
      <c r="O22" s="10"/>
      <c r="P22" s="11"/>
    </row>
    <row r="23" spans="1:16" ht="24.75" customHeight="1" x14ac:dyDescent="0.25">
      <c r="A23" s="141" t="s">
        <v>160</v>
      </c>
      <c r="B23" s="141"/>
      <c r="C23" s="141"/>
      <c r="D23" s="141"/>
      <c r="E23" s="151"/>
      <c r="F23" s="25"/>
      <c r="G23" s="42"/>
      <c r="H23" s="42"/>
      <c r="I23" s="42"/>
      <c r="J23" s="44"/>
      <c r="K23" s="5"/>
      <c r="L23" s="5"/>
      <c r="M23" s="5"/>
      <c r="N23" s="5"/>
      <c r="O23" s="10"/>
      <c r="P23" s="11"/>
    </row>
  </sheetData>
  <mergeCells count="12">
    <mergeCell ref="A23:E23"/>
    <mergeCell ref="A1:A2"/>
    <mergeCell ref="B1:B2"/>
    <mergeCell ref="C1:H1"/>
    <mergeCell ref="J1:N1"/>
    <mergeCell ref="A15:B15"/>
    <mergeCell ref="A17:E17"/>
    <mergeCell ref="A18:E18"/>
    <mergeCell ref="A19:E19"/>
    <mergeCell ref="A20:E20"/>
    <mergeCell ref="A21:E21"/>
    <mergeCell ref="A22:E22"/>
  </mergeCells>
  <pageMargins left="0.7" right="0.7" top="0.75" bottom="0.75" header="0.3" footer="0.3"/>
  <ignoredErrors>
    <ignoredError sqref="O3:O1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workbookViewId="0">
      <selection activeCell="O23" sqref="O23"/>
    </sheetView>
  </sheetViews>
  <sheetFormatPr defaultRowHeight="15" x14ac:dyDescent="0.25"/>
  <cols>
    <col min="1" max="1" width="8.140625" customWidth="1"/>
    <col min="2" max="2" width="15" customWidth="1"/>
    <col min="13" max="15" width="12.5703125" customWidth="1"/>
  </cols>
  <sheetData>
    <row r="2" spans="1:16" x14ac:dyDescent="0.25">
      <c r="A2" s="146" t="s">
        <v>12</v>
      </c>
      <c r="B2" s="148" t="s">
        <v>13</v>
      </c>
      <c r="C2" s="140" t="s">
        <v>19</v>
      </c>
      <c r="D2" s="140"/>
      <c r="E2" s="140"/>
      <c r="F2" s="140"/>
      <c r="G2" s="154"/>
      <c r="H2" s="110"/>
      <c r="I2" s="140" t="s">
        <v>20</v>
      </c>
      <c r="J2" s="140"/>
      <c r="K2" s="140"/>
      <c r="L2" s="140"/>
      <c r="M2" s="140"/>
      <c r="N2" s="115"/>
      <c r="O2" s="115"/>
    </row>
    <row r="3" spans="1:16" ht="74.25" customHeight="1" x14ac:dyDescent="0.25">
      <c r="A3" s="147"/>
      <c r="B3" s="149"/>
      <c r="C3" s="2" t="s">
        <v>14</v>
      </c>
      <c r="D3" s="3" t="s">
        <v>15</v>
      </c>
      <c r="E3" s="3" t="s">
        <v>16</v>
      </c>
      <c r="F3" s="2" t="s">
        <v>17</v>
      </c>
      <c r="G3" s="20" t="s">
        <v>18</v>
      </c>
      <c r="H3" s="111"/>
      <c r="I3" s="2" t="s">
        <v>14</v>
      </c>
      <c r="J3" s="3" t="s">
        <v>15</v>
      </c>
      <c r="K3" s="3" t="s">
        <v>16</v>
      </c>
      <c r="L3" s="2" t="s">
        <v>17</v>
      </c>
      <c r="M3" s="3" t="s">
        <v>18</v>
      </c>
      <c r="N3" s="3" t="s">
        <v>288</v>
      </c>
      <c r="O3" s="3" t="s">
        <v>289</v>
      </c>
      <c r="P3" s="6" t="s">
        <v>80</v>
      </c>
    </row>
    <row r="4" spans="1:16" x14ac:dyDescent="0.25">
      <c r="A4" s="1">
        <v>1</v>
      </c>
      <c r="B4" s="1" t="s">
        <v>0</v>
      </c>
      <c r="C4" s="1">
        <v>2297</v>
      </c>
      <c r="D4" s="1">
        <v>16985</v>
      </c>
      <c r="E4" s="1">
        <v>638</v>
      </c>
      <c r="F4" s="1">
        <v>1117</v>
      </c>
      <c r="G4" s="21">
        <v>280</v>
      </c>
      <c r="H4" s="99"/>
      <c r="I4" s="1">
        <v>31496</v>
      </c>
      <c r="J4" s="1">
        <v>16711</v>
      </c>
      <c r="K4" s="1">
        <v>2162</v>
      </c>
      <c r="L4" s="1">
        <v>15313</v>
      </c>
      <c r="M4" s="1">
        <v>3838</v>
      </c>
      <c r="N4" s="116">
        <v>27</v>
      </c>
      <c r="O4" s="117">
        <v>151</v>
      </c>
      <c r="P4" s="1">
        <v>79140</v>
      </c>
    </row>
    <row r="5" spans="1:16" x14ac:dyDescent="0.25">
      <c r="A5" s="1">
        <v>2</v>
      </c>
      <c r="B5" s="1" t="s">
        <v>1</v>
      </c>
      <c r="C5" s="1">
        <v>6302</v>
      </c>
      <c r="D5" s="1">
        <v>20914</v>
      </c>
      <c r="E5" s="1">
        <v>777</v>
      </c>
      <c r="F5" s="1">
        <v>1453</v>
      </c>
      <c r="G5" s="21">
        <v>368</v>
      </c>
      <c r="H5" s="99"/>
      <c r="I5" s="1">
        <v>22001</v>
      </c>
      <c r="J5" s="1">
        <v>20701</v>
      </c>
      <c r="K5" s="1">
        <v>2438</v>
      </c>
      <c r="L5" s="1">
        <v>14666</v>
      </c>
      <c r="M5" s="1">
        <v>3713</v>
      </c>
      <c r="N5" s="116">
        <v>39</v>
      </c>
      <c r="O5" s="117">
        <v>162</v>
      </c>
      <c r="P5" s="1">
        <v>90440</v>
      </c>
    </row>
    <row r="6" spans="1:16" x14ac:dyDescent="0.25">
      <c r="A6" s="1">
        <v>3</v>
      </c>
      <c r="B6" s="1" t="s">
        <v>2</v>
      </c>
      <c r="C6" s="1">
        <v>2628</v>
      </c>
      <c r="D6" s="1">
        <v>19998</v>
      </c>
      <c r="E6" s="1">
        <v>851</v>
      </c>
      <c r="F6" s="1">
        <v>1409</v>
      </c>
      <c r="G6" s="21">
        <v>366</v>
      </c>
      <c r="H6" s="99"/>
      <c r="I6" s="1">
        <v>30436</v>
      </c>
      <c r="J6" s="1">
        <v>21382</v>
      </c>
      <c r="K6" s="1">
        <v>2281</v>
      </c>
      <c r="L6" s="1">
        <v>16316</v>
      </c>
      <c r="M6" s="1">
        <v>4238</v>
      </c>
      <c r="N6" s="116">
        <v>35</v>
      </c>
      <c r="O6" s="117">
        <v>168</v>
      </c>
      <c r="P6" s="1">
        <v>90740</v>
      </c>
    </row>
    <row r="7" spans="1:16" x14ac:dyDescent="0.25">
      <c r="A7" s="1">
        <v>4</v>
      </c>
      <c r="B7" s="1" t="s">
        <v>3</v>
      </c>
      <c r="C7" s="1">
        <v>2808</v>
      </c>
      <c r="D7" s="1">
        <v>20509</v>
      </c>
      <c r="E7" s="1">
        <v>797</v>
      </c>
      <c r="F7" s="1">
        <v>1400</v>
      </c>
      <c r="G7" s="21">
        <v>359</v>
      </c>
      <c r="H7" s="99"/>
      <c r="I7" s="1">
        <v>31471</v>
      </c>
      <c r="J7" s="1">
        <v>23220</v>
      </c>
      <c r="K7" s="1">
        <v>2494</v>
      </c>
      <c r="L7" s="1">
        <v>15689</v>
      </c>
      <c r="M7" s="1">
        <v>4023</v>
      </c>
      <c r="N7" s="116">
        <v>33</v>
      </c>
      <c r="O7" s="117">
        <v>176</v>
      </c>
      <c r="P7" s="1">
        <v>88080</v>
      </c>
    </row>
    <row r="8" spans="1:16" x14ac:dyDescent="0.25">
      <c r="A8" s="1">
        <v>5</v>
      </c>
      <c r="B8" s="1" t="s">
        <v>4</v>
      </c>
      <c r="C8" s="1">
        <v>3153</v>
      </c>
      <c r="D8" s="1">
        <v>20000</v>
      </c>
      <c r="E8" s="1">
        <v>1025</v>
      </c>
      <c r="F8" s="1">
        <v>1912</v>
      </c>
      <c r="G8" s="21">
        <v>478</v>
      </c>
      <c r="H8" s="99"/>
      <c r="I8" s="1">
        <v>27390</v>
      </c>
      <c r="J8" s="1">
        <v>11940</v>
      </c>
      <c r="K8" s="1">
        <v>2483</v>
      </c>
      <c r="L8" s="1">
        <v>16604</v>
      </c>
      <c r="M8" s="1">
        <v>4151</v>
      </c>
      <c r="N8" s="116">
        <v>45</v>
      </c>
      <c r="O8" s="117">
        <v>176</v>
      </c>
      <c r="P8" s="1">
        <v>99480</v>
      </c>
    </row>
    <row r="9" spans="1:16" x14ac:dyDescent="0.25">
      <c r="A9" s="1">
        <v>6</v>
      </c>
      <c r="B9" s="1" t="s">
        <v>5</v>
      </c>
      <c r="C9" s="1">
        <v>3466</v>
      </c>
      <c r="D9" s="1">
        <v>24856</v>
      </c>
      <c r="E9" s="1">
        <v>1158</v>
      </c>
      <c r="F9" s="1">
        <v>2061</v>
      </c>
      <c r="G9" s="21">
        <v>518</v>
      </c>
      <c r="H9" s="99"/>
      <c r="I9" s="1">
        <v>26837</v>
      </c>
      <c r="J9" s="1">
        <v>10244</v>
      </c>
      <c r="K9" s="1">
        <v>2157</v>
      </c>
      <c r="L9" s="1">
        <v>15960</v>
      </c>
      <c r="M9" s="1">
        <v>4010</v>
      </c>
      <c r="N9" s="116">
        <v>47</v>
      </c>
      <c r="O9" s="117">
        <v>178</v>
      </c>
      <c r="P9" s="1">
        <v>98310</v>
      </c>
    </row>
    <row r="10" spans="1:16" x14ac:dyDescent="0.25">
      <c r="A10" s="1">
        <v>7</v>
      </c>
      <c r="B10" s="1" t="s">
        <v>6</v>
      </c>
      <c r="C10" s="1">
        <v>9698</v>
      </c>
      <c r="D10" s="1">
        <v>19799</v>
      </c>
      <c r="E10" s="1">
        <v>1311</v>
      </c>
      <c r="F10" s="1">
        <v>1994</v>
      </c>
      <c r="G10" s="21">
        <v>500</v>
      </c>
      <c r="H10" s="99"/>
      <c r="I10" s="1">
        <v>22782</v>
      </c>
      <c r="J10" s="1">
        <v>15934</v>
      </c>
      <c r="K10" s="1">
        <v>2914</v>
      </c>
      <c r="L10" s="1">
        <v>16627</v>
      </c>
      <c r="M10" s="1">
        <v>4167</v>
      </c>
      <c r="N10" s="116">
        <v>37</v>
      </c>
      <c r="O10" s="117">
        <v>165</v>
      </c>
      <c r="P10" s="16">
        <f>51250+48465</f>
        <v>99715</v>
      </c>
    </row>
    <row r="11" spans="1:16" x14ac:dyDescent="0.25">
      <c r="A11" s="1">
        <v>8</v>
      </c>
      <c r="B11" s="1" t="s">
        <v>7</v>
      </c>
      <c r="C11" s="1">
        <v>13966</v>
      </c>
      <c r="D11" s="1">
        <v>18513</v>
      </c>
      <c r="E11" s="1">
        <v>1375</v>
      </c>
      <c r="F11" s="1">
        <v>2003</v>
      </c>
      <c r="G11" s="21">
        <v>506</v>
      </c>
      <c r="H11" s="99"/>
      <c r="I11" s="1">
        <v>19296</v>
      </c>
      <c r="J11" s="1">
        <v>19718</v>
      </c>
      <c r="K11" s="1">
        <v>2627</v>
      </c>
      <c r="L11" s="1">
        <v>16220</v>
      </c>
      <c r="M11" s="1">
        <v>4097</v>
      </c>
      <c r="N11" s="116">
        <v>51</v>
      </c>
      <c r="O11" s="117">
        <v>180</v>
      </c>
      <c r="P11" s="1">
        <v>102375</v>
      </c>
    </row>
    <row r="12" spans="1:16" x14ac:dyDescent="0.25">
      <c r="A12" s="1">
        <v>9</v>
      </c>
      <c r="B12" s="1" t="s">
        <v>8</v>
      </c>
      <c r="C12" s="1">
        <v>11999</v>
      </c>
      <c r="D12" s="1">
        <v>24117</v>
      </c>
      <c r="E12" s="1">
        <v>1307</v>
      </c>
      <c r="F12" s="1">
        <v>2568</v>
      </c>
      <c r="G12" s="21">
        <v>642</v>
      </c>
      <c r="H12" s="99"/>
      <c r="I12" s="1">
        <v>19286</v>
      </c>
      <c r="J12" s="1">
        <v>10954</v>
      </c>
      <c r="K12" s="1">
        <v>2546</v>
      </c>
      <c r="L12" s="1">
        <v>15760</v>
      </c>
      <c r="M12" s="1">
        <v>3940</v>
      </c>
      <c r="N12" s="116">
        <v>63</v>
      </c>
      <c r="O12" s="117">
        <v>188</v>
      </c>
      <c r="P12" s="1">
        <v>110640</v>
      </c>
    </row>
    <row r="13" spans="1:16" x14ac:dyDescent="0.25">
      <c r="A13" s="1">
        <v>10</v>
      </c>
      <c r="B13" s="1" t="s">
        <v>9</v>
      </c>
      <c r="C13" s="1">
        <v>7999</v>
      </c>
      <c r="D13" s="1">
        <v>17000</v>
      </c>
      <c r="E13" s="1">
        <v>802</v>
      </c>
      <c r="F13" s="1">
        <v>1603</v>
      </c>
      <c r="G13" s="21">
        <v>406</v>
      </c>
      <c r="H13" s="99"/>
      <c r="I13" s="1">
        <v>22685</v>
      </c>
      <c r="J13" s="1">
        <v>14017</v>
      </c>
      <c r="K13" s="1">
        <v>2859</v>
      </c>
      <c r="L13" s="1">
        <v>17210</v>
      </c>
      <c r="M13" s="1">
        <v>4357</v>
      </c>
      <c r="N13" s="116">
        <v>40</v>
      </c>
      <c r="O13" s="117">
        <v>178</v>
      </c>
      <c r="P13" s="1">
        <v>96395</v>
      </c>
    </row>
    <row r="14" spans="1:16" x14ac:dyDescent="0.25">
      <c r="A14" s="1">
        <v>11</v>
      </c>
      <c r="B14" s="1" t="s">
        <v>10</v>
      </c>
      <c r="C14" s="1">
        <v>6007</v>
      </c>
      <c r="D14" s="1">
        <v>17697</v>
      </c>
      <c r="E14" s="1">
        <v>764</v>
      </c>
      <c r="F14" s="1">
        <v>1324</v>
      </c>
      <c r="G14" s="21">
        <v>338</v>
      </c>
      <c r="H14" s="99"/>
      <c r="I14" s="1">
        <v>26321</v>
      </c>
      <c r="J14" s="1">
        <v>15041</v>
      </c>
      <c r="K14" s="1">
        <v>2762</v>
      </c>
      <c r="L14" s="1">
        <v>16127</v>
      </c>
      <c r="M14" s="1">
        <v>4114</v>
      </c>
      <c r="N14" s="116">
        <v>34</v>
      </c>
      <c r="O14" s="117">
        <v>178</v>
      </c>
      <c r="P14" s="1">
        <v>89790</v>
      </c>
    </row>
    <row r="15" spans="1:16" x14ac:dyDescent="0.25">
      <c r="A15" s="1">
        <v>12</v>
      </c>
      <c r="B15" s="1" t="s">
        <v>11</v>
      </c>
      <c r="C15" s="1">
        <v>2294</v>
      </c>
      <c r="D15" s="1">
        <v>21999</v>
      </c>
      <c r="E15" s="1">
        <v>848</v>
      </c>
      <c r="F15" s="1">
        <v>1327</v>
      </c>
      <c r="G15" s="21">
        <v>337</v>
      </c>
      <c r="H15" s="99"/>
      <c r="I15" s="1">
        <v>28787</v>
      </c>
      <c r="J15" s="1">
        <v>30401</v>
      </c>
      <c r="K15" s="1">
        <v>3749</v>
      </c>
      <c r="L15" s="1">
        <v>16655</v>
      </c>
      <c r="M15" s="1">
        <v>4227</v>
      </c>
      <c r="N15" s="116">
        <v>36</v>
      </c>
      <c r="O15" s="117">
        <v>174</v>
      </c>
      <c r="P15" s="1">
        <v>90870</v>
      </c>
    </row>
    <row r="16" spans="1:16" s="17" customFormat="1" x14ac:dyDescent="0.25">
      <c r="A16" s="150" t="s">
        <v>21</v>
      </c>
      <c r="B16" s="150"/>
      <c r="C16" s="18">
        <f t="shared" ref="C16:M16" si="0">SUM(C4:C15)</f>
        <v>72617</v>
      </c>
      <c r="D16" s="18">
        <f t="shared" si="0"/>
        <v>242387</v>
      </c>
      <c r="E16" s="18">
        <f t="shared" si="0"/>
        <v>11653</v>
      </c>
      <c r="F16" s="18">
        <f t="shared" si="0"/>
        <v>20171</v>
      </c>
      <c r="G16" s="22">
        <f t="shared" si="0"/>
        <v>5098</v>
      </c>
      <c r="H16" s="112"/>
      <c r="I16" s="18">
        <f t="shared" si="0"/>
        <v>308788</v>
      </c>
      <c r="J16" s="18">
        <f t="shared" si="0"/>
        <v>210263</v>
      </c>
      <c r="K16" s="18">
        <f t="shared" si="0"/>
        <v>31472</v>
      </c>
      <c r="L16" s="18">
        <f t="shared" si="0"/>
        <v>193147</v>
      </c>
      <c r="M16" s="18">
        <f t="shared" si="0"/>
        <v>48875</v>
      </c>
      <c r="N16" s="18">
        <v>487</v>
      </c>
      <c r="O16" s="18">
        <v>2074</v>
      </c>
      <c r="P16" s="18">
        <f>SUM(P4:P15)</f>
        <v>1135975</v>
      </c>
    </row>
    <row r="17" spans="1:16" s="17" customFormat="1" x14ac:dyDescent="0.25">
      <c r="A17" s="36"/>
      <c r="B17" s="37"/>
      <c r="C17" s="38"/>
      <c r="D17" s="38"/>
      <c r="E17" s="24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</row>
    <row r="18" spans="1:16" x14ac:dyDescent="0.25">
      <c r="A18" s="142" t="s">
        <v>22</v>
      </c>
      <c r="B18" s="143"/>
      <c r="C18" s="143"/>
      <c r="D18" s="143"/>
      <c r="E18" s="144"/>
    </row>
    <row r="19" spans="1:16" x14ac:dyDescent="0.25">
      <c r="A19" s="145" t="s">
        <v>146</v>
      </c>
      <c r="B19" s="145"/>
      <c r="C19" s="145"/>
      <c r="D19" s="145"/>
      <c r="E19" s="145"/>
      <c r="J19" s="164"/>
      <c r="K19" s="164"/>
      <c r="L19" s="164"/>
      <c r="M19" s="164"/>
      <c r="N19" s="113"/>
      <c r="O19" s="113"/>
    </row>
    <row r="20" spans="1:16" x14ac:dyDescent="0.25">
      <c r="A20" s="145" t="s">
        <v>147</v>
      </c>
      <c r="B20" s="145"/>
      <c r="C20" s="145"/>
      <c r="D20" s="145"/>
      <c r="E20" s="145"/>
      <c r="J20" s="164"/>
      <c r="K20" s="164"/>
      <c r="L20" s="164"/>
      <c r="M20" s="164"/>
      <c r="N20" s="113"/>
      <c r="O20" s="113"/>
    </row>
    <row r="21" spans="1:16" x14ac:dyDescent="0.25">
      <c r="A21" s="145" t="s">
        <v>148</v>
      </c>
      <c r="B21" s="145"/>
      <c r="C21" s="145"/>
      <c r="D21" s="145"/>
      <c r="E21" s="145"/>
      <c r="J21" s="164"/>
      <c r="K21" s="164"/>
      <c r="L21" s="164"/>
      <c r="M21" s="164"/>
      <c r="N21" s="113"/>
      <c r="O21" s="113"/>
    </row>
    <row r="22" spans="1:16" x14ac:dyDescent="0.25">
      <c r="A22" s="145" t="s">
        <v>149</v>
      </c>
      <c r="B22" s="145"/>
      <c r="C22" s="145"/>
      <c r="D22" s="145"/>
      <c r="E22" s="145"/>
      <c r="J22" s="164"/>
      <c r="K22" s="164"/>
      <c r="L22" s="164"/>
      <c r="M22" s="164"/>
      <c r="N22" s="113"/>
      <c r="O22" s="113"/>
    </row>
    <row r="23" spans="1:16" s="45" customFormat="1" ht="25.5" customHeight="1" x14ac:dyDescent="0.25">
      <c r="A23" s="141" t="s">
        <v>161</v>
      </c>
      <c r="B23" s="141"/>
      <c r="C23" s="141"/>
      <c r="D23" s="141"/>
      <c r="E23" s="141"/>
      <c r="I23" s="165"/>
      <c r="J23" s="165"/>
      <c r="K23" s="165"/>
      <c r="L23" s="165"/>
      <c r="M23" s="165"/>
      <c r="N23" s="114"/>
      <c r="O23" s="114"/>
    </row>
  </sheetData>
  <mergeCells count="16">
    <mergeCell ref="A22:E22"/>
    <mergeCell ref="J22:M22"/>
    <mergeCell ref="A23:E23"/>
    <mergeCell ref="I23:M23"/>
    <mergeCell ref="A19:E19"/>
    <mergeCell ref="J19:M19"/>
    <mergeCell ref="A20:E20"/>
    <mergeCell ref="J20:M20"/>
    <mergeCell ref="A21:E21"/>
    <mergeCell ref="J21:M21"/>
    <mergeCell ref="A18:E18"/>
    <mergeCell ref="A2:A3"/>
    <mergeCell ref="B2:B3"/>
    <mergeCell ref="C2:G2"/>
    <mergeCell ref="I2:M2"/>
    <mergeCell ref="A16:B16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13" workbookViewId="0">
      <selection activeCell="K6" sqref="K6"/>
    </sheetView>
  </sheetViews>
  <sheetFormatPr defaultRowHeight="15" x14ac:dyDescent="0.25"/>
  <cols>
    <col min="1" max="1" width="13.42578125" customWidth="1"/>
    <col min="2" max="2" width="17.5703125" customWidth="1"/>
    <col min="3" max="3" width="18.7109375" customWidth="1"/>
    <col min="4" max="4" width="15.5703125" customWidth="1"/>
    <col min="5" max="5" width="14.85546875" customWidth="1"/>
    <col min="6" max="6" width="11.7109375" customWidth="1"/>
    <col min="8" max="8" width="23.140625" customWidth="1"/>
  </cols>
  <sheetData>
    <row r="1" spans="1:8" ht="45" x14ac:dyDescent="0.25">
      <c r="A1" s="51" t="s">
        <v>162</v>
      </c>
      <c r="B1" s="51" t="s">
        <v>163</v>
      </c>
      <c r="C1" s="52" t="s">
        <v>164</v>
      </c>
      <c r="D1" s="52" t="s">
        <v>165</v>
      </c>
      <c r="E1" s="51" t="s">
        <v>166</v>
      </c>
      <c r="F1" s="51" t="s">
        <v>167</v>
      </c>
      <c r="G1" s="51" t="s">
        <v>168</v>
      </c>
      <c r="H1" s="51" t="s">
        <v>169</v>
      </c>
    </row>
    <row r="2" spans="1:8" ht="65.25" customHeight="1" x14ac:dyDescent="0.25">
      <c r="A2" s="53" t="s">
        <v>170</v>
      </c>
      <c r="B2" s="53" t="s">
        <v>171</v>
      </c>
      <c r="C2" s="53" t="s">
        <v>172</v>
      </c>
      <c r="D2" s="53" t="s">
        <v>173</v>
      </c>
      <c r="E2" s="53" t="s">
        <v>174</v>
      </c>
      <c r="F2" s="53" t="s">
        <v>175</v>
      </c>
      <c r="G2" s="53" t="s">
        <v>176</v>
      </c>
      <c r="H2" s="53" t="s">
        <v>177</v>
      </c>
    </row>
    <row r="3" spans="1:8" ht="59.25" customHeight="1" x14ac:dyDescent="0.25">
      <c r="A3" s="53" t="s">
        <v>170</v>
      </c>
      <c r="B3" s="53" t="s">
        <v>171</v>
      </c>
      <c r="C3" s="53" t="s">
        <v>172</v>
      </c>
      <c r="D3" s="53" t="s">
        <v>173</v>
      </c>
      <c r="E3" s="53" t="s">
        <v>174</v>
      </c>
      <c r="F3" s="53" t="s">
        <v>175</v>
      </c>
      <c r="G3" s="53" t="s">
        <v>178</v>
      </c>
      <c r="H3" s="53" t="s">
        <v>177</v>
      </c>
    </row>
    <row r="4" spans="1:8" ht="25.5" x14ac:dyDescent="0.25">
      <c r="A4" s="53" t="s">
        <v>170</v>
      </c>
      <c r="B4" s="53" t="s">
        <v>171</v>
      </c>
      <c r="C4" s="53" t="s">
        <v>179</v>
      </c>
      <c r="D4" s="53" t="s">
        <v>180</v>
      </c>
      <c r="E4" s="53" t="s">
        <v>174</v>
      </c>
      <c r="F4" s="53" t="s">
        <v>175</v>
      </c>
      <c r="G4" s="53" t="s">
        <v>176</v>
      </c>
      <c r="H4" s="53" t="s">
        <v>181</v>
      </c>
    </row>
    <row r="5" spans="1:8" ht="60.75" customHeight="1" x14ac:dyDescent="0.25">
      <c r="A5" s="53" t="s">
        <v>170</v>
      </c>
      <c r="B5" s="53" t="s">
        <v>171</v>
      </c>
      <c r="C5" s="53" t="s">
        <v>179</v>
      </c>
      <c r="D5" s="53" t="s">
        <v>180</v>
      </c>
      <c r="E5" s="53" t="s">
        <v>182</v>
      </c>
      <c r="F5" s="53" t="s">
        <v>183</v>
      </c>
      <c r="G5" s="53" t="s">
        <v>184</v>
      </c>
      <c r="H5" s="53" t="s">
        <v>185</v>
      </c>
    </row>
    <row r="6" spans="1:8" ht="56.25" customHeight="1" x14ac:dyDescent="0.25">
      <c r="A6" s="53" t="s">
        <v>170</v>
      </c>
      <c r="B6" s="53" t="s">
        <v>171</v>
      </c>
      <c r="C6" s="53" t="s">
        <v>179</v>
      </c>
      <c r="D6" s="53" t="s">
        <v>180</v>
      </c>
      <c r="E6" s="53" t="s">
        <v>182</v>
      </c>
      <c r="F6" s="53" t="s">
        <v>183</v>
      </c>
      <c r="G6" s="53" t="s">
        <v>184</v>
      </c>
      <c r="H6" s="53" t="s">
        <v>185</v>
      </c>
    </row>
    <row r="7" spans="1:8" ht="68.25" customHeight="1" x14ac:dyDescent="0.25">
      <c r="A7" s="53" t="s">
        <v>170</v>
      </c>
      <c r="B7" s="53" t="s">
        <v>171</v>
      </c>
      <c r="C7" s="53" t="s">
        <v>179</v>
      </c>
      <c r="D7" s="53" t="s">
        <v>180</v>
      </c>
      <c r="E7" s="53" t="s">
        <v>186</v>
      </c>
      <c r="F7" s="53" t="s">
        <v>187</v>
      </c>
      <c r="G7" s="53" t="s">
        <v>188</v>
      </c>
      <c r="H7" s="53" t="s">
        <v>189</v>
      </c>
    </row>
    <row r="8" spans="1:8" ht="58.5" customHeight="1" x14ac:dyDescent="0.25">
      <c r="A8" s="53" t="s">
        <v>170</v>
      </c>
      <c r="B8" s="53" t="s">
        <v>171</v>
      </c>
      <c r="C8" s="53" t="s">
        <v>179</v>
      </c>
      <c r="D8" s="53" t="s">
        <v>180</v>
      </c>
      <c r="E8" s="53" t="s">
        <v>186</v>
      </c>
      <c r="F8" s="53" t="s">
        <v>187</v>
      </c>
      <c r="G8" s="53" t="s">
        <v>188</v>
      </c>
      <c r="H8" s="53" t="s">
        <v>185</v>
      </c>
    </row>
    <row r="9" spans="1:8" ht="25.5" x14ac:dyDescent="0.25">
      <c r="A9" s="53" t="s">
        <v>170</v>
      </c>
      <c r="B9" s="53" t="s">
        <v>171</v>
      </c>
      <c r="C9" s="53" t="s">
        <v>190</v>
      </c>
      <c r="D9" s="53" t="s">
        <v>191</v>
      </c>
      <c r="E9" s="53" t="s">
        <v>192</v>
      </c>
      <c r="F9" s="53" t="s">
        <v>193</v>
      </c>
      <c r="G9" s="53" t="s">
        <v>184</v>
      </c>
      <c r="H9" s="53" t="s">
        <v>194</v>
      </c>
    </row>
    <row r="10" spans="1:8" ht="57" customHeight="1" x14ac:dyDescent="0.25">
      <c r="A10" s="53" t="s">
        <v>170</v>
      </c>
      <c r="B10" s="53" t="s">
        <v>171</v>
      </c>
      <c r="C10" s="53" t="s">
        <v>195</v>
      </c>
      <c r="D10" s="53" t="s">
        <v>196</v>
      </c>
      <c r="E10" s="53" t="s">
        <v>192</v>
      </c>
      <c r="F10" s="53" t="s">
        <v>193</v>
      </c>
      <c r="G10" s="53" t="s">
        <v>197</v>
      </c>
      <c r="H10" s="53" t="s">
        <v>185</v>
      </c>
    </row>
    <row r="11" spans="1:8" ht="54.75" customHeight="1" x14ac:dyDescent="0.25">
      <c r="A11" s="53" t="s">
        <v>170</v>
      </c>
      <c r="B11" s="53" t="s">
        <v>171</v>
      </c>
      <c r="C11" s="53" t="s">
        <v>190</v>
      </c>
      <c r="D11" s="53" t="s">
        <v>191</v>
      </c>
      <c r="E11" s="53" t="s">
        <v>198</v>
      </c>
      <c r="F11" s="53" t="s">
        <v>199</v>
      </c>
      <c r="G11" s="53" t="s">
        <v>184</v>
      </c>
      <c r="H11" s="53" t="s">
        <v>177</v>
      </c>
    </row>
    <row r="12" spans="1:8" ht="54" customHeight="1" x14ac:dyDescent="0.25">
      <c r="A12" s="53" t="s">
        <v>170</v>
      </c>
      <c r="B12" s="53" t="s">
        <v>171</v>
      </c>
      <c r="C12" s="53" t="s">
        <v>190</v>
      </c>
      <c r="D12" s="53" t="s">
        <v>191</v>
      </c>
      <c r="E12" s="53" t="s">
        <v>198</v>
      </c>
      <c r="F12" s="53" t="s">
        <v>199</v>
      </c>
      <c r="G12" s="53" t="s">
        <v>200</v>
      </c>
      <c r="H12" s="53" t="s">
        <v>177</v>
      </c>
    </row>
    <row r="13" spans="1:8" ht="63.75" customHeight="1" x14ac:dyDescent="0.25">
      <c r="A13" s="53" t="s">
        <v>170</v>
      </c>
      <c r="B13" s="53" t="s">
        <v>171</v>
      </c>
      <c r="C13" s="53" t="s">
        <v>195</v>
      </c>
      <c r="D13" s="53" t="s">
        <v>196</v>
      </c>
      <c r="E13" s="53" t="s">
        <v>198</v>
      </c>
      <c r="F13" s="53" t="s">
        <v>199</v>
      </c>
      <c r="G13" s="53" t="s">
        <v>184</v>
      </c>
      <c r="H13" s="53" t="s">
        <v>177</v>
      </c>
    </row>
    <row r="14" spans="1:8" ht="58.5" customHeight="1" x14ac:dyDescent="0.25">
      <c r="A14" s="53" t="s">
        <v>170</v>
      </c>
      <c r="B14" s="53" t="s">
        <v>171</v>
      </c>
      <c r="C14" s="53" t="s">
        <v>190</v>
      </c>
      <c r="D14" s="53" t="s">
        <v>191</v>
      </c>
      <c r="E14" s="53" t="s">
        <v>201</v>
      </c>
      <c r="F14" s="53" t="s">
        <v>202</v>
      </c>
      <c r="G14" s="53" t="s">
        <v>184</v>
      </c>
      <c r="H14" s="53" t="s">
        <v>203</v>
      </c>
    </row>
    <row r="15" spans="1:8" ht="57" customHeight="1" x14ac:dyDescent="0.25">
      <c r="A15" s="53" t="s">
        <v>170</v>
      </c>
      <c r="B15" s="53" t="s">
        <v>171</v>
      </c>
      <c r="C15" s="53" t="s">
        <v>190</v>
      </c>
      <c r="D15" s="53" t="s">
        <v>191</v>
      </c>
      <c r="E15" s="53" t="s">
        <v>201</v>
      </c>
      <c r="F15" s="53" t="s">
        <v>202</v>
      </c>
      <c r="G15" s="53" t="s">
        <v>200</v>
      </c>
      <c r="H15" s="53" t="s">
        <v>177</v>
      </c>
    </row>
    <row r="16" spans="1:8" ht="25.5" x14ac:dyDescent="0.25">
      <c r="A16" s="53" t="s">
        <v>170</v>
      </c>
      <c r="B16" s="53" t="s">
        <v>171</v>
      </c>
      <c r="C16" s="53" t="s">
        <v>195</v>
      </c>
      <c r="D16" s="53" t="s">
        <v>196</v>
      </c>
      <c r="E16" s="53" t="s">
        <v>201</v>
      </c>
      <c r="F16" s="53" t="s">
        <v>202</v>
      </c>
      <c r="G16" s="53" t="s">
        <v>204</v>
      </c>
      <c r="H16" s="53" t="s">
        <v>194</v>
      </c>
    </row>
    <row r="17" spans="1:8" ht="25.5" x14ac:dyDescent="0.25">
      <c r="A17" s="53" t="s">
        <v>170</v>
      </c>
      <c r="B17" s="53" t="s">
        <v>171</v>
      </c>
      <c r="C17" s="53" t="s">
        <v>190</v>
      </c>
      <c r="D17" s="53" t="s">
        <v>191</v>
      </c>
      <c r="E17" s="53" t="s">
        <v>205</v>
      </c>
      <c r="F17" s="53" t="s">
        <v>206</v>
      </c>
      <c r="G17" s="53" t="s">
        <v>176</v>
      </c>
      <c r="H17" s="53" t="s">
        <v>194</v>
      </c>
    </row>
    <row r="18" spans="1:8" ht="25.5" x14ac:dyDescent="0.25">
      <c r="A18" s="53" t="s">
        <v>170</v>
      </c>
      <c r="B18" s="53" t="s">
        <v>171</v>
      </c>
      <c r="C18" s="53" t="s">
        <v>190</v>
      </c>
      <c r="D18" s="53" t="s">
        <v>191</v>
      </c>
      <c r="E18" s="53" t="s">
        <v>205</v>
      </c>
      <c r="F18" s="53" t="s">
        <v>206</v>
      </c>
      <c r="G18" s="53" t="s">
        <v>176</v>
      </c>
      <c r="H18" s="53" t="s">
        <v>207</v>
      </c>
    </row>
    <row r="19" spans="1:8" ht="59.25" customHeight="1" x14ac:dyDescent="0.25">
      <c r="A19" s="53" t="s">
        <v>170</v>
      </c>
      <c r="B19" s="53" t="s">
        <v>171</v>
      </c>
      <c r="C19" s="53" t="s">
        <v>190</v>
      </c>
      <c r="D19" s="53" t="s">
        <v>191</v>
      </c>
      <c r="E19" s="53" t="s">
        <v>205</v>
      </c>
      <c r="F19" s="53" t="s">
        <v>206</v>
      </c>
      <c r="G19" s="53" t="s">
        <v>208</v>
      </c>
      <c r="H19" s="53" t="s">
        <v>177</v>
      </c>
    </row>
    <row r="20" spans="1:8" ht="25.5" x14ac:dyDescent="0.25">
      <c r="A20" s="53" t="s">
        <v>170</v>
      </c>
      <c r="B20" s="53" t="s">
        <v>171</v>
      </c>
      <c r="C20" s="53" t="s">
        <v>190</v>
      </c>
      <c r="D20" s="53" t="s">
        <v>191</v>
      </c>
      <c r="E20" s="53" t="s">
        <v>209</v>
      </c>
      <c r="F20" s="53" t="s">
        <v>210</v>
      </c>
      <c r="G20" s="53" t="s">
        <v>188</v>
      </c>
      <c r="H20" s="53" t="s">
        <v>207</v>
      </c>
    </row>
    <row r="21" spans="1:8" ht="25.5" x14ac:dyDescent="0.25">
      <c r="A21" s="53" t="s">
        <v>170</v>
      </c>
      <c r="B21" s="53" t="s">
        <v>171</v>
      </c>
      <c r="C21" s="53" t="s">
        <v>211</v>
      </c>
      <c r="D21" s="53" t="s">
        <v>212</v>
      </c>
      <c r="E21" s="53" t="s">
        <v>209</v>
      </c>
      <c r="F21" s="53" t="s">
        <v>210</v>
      </c>
      <c r="G21" s="53" t="s">
        <v>188</v>
      </c>
      <c r="H21" s="53" t="s">
        <v>194</v>
      </c>
    </row>
    <row r="22" spans="1:8" ht="25.5" x14ac:dyDescent="0.25">
      <c r="A22" s="53" t="s">
        <v>170</v>
      </c>
      <c r="B22" s="53" t="s">
        <v>171</v>
      </c>
      <c r="C22" s="53" t="s">
        <v>213</v>
      </c>
      <c r="D22" s="53" t="s">
        <v>214</v>
      </c>
      <c r="E22" s="53" t="s">
        <v>209</v>
      </c>
      <c r="F22" s="53" t="s">
        <v>210</v>
      </c>
      <c r="G22" s="53" t="s">
        <v>188</v>
      </c>
      <c r="H22" s="53" t="s">
        <v>194</v>
      </c>
    </row>
    <row r="23" spans="1:8" ht="56.25" customHeight="1" x14ac:dyDescent="0.25">
      <c r="A23" s="53" t="s">
        <v>170</v>
      </c>
      <c r="B23" s="53" t="s">
        <v>171</v>
      </c>
      <c r="C23" s="53" t="s">
        <v>190</v>
      </c>
      <c r="D23" s="53" t="s">
        <v>191</v>
      </c>
      <c r="E23" s="53" t="s">
        <v>215</v>
      </c>
      <c r="F23" s="53" t="s">
        <v>216</v>
      </c>
      <c r="G23" s="53" t="s">
        <v>184</v>
      </c>
      <c r="H23" s="53" t="s">
        <v>177</v>
      </c>
    </row>
    <row r="24" spans="1:8" ht="61.5" customHeight="1" x14ac:dyDescent="0.25">
      <c r="A24" s="53" t="s">
        <v>170</v>
      </c>
      <c r="B24" s="53" t="s">
        <v>171</v>
      </c>
      <c r="C24" s="53" t="s">
        <v>211</v>
      </c>
      <c r="D24" s="53" t="s">
        <v>212</v>
      </c>
      <c r="E24" s="53" t="s">
        <v>215</v>
      </c>
      <c r="F24" s="53" t="s">
        <v>216</v>
      </c>
      <c r="G24" s="53" t="s">
        <v>184</v>
      </c>
      <c r="H24" s="53" t="s">
        <v>217</v>
      </c>
    </row>
    <row r="25" spans="1:8" ht="56.25" customHeight="1" x14ac:dyDescent="0.25">
      <c r="A25" s="53" t="s">
        <v>170</v>
      </c>
      <c r="B25" s="53" t="s">
        <v>171</v>
      </c>
      <c r="C25" s="53" t="s">
        <v>211</v>
      </c>
      <c r="D25" s="53" t="s">
        <v>212</v>
      </c>
      <c r="E25" s="53" t="s">
        <v>215</v>
      </c>
      <c r="F25" s="53" t="s">
        <v>216</v>
      </c>
      <c r="G25" s="53" t="s">
        <v>200</v>
      </c>
      <c r="H25" s="53" t="s">
        <v>218</v>
      </c>
    </row>
    <row r="26" spans="1:8" ht="68.25" customHeight="1" x14ac:dyDescent="0.25">
      <c r="A26" s="53" t="s">
        <v>170</v>
      </c>
      <c r="B26" s="53" t="s">
        <v>171</v>
      </c>
      <c r="C26" s="54" t="s">
        <v>190</v>
      </c>
      <c r="D26" s="54" t="s">
        <v>191</v>
      </c>
      <c r="E26" s="54" t="s">
        <v>219</v>
      </c>
      <c r="F26" s="54" t="s">
        <v>220</v>
      </c>
      <c r="G26" s="54" t="s">
        <v>178</v>
      </c>
      <c r="H26" s="55" t="s">
        <v>221</v>
      </c>
    </row>
    <row r="27" spans="1:8" ht="64.5" customHeight="1" x14ac:dyDescent="0.25">
      <c r="A27" s="53" t="s">
        <v>170</v>
      </c>
      <c r="B27" s="53" t="s">
        <v>171</v>
      </c>
      <c r="C27" s="53" t="s">
        <v>190</v>
      </c>
      <c r="D27" s="53" t="s">
        <v>191</v>
      </c>
      <c r="E27" s="53" t="s">
        <v>219</v>
      </c>
      <c r="F27" s="53" t="s">
        <v>220</v>
      </c>
      <c r="G27" s="53" t="s">
        <v>178</v>
      </c>
      <c r="H27" s="53" t="s">
        <v>222</v>
      </c>
    </row>
    <row r="28" spans="1:8" ht="60" customHeight="1" x14ac:dyDescent="0.25">
      <c r="A28" s="53" t="s">
        <v>170</v>
      </c>
      <c r="B28" s="53" t="s">
        <v>171</v>
      </c>
      <c r="C28" s="53" t="s">
        <v>213</v>
      </c>
      <c r="D28" s="53" t="s">
        <v>214</v>
      </c>
      <c r="E28" s="53" t="s">
        <v>223</v>
      </c>
      <c r="F28" s="53" t="s">
        <v>224</v>
      </c>
      <c r="G28" s="53" t="s">
        <v>184</v>
      </c>
      <c r="H28" s="53" t="s">
        <v>177</v>
      </c>
    </row>
    <row r="29" spans="1:8" ht="63.75" customHeight="1" x14ac:dyDescent="0.25">
      <c r="A29" s="53" t="s">
        <v>170</v>
      </c>
      <c r="B29" s="53" t="s">
        <v>171</v>
      </c>
      <c r="C29" s="56" t="s">
        <v>213</v>
      </c>
      <c r="D29" s="56" t="s">
        <v>214</v>
      </c>
      <c r="E29" s="56" t="s">
        <v>223</v>
      </c>
      <c r="F29" s="56" t="s">
        <v>224</v>
      </c>
      <c r="G29" s="56" t="s">
        <v>200</v>
      </c>
      <c r="H29" s="53" t="s">
        <v>177</v>
      </c>
    </row>
    <row r="30" spans="1:8" ht="48" customHeight="1" x14ac:dyDescent="0.25">
      <c r="A30" s="53" t="s">
        <v>170</v>
      </c>
      <c r="B30" s="53" t="s">
        <v>171</v>
      </c>
      <c r="C30" s="53" t="s">
        <v>211</v>
      </c>
      <c r="D30" s="53" t="s">
        <v>212</v>
      </c>
      <c r="E30" s="53" t="s">
        <v>223</v>
      </c>
      <c r="F30" s="53" t="s">
        <v>224</v>
      </c>
      <c r="G30" s="53" t="s">
        <v>184</v>
      </c>
      <c r="H30" s="53" t="s">
        <v>218</v>
      </c>
    </row>
    <row r="31" spans="1:8" ht="62.25" customHeight="1" x14ac:dyDescent="0.25">
      <c r="A31" s="53" t="s">
        <v>170</v>
      </c>
      <c r="B31" s="53" t="s">
        <v>171</v>
      </c>
      <c r="C31" s="53" t="s">
        <v>211</v>
      </c>
      <c r="D31" s="53" t="s">
        <v>212</v>
      </c>
      <c r="E31" s="53" t="s">
        <v>223</v>
      </c>
      <c r="F31" s="53" t="s">
        <v>224</v>
      </c>
      <c r="G31" s="53" t="s">
        <v>200</v>
      </c>
      <c r="H31" s="53" t="s">
        <v>218</v>
      </c>
    </row>
    <row r="32" spans="1:8" ht="25.5" x14ac:dyDescent="0.25">
      <c r="A32" s="53" t="s">
        <v>170</v>
      </c>
      <c r="B32" s="53" t="s">
        <v>171</v>
      </c>
      <c r="C32" s="53" t="s">
        <v>211</v>
      </c>
      <c r="D32" s="53" t="s">
        <v>212</v>
      </c>
      <c r="E32" s="53" t="s">
        <v>225</v>
      </c>
      <c r="F32" s="53" t="s">
        <v>226</v>
      </c>
      <c r="G32" s="53" t="s">
        <v>176</v>
      </c>
      <c r="H32" s="53" t="s">
        <v>207</v>
      </c>
    </row>
    <row r="33" spans="1:8" ht="25.5" x14ac:dyDescent="0.25">
      <c r="A33" s="53" t="s">
        <v>170</v>
      </c>
      <c r="B33" s="53" t="s">
        <v>171</v>
      </c>
      <c r="C33" s="53" t="s">
        <v>211</v>
      </c>
      <c r="D33" s="53" t="s">
        <v>212</v>
      </c>
      <c r="E33" s="53" t="s">
        <v>225</v>
      </c>
      <c r="F33" s="53" t="s">
        <v>226</v>
      </c>
      <c r="G33" s="53" t="s">
        <v>176</v>
      </c>
      <c r="H33" s="53" t="s">
        <v>194</v>
      </c>
    </row>
    <row r="34" spans="1:8" ht="25.5" x14ac:dyDescent="0.25">
      <c r="A34" s="53" t="s">
        <v>170</v>
      </c>
      <c r="B34" s="53" t="s">
        <v>171</v>
      </c>
      <c r="C34" s="53" t="s">
        <v>213</v>
      </c>
      <c r="D34" s="53" t="s">
        <v>214</v>
      </c>
      <c r="E34" s="53" t="s">
        <v>225</v>
      </c>
      <c r="F34" s="53" t="s">
        <v>226</v>
      </c>
      <c r="G34" s="53" t="s">
        <v>176</v>
      </c>
      <c r="H34" s="53" t="s">
        <v>207</v>
      </c>
    </row>
    <row r="35" spans="1:8" ht="58.5" customHeight="1" x14ac:dyDescent="0.25">
      <c r="A35" s="53" t="s">
        <v>170</v>
      </c>
      <c r="B35" s="53" t="s">
        <v>171</v>
      </c>
      <c r="C35" s="53" t="s">
        <v>213</v>
      </c>
      <c r="D35" s="53" t="s">
        <v>214</v>
      </c>
      <c r="E35" s="53" t="s">
        <v>225</v>
      </c>
      <c r="F35" s="53" t="s">
        <v>226</v>
      </c>
      <c r="G35" s="53" t="s">
        <v>176</v>
      </c>
      <c r="H35" s="53" t="s">
        <v>177</v>
      </c>
    </row>
    <row r="36" spans="1:8" ht="25.5" x14ac:dyDescent="0.25">
      <c r="A36" s="53" t="s">
        <v>170</v>
      </c>
      <c r="B36" s="53" t="s">
        <v>171</v>
      </c>
      <c r="C36" s="53" t="s">
        <v>213</v>
      </c>
      <c r="D36" s="53" t="s">
        <v>214</v>
      </c>
      <c r="E36" s="53" t="s">
        <v>227</v>
      </c>
      <c r="F36" s="53" t="s">
        <v>228</v>
      </c>
      <c r="G36" s="53" t="s">
        <v>184</v>
      </c>
      <c r="H36" s="53" t="s">
        <v>207</v>
      </c>
    </row>
    <row r="37" spans="1:8" ht="57" customHeight="1" x14ac:dyDescent="0.25">
      <c r="A37" s="53" t="s">
        <v>170</v>
      </c>
      <c r="B37" s="53" t="s">
        <v>171</v>
      </c>
      <c r="C37" s="53" t="s">
        <v>213</v>
      </c>
      <c r="D37" s="53" t="s">
        <v>214</v>
      </c>
      <c r="E37" s="53" t="s">
        <v>227</v>
      </c>
      <c r="F37" s="53" t="s">
        <v>228</v>
      </c>
      <c r="G37" s="53" t="s">
        <v>176</v>
      </c>
      <c r="H37" s="53" t="s">
        <v>177</v>
      </c>
    </row>
    <row r="38" spans="1:8" ht="63" customHeight="1" x14ac:dyDescent="0.25">
      <c r="A38" s="53" t="s">
        <v>170</v>
      </c>
      <c r="B38" s="53" t="s">
        <v>171</v>
      </c>
      <c r="C38" s="53" t="s">
        <v>213</v>
      </c>
      <c r="D38" s="53" t="s">
        <v>214</v>
      </c>
      <c r="E38" s="53" t="s">
        <v>227</v>
      </c>
      <c r="F38" s="53" t="s">
        <v>228</v>
      </c>
      <c r="G38" s="53" t="s">
        <v>178</v>
      </c>
      <c r="H38" s="53" t="s">
        <v>177</v>
      </c>
    </row>
    <row r="39" spans="1:8" ht="30" x14ac:dyDescent="0.25">
      <c r="A39" s="53" t="s">
        <v>170</v>
      </c>
      <c r="B39" s="53" t="s">
        <v>171</v>
      </c>
      <c r="C39" s="57" t="s">
        <v>229</v>
      </c>
      <c r="D39" s="58" t="s">
        <v>230</v>
      </c>
      <c r="E39" s="58" t="s">
        <v>231</v>
      </c>
      <c r="F39" s="59" t="s">
        <v>232</v>
      </c>
      <c r="G39" s="59" t="s">
        <v>184</v>
      </c>
      <c r="H39" s="58" t="s">
        <v>207</v>
      </c>
    </row>
    <row r="40" spans="1:8" ht="55.5" customHeight="1" x14ac:dyDescent="0.25">
      <c r="A40" s="53" t="s">
        <v>170</v>
      </c>
      <c r="B40" s="53" t="s">
        <v>171</v>
      </c>
      <c r="C40" s="57" t="s">
        <v>233</v>
      </c>
      <c r="D40" s="58" t="s">
        <v>234</v>
      </c>
      <c r="E40" s="58" t="s">
        <v>231</v>
      </c>
      <c r="F40" s="59" t="s">
        <v>232</v>
      </c>
      <c r="G40" s="60">
        <v>11010349</v>
      </c>
      <c r="H40" s="58" t="s">
        <v>235</v>
      </c>
    </row>
    <row r="41" spans="1:8" ht="58.5" customHeight="1" x14ac:dyDescent="0.25">
      <c r="A41" s="53" t="s">
        <v>170</v>
      </c>
      <c r="B41" s="53" t="s">
        <v>171</v>
      </c>
      <c r="C41" s="57" t="s">
        <v>233</v>
      </c>
      <c r="D41" s="58" t="s">
        <v>234</v>
      </c>
      <c r="E41" s="58" t="s">
        <v>231</v>
      </c>
      <c r="F41" s="59" t="s">
        <v>232</v>
      </c>
      <c r="G41" s="60">
        <v>11010359</v>
      </c>
      <c r="H41" s="58" t="s">
        <v>236</v>
      </c>
    </row>
    <row r="42" spans="1:8" ht="60" customHeight="1" x14ac:dyDescent="0.25">
      <c r="A42" s="53" t="s">
        <v>170</v>
      </c>
      <c r="B42" s="53" t="s">
        <v>171</v>
      </c>
      <c r="C42" s="57" t="s">
        <v>233</v>
      </c>
      <c r="D42" s="58" t="s">
        <v>234</v>
      </c>
      <c r="E42" s="58" t="s">
        <v>237</v>
      </c>
      <c r="F42" s="61">
        <v>60001009103</v>
      </c>
      <c r="G42" s="60">
        <v>11010349</v>
      </c>
      <c r="H42" s="58" t="s">
        <v>235</v>
      </c>
    </row>
    <row r="43" spans="1:8" ht="64.5" customHeight="1" x14ac:dyDescent="0.25">
      <c r="A43" s="53" t="s">
        <v>170</v>
      </c>
      <c r="B43" s="53" t="s">
        <v>171</v>
      </c>
      <c r="C43" s="57" t="s">
        <v>233</v>
      </c>
      <c r="D43" s="58" t="s">
        <v>234</v>
      </c>
      <c r="E43" s="58" t="s">
        <v>237</v>
      </c>
      <c r="F43" s="61">
        <v>60001009103</v>
      </c>
      <c r="G43" s="60">
        <v>11010349</v>
      </c>
      <c r="H43" s="58" t="s">
        <v>236</v>
      </c>
    </row>
    <row r="44" spans="1:8" ht="56.25" customHeight="1" x14ac:dyDescent="0.25">
      <c r="A44" s="53" t="s">
        <v>170</v>
      </c>
      <c r="B44" s="53" t="s">
        <v>171</v>
      </c>
      <c r="C44" s="57" t="s">
        <v>229</v>
      </c>
      <c r="D44" s="58" t="s">
        <v>230</v>
      </c>
      <c r="E44" s="58" t="s">
        <v>238</v>
      </c>
      <c r="F44" s="62" t="s">
        <v>239</v>
      </c>
      <c r="G44" s="63">
        <v>11010349</v>
      </c>
      <c r="H44" s="58" t="s">
        <v>240</v>
      </c>
    </row>
    <row r="45" spans="1:8" ht="53.25" customHeight="1" x14ac:dyDescent="0.25">
      <c r="A45" s="53" t="s">
        <v>170</v>
      </c>
      <c r="B45" s="53" t="s">
        <v>171</v>
      </c>
      <c r="C45" s="57" t="s">
        <v>229</v>
      </c>
      <c r="D45" s="58" t="s">
        <v>230</v>
      </c>
      <c r="E45" s="58" t="s">
        <v>238</v>
      </c>
      <c r="F45" s="62" t="s">
        <v>241</v>
      </c>
      <c r="G45" s="63">
        <v>11010359</v>
      </c>
      <c r="H45" s="58" t="s">
        <v>217</v>
      </c>
    </row>
    <row r="46" spans="1:8" ht="48.75" customHeight="1" x14ac:dyDescent="0.25">
      <c r="A46" s="53" t="s">
        <v>170</v>
      </c>
      <c r="B46" s="53" t="s">
        <v>171</v>
      </c>
      <c r="C46" s="57" t="s">
        <v>233</v>
      </c>
      <c r="D46" s="58" t="s">
        <v>234</v>
      </c>
      <c r="E46" s="58" t="s">
        <v>238</v>
      </c>
      <c r="F46" s="62" t="s">
        <v>242</v>
      </c>
      <c r="G46" s="63">
        <v>11010359</v>
      </c>
      <c r="H46" s="58" t="s">
        <v>243</v>
      </c>
    </row>
    <row r="47" spans="1:8" ht="56.25" customHeight="1" x14ac:dyDescent="0.25">
      <c r="A47" s="53" t="s">
        <v>170</v>
      </c>
      <c r="B47" s="53" t="s">
        <v>171</v>
      </c>
      <c r="C47" s="57" t="s">
        <v>229</v>
      </c>
      <c r="D47" s="58" t="s">
        <v>230</v>
      </c>
      <c r="E47" s="58" t="s">
        <v>244</v>
      </c>
      <c r="F47" s="64" t="s">
        <v>245</v>
      </c>
      <c r="G47" s="60">
        <v>11010359</v>
      </c>
      <c r="H47" s="58" t="s">
        <v>243</v>
      </c>
    </row>
    <row r="48" spans="1:8" ht="51.75" customHeight="1" x14ac:dyDescent="0.25">
      <c r="A48" s="53" t="s">
        <v>170</v>
      </c>
      <c r="B48" s="53" t="s">
        <v>171</v>
      </c>
      <c r="C48" s="57" t="s">
        <v>233</v>
      </c>
      <c r="D48" s="58" t="s">
        <v>234</v>
      </c>
      <c r="E48" s="58" t="s">
        <v>244</v>
      </c>
      <c r="F48" s="64" t="s">
        <v>246</v>
      </c>
      <c r="G48" s="63">
        <v>11010349</v>
      </c>
      <c r="H48" s="58" t="s">
        <v>243</v>
      </c>
    </row>
    <row r="49" spans="1:8" ht="36.75" customHeight="1" x14ac:dyDescent="0.25">
      <c r="A49" s="53" t="s">
        <v>170</v>
      </c>
      <c r="B49" s="53" t="s">
        <v>171</v>
      </c>
      <c r="C49" s="57" t="s">
        <v>233</v>
      </c>
      <c r="D49" s="58" t="s">
        <v>234</v>
      </c>
      <c r="E49" s="58" t="s">
        <v>244</v>
      </c>
      <c r="F49" s="64" t="s">
        <v>247</v>
      </c>
      <c r="G49" s="63">
        <v>11010359</v>
      </c>
      <c r="H49" s="58" t="s">
        <v>217</v>
      </c>
    </row>
    <row r="50" spans="1:8" ht="59.25" customHeight="1" x14ac:dyDescent="0.25">
      <c r="A50" s="53" t="s">
        <v>170</v>
      </c>
      <c r="B50" s="53" t="s">
        <v>171</v>
      </c>
      <c r="C50" s="57" t="s">
        <v>229</v>
      </c>
      <c r="D50" s="58" t="s">
        <v>230</v>
      </c>
      <c r="E50" s="58" t="s">
        <v>248</v>
      </c>
      <c r="F50" s="65" t="s">
        <v>249</v>
      </c>
      <c r="G50" s="63">
        <v>11010349</v>
      </c>
      <c r="H50" s="58" t="s">
        <v>250</v>
      </c>
    </row>
    <row r="51" spans="1:8" ht="69" customHeight="1" x14ac:dyDescent="0.25">
      <c r="A51" s="53" t="s">
        <v>170</v>
      </c>
      <c r="B51" s="53" t="s">
        <v>171</v>
      </c>
      <c r="C51" s="57" t="s">
        <v>229</v>
      </c>
      <c r="D51" s="58" t="s">
        <v>230</v>
      </c>
      <c r="E51" s="58" t="s">
        <v>248</v>
      </c>
      <c r="F51" s="65" t="s">
        <v>249</v>
      </c>
      <c r="G51" s="63">
        <v>11010349</v>
      </c>
      <c r="H51" s="58" t="s">
        <v>251</v>
      </c>
    </row>
    <row r="52" spans="1:8" ht="60" customHeight="1" x14ac:dyDescent="0.25">
      <c r="A52" s="53" t="s">
        <v>170</v>
      </c>
      <c r="B52" s="53" t="s">
        <v>171</v>
      </c>
      <c r="C52" s="57" t="s">
        <v>229</v>
      </c>
      <c r="D52" s="58" t="s">
        <v>230</v>
      </c>
      <c r="E52" s="58" t="s">
        <v>252</v>
      </c>
      <c r="F52" s="65" t="s">
        <v>253</v>
      </c>
      <c r="G52" s="66">
        <v>11010351</v>
      </c>
      <c r="H52" s="58" t="s">
        <v>251</v>
      </c>
    </row>
    <row r="53" spans="1:8" ht="63" customHeight="1" x14ac:dyDescent="0.25">
      <c r="A53" s="53" t="s">
        <v>170</v>
      </c>
      <c r="B53" s="53" t="s">
        <v>171</v>
      </c>
      <c r="C53" s="57" t="s">
        <v>229</v>
      </c>
      <c r="D53" s="58" t="s">
        <v>230</v>
      </c>
      <c r="E53" s="58" t="s">
        <v>252</v>
      </c>
      <c r="F53" s="65" t="s">
        <v>253</v>
      </c>
      <c r="G53" s="60">
        <v>11010349</v>
      </c>
      <c r="H53" s="58" t="s">
        <v>236</v>
      </c>
    </row>
    <row r="54" spans="1:8" ht="57" customHeight="1" x14ac:dyDescent="0.25">
      <c r="A54" s="53" t="s">
        <v>170</v>
      </c>
      <c r="B54" s="53" t="s">
        <v>171</v>
      </c>
      <c r="C54" s="57" t="s">
        <v>254</v>
      </c>
      <c r="D54" s="58" t="s">
        <v>255</v>
      </c>
      <c r="E54" s="58" t="s">
        <v>256</v>
      </c>
      <c r="F54" s="61">
        <v>1013012165</v>
      </c>
      <c r="G54" s="58">
        <v>11010350</v>
      </c>
      <c r="H54" s="58" t="s">
        <v>257</v>
      </c>
    </row>
    <row r="55" spans="1:8" ht="73.5" customHeight="1" x14ac:dyDescent="0.25">
      <c r="A55" s="53" t="s">
        <v>170</v>
      </c>
      <c r="B55" s="53" t="s">
        <v>171</v>
      </c>
      <c r="C55" s="58" t="s">
        <v>254</v>
      </c>
      <c r="D55" s="58" t="s">
        <v>255</v>
      </c>
      <c r="E55" s="58" t="s">
        <v>256</v>
      </c>
      <c r="F55" s="67">
        <v>1013012165</v>
      </c>
      <c r="G55" s="68">
        <v>11010350</v>
      </c>
      <c r="H55" s="58" t="s">
        <v>257</v>
      </c>
    </row>
    <row r="56" spans="1:8" ht="60" customHeight="1" x14ac:dyDescent="0.25">
      <c r="A56" s="53" t="s">
        <v>170</v>
      </c>
      <c r="B56" s="53" t="s">
        <v>171</v>
      </c>
      <c r="C56" s="58" t="s">
        <v>254</v>
      </c>
      <c r="D56" s="58" t="s">
        <v>255</v>
      </c>
      <c r="E56" s="58" t="s">
        <v>258</v>
      </c>
      <c r="F56" s="69" t="s">
        <v>259</v>
      </c>
      <c r="G56" s="58">
        <v>11010349</v>
      </c>
      <c r="H56" s="58" t="s">
        <v>257</v>
      </c>
    </row>
    <row r="57" spans="1:8" ht="49.5" customHeight="1" x14ac:dyDescent="0.25">
      <c r="A57" s="53" t="s">
        <v>170</v>
      </c>
      <c r="B57" s="53" t="s">
        <v>171</v>
      </c>
      <c r="C57" s="58" t="s">
        <v>260</v>
      </c>
      <c r="D57" s="58" t="s">
        <v>261</v>
      </c>
      <c r="E57" s="58" t="s">
        <v>258</v>
      </c>
      <c r="F57" s="69" t="s">
        <v>262</v>
      </c>
      <c r="G57" s="70">
        <v>11010349</v>
      </c>
      <c r="H57" s="58" t="s">
        <v>263</v>
      </c>
    </row>
    <row r="58" spans="1:8" ht="63" customHeight="1" x14ac:dyDescent="0.25">
      <c r="A58" s="53" t="s">
        <v>170</v>
      </c>
      <c r="B58" s="53" t="s">
        <v>171</v>
      </c>
      <c r="C58" s="57" t="s">
        <v>260</v>
      </c>
      <c r="D58" s="58" t="s">
        <v>261</v>
      </c>
      <c r="E58" s="71" t="s">
        <v>264</v>
      </c>
      <c r="F58" s="59">
        <v>55801030966</v>
      </c>
      <c r="G58" s="72" t="s">
        <v>184</v>
      </c>
      <c r="H58" s="58" t="s">
        <v>265</v>
      </c>
    </row>
    <row r="59" spans="1:8" ht="55.5" customHeight="1" x14ac:dyDescent="0.25">
      <c r="A59" s="53" t="s">
        <v>170</v>
      </c>
      <c r="B59" s="53" t="s">
        <v>171</v>
      </c>
      <c r="C59" s="57" t="s">
        <v>260</v>
      </c>
      <c r="D59" s="58" t="s">
        <v>261</v>
      </c>
      <c r="E59" s="71" t="s">
        <v>264</v>
      </c>
      <c r="F59" s="59">
        <v>55801030966</v>
      </c>
      <c r="G59" s="58">
        <v>11010349</v>
      </c>
      <c r="H59" s="58" t="s">
        <v>257</v>
      </c>
    </row>
    <row r="60" spans="1:8" ht="51" customHeight="1" x14ac:dyDescent="0.25">
      <c r="A60" s="53" t="s">
        <v>170</v>
      </c>
      <c r="B60" s="53" t="s">
        <v>171</v>
      </c>
      <c r="C60" s="57" t="s">
        <v>266</v>
      </c>
      <c r="D60" s="58" t="s">
        <v>267</v>
      </c>
      <c r="E60" s="71" t="s">
        <v>268</v>
      </c>
      <c r="F60" s="59" t="s">
        <v>269</v>
      </c>
      <c r="G60" s="60">
        <v>11010359</v>
      </c>
      <c r="H60" s="58" t="s">
        <v>236</v>
      </c>
    </row>
    <row r="61" spans="1:8" ht="68.25" customHeight="1" x14ac:dyDescent="0.25">
      <c r="A61" s="53" t="s">
        <v>170</v>
      </c>
      <c r="B61" s="53" t="s">
        <v>171</v>
      </c>
      <c r="C61" s="57" t="s">
        <v>266</v>
      </c>
      <c r="D61" s="58" t="s">
        <v>267</v>
      </c>
      <c r="E61" s="71" t="s">
        <v>268</v>
      </c>
      <c r="F61" s="59" t="s">
        <v>269</v>
      </c>
      <c r="G61" s="60">
        <v>11010349</v>
      </c>
      <c r="H61" s="58" t="s">
        <v>235</v>
      </c>
    </row>
    <row r="62" spans="1:8" ht="57" customHeight="1" x14ac:dyDescent="0.25">
      <c r="A62" s="53" t="s">
        <v>170</v>
      </c>
      <c r="B62" s="53" t="s">
        <v>171</v>
      </c>
      <c r="C62" s="58" t="s">
        <v>266</v>
      </c>
      <c r="D62" s="58" t="s">
        <v>267</v>
      </c>
      <c r="E62" s="71" t="s">
        <v>268</v>
      </c>
      <c r="F62" s="59" t="s">
        <v>269</v>
      </c>
      <c r="G62" s="60">
        <v>11010359</v>
      </c>
      <c r="H62" s="58" t="s">
        <v>235</v>
      </c>
    </row>
    <row r="63" spans="1:8" ht="57" customHeight="1" x14ac:dyDescent="0.25">
      <c r="A63" s="53" t="s">
        <v>170</v>
      </c>
      <c r="B63" s="53" t="s">
        <v>171</v>
      </c>
      <c r="C63" s="58" t="s">
        <v>266</v>
      </c>
      <c r="D63" s="58" t="s">
        <v>267</v>
      </c>
      <c r="E63" s="71" t="s">
        <v>270</v>
      </c>
      <c r="F63" s="59" t="s">
        <v>271</v>
      </c>
      <c r="G63" s="59" t="s">
        <v>208</v>
      </c>
      <c r="H63" s="58" t="s">
        <v>272</v>
      </c>
    </row>
    <row r="64" spans="1:8" ht="30" x14ac:dyDescent="0.25">
      <c r="A64" s="53" t="s">
        <v>170</v>
      </c>
      <c r="B64" s="53" t="s">
        <v>171</v>
      </c>
      <c r="C64" s="58" t="s">
        <v>266</v>
      </c>
      <c r="D64" s="58" t="s">
        <v>267</v>
      </c>
      <c r="E64" s="71" t="s">
        <v>270</v>
      </c>
      <c r="F64" s="59" t="s">
        <v>271</v>
      </c>
      <c r="G64" s="59" t="s">
        <v>208</v>
      </c>
      <c r="H64" s="58" t="s">
        <v>273</v>
      </c>
    </row>
    <row r="65" spans="1:8" ht="68.25" customHeight="1" x14ac:dyDescent="0.25">
      <c r="A65" s="53" t="s">
        <v>170</v>
      </c>
      <c r="B65" s="53" t="s">
        <v>171</v>
      </c>
      <c r="C65" s="71" t="s">
        <v>274</v>
      </c>
      <c r="D65" s="71" t="s">
        <v>275</v>
      </c>
      <c r="E65" s="71" t="s">
        <v>276</v>
      </c>
      <c r="F65" s="71">
        <v>1030048835</v>
      </c>
      <c r="G65" s="71">
        <v>11010347</v>
      </c>
      <c r="H65" s="71" t="s">
        <v>236</v>
      </c>
    </row>
    <row r="66" spans="1:8" ht="66" customHeight="1" x14ac:dyDescent="0.25">
      <c r="A66" s="53" t="s">
        <v>170</v>
      </c>
      <c r="B66" s="53" t="s">
        <v>171</v>
      </c>
      <c r="C66" s="71" t="s">
        <v>274</v>
      </c>
      <c r="D66" s="71" t="s">
        <v>275</v>
      </c>
      <c r="E66" s="71" t="s">
        <v>276</v>
      </c>
      <c r="F66" s="71">
        <v>1030048835</v>
      </c>
      <c r="G66" s="71">
        <v>11010353</v>
      </c>
      <c r="H66" s="71" t="s">
        <v>194</v>
      </c>
    </row>
    <row r="67" spans="1:8" ht="56.25" customHeight="1" x14ac:dyDescent="0.25">
      <c r="A67" s="53" t="s">
        <v>170</v>
      </c>
      <c r="B67" s="53" t="s">
        <v>171</v>
      </c>
      <c r="C67" s="71" t="s">
        <v>274</v>
      </c>
      <c r="D67" s="71" t="s">
        <v>275</v>
      </c>
      <c r="E67" s="71" t="s">
        <v>277</v>
      </c>
      <c r="F67" s="71">
        <v>1009018644</v>
      </c>
      <c r="G67" s="66">
        <v>11010349</v>
      </c>
      <c r="H67" s="71" t="s">
        <v>251</v>
      </c>
    </row>
    <row r="68" spans="1:8" ht="62.25" customHeight="1" x14ac:dyDescent="0.25">
      <c r="A68" s="53" t="s">
        <v>170</v>
      </c>
      <c r="B68" s="53" t="s">
        <v>171</v>
      </c>
      <c r="C68" s="71" t="s">
        <v>274</v>
      </c>
      <c r="D68" s="71" t="s">
        <v>275</v>
      </c>
      <c r="E68" s="71" t="s">
        <v>277</v>
      </c>
      <c r="F68" s="71">
        <v>1009018644</v>
      </c>
      <c r="G68" s="66">
        <v>11010349</v>
      </c>
      <c r="H68" s="71" t="s">
        <v>278</v>
      </c>
    </row>
    <row r="69" spans="1:8" ht="51" customHeight="1" x14ac:dyDescent="0.25">
      <c r="A69" s="53" t="s">
        <v>170</v>
      </c>
      <c r="B69" s="53" t="s">
        <v>171</v>
      </c>
      <c r="C69" s="71" t="s">
        <v>274</v>
      </c>
      <c r="D69" s="71" t="s">
        <v>275</v>
      </c>
      <c r="E69" s="71" t="s">
        <v>279</v>
      </c>
      <c r="F69" s="73">
        <v>12001037529</v>
      </c>
      <c r="G69" s="73" t="s">
        <v>176</v>
      </c>
      <c r="H69" s="71" t="s">
        <v>257</v>
      </c>
    </row>
    <row r="70" spans="1:8" ht="56.25" customHeight="1" x14ac:dyDescent="0.25">
      <c r="A70" s="53" t="s">
        <v>170</v>
      </c>
      <c r="B70" s="53" t="s">
        <v>171</v>
      </c>
      <c r="C70" s="71" t="s">
        <v>274</v>
      </c>
      <c r="D70" s="71" t="s">
        <v>275</v>
      </c>
      <c r="E70" s="71" t="s">
        <v>279</v>
      </c>
      <c r="F70" s="73">
        <v>12001037529</v>
      </c>
      <c r="G70" s="73" t="s">
        <v>176</v>
      </c>
      <c r="H70" s="71" t="s">
        <v>257</v>
      </c>
    </row>
    <row r="71" spans="1:8" ht="48.75" customHeight="1" x14ac:dyDescent="0.25">
      <c r="A71" s="53" t="s">
        <v>170</v>
      </c>
      <c r="B71" s="53" t="s">
        <v>171</v>
      </c>
      <c r="C71" s="71" t="s">
        <v>274</v>
      </c>
      <c r="D71" s="71" t="s">
        <v>275</v>
      </c>
      <c r="E71" s="71" t="s">
        <v>280</v>
      </c>
      <c r="F71" s="73">
        <v>65008001563</v>
      </c>
      <c r="G71" s="73" t="s">
        <v>184</v>
      </c>
      <c r="H71" s="74" t="s">
        <v>263</v>
      </c>
    </row>
    <row r="72" spans="1:8" ht="80.25" customHeight="1" x14ac:dyDescent="0.25">
      <c r="A72" s="53" t="s">
        <v>170</v>
      </c>
      <c r="B72" s="53" t="s">
        <v>171</v>
      </c>
      <c r="C72" s="71" t="s">
        <v>274</v>
      </c>
      <c r="D72" s="71" t="s">
        <v>275</v>
      </c>
      <c r="E72" s="71" t="s">
        <v>280</v>
      </c>
      <c r="F72" s="73">
        <v>65008001563</v>
      </c>
      <c r="G72" s="73" t="s">
        <v>184</v>
      </c>
      <c r="H72" s="71" t="s">
        <v>281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36"/>
  <sheetViews>
    <sheetView tabSelected="1" topLeftCell="A13" workbookViewId="0">
      <selection activeCell="F23" sqref="F23"/>
    </sheetView>
  </sheetViews>
  <sheetFormatPr defaultRowHeight="15" x14ac:dyDescent="0.25"/>
  <cols>
    <col min="3" max="3" width="70.28515625" bestFit="1" customWidth="1"/>
    <col min="4" max="4" width="17.85546875" bestFit="1" customWidth="1"/>
    <col min="5" max="5" width="22.140625" style="84" bestFit="1" customWidth="1"/>
    <col min="6" max="6" width="16.5703125" bestFit="1" customWidth="1"/>
  </cols>
  <sheetData>
    <row r="3" spans="3:6" x14ac:dyDescent="0.25">
      <c r="E3" s="138">
        <v>31</v>
      </c>
      <c r="F3" s="139">
        <v>9</v>
      </c>
    </row>
    <row r="4" spans="3:6" x14ac:dyDescent="0.25">
      <c r="D4" s="134" t="s">
        <v>309</v>
      </c>
      <c r="E4" s="134" t="s">
        <v>310</v>
      </c>
    </row>
    <row r="5" spans="3:6" x14ac:dyDescent="0.25">
      <c r="C5" s="128" t="s">
        <v>292</v>
      </c>
      <c r="D5" s="135">
        <v>85</v>
      </c>
      <c r="E5" s="136">
        <v>53</v>
      </c>
    </row>
    <row r="6" spans="3:6" x14ac:dyDescent="0.25">
      <c r="C6" s="128" t="s">
        <v>293</v>
      </c>
      <c r="D6" s="135">
        <v>30</v>
      </c>
      <c r="E6" s="136">
        <v>50</v>
      </c>
    </row>
    <row r="7" spans="3:6" x14ac:dyDescent="0.25">
      <c r="C7" s="129" t="s">
        <v>294</v>
      </c>
      <c r="D7" s="135">
        <v>145</v>
      </c>
      <c r="E7" s="136">
        <v>8.57</v>
      </c>
    </row>
    <row r="8" spans="3:6" x14ac:dyDescent="0.25">
      <c r="C8" s="128" t="s">
        <v>295</v>
      </c>
      <c r="D8" s="135">
        <v>30</v>
      </c>
      <c r="E8" s="136">
        <v>37.299999999999997</v>
      </c>
    </row>
    <row r="9" spans="3:6" x14ac:dyDescent="0.25">
      <c r="C9" s="128" t="s">
        <v>296</v>
      </c>
      <c r="D9" s="135">
        <v>150</v>
      </c>
      <c r="E9" s="136">
        <v>20.21</v>
      </c>
    </row>
    <row r="10" spans="3:6" x14ac:dyDescent="0.25">
      <c r="C10" s="128" t="s">
        <v>297</v>
      </c>
      <c r="D10" s="135">
        <v>225</v>
      </c>
      <c r="E10" s="136">
        <v>20.3</v>
      </c>
    </row>
    <row r="11" spans="3:6" x14ac:dyDescent="0.25">
      <c r="C11" s="128" t="s">
        <v>298</v>
      </c>
      <c r="D11" s="135">
        <v>30</v>
      </c>
      <c r="E11" s="136">
        <v>84</v>
      </c>
    </row>
    <row r="12" spans="3:6" x14ac:dyDescent="0.25">
      <c r="C12" s="128" t="s">
        <v>299</v>
      </c>
      <c r="D12" s="135">
        <v>30</v>
      </c>
      <c r="E12" s="136">
        <v>59.77</v>
      </c>
    </row>
    <row r="13" spans="3:6" x14ac:dyDescent="0.25">
      <c r="C13" s="128" t="s">
        <v>300</v>
      </c>
      <c r="D13" s="135">
        <v>25</v>
      </c>
      <c r="E13" s="136">
        <v>62.46</v>
      </c>
    </row>
    <row r="14" spans="3:6" x14ac:dyDescent="0.25">
      <c r="C14" s="128" t="s">
        <v>301</v>
      </c>
      <c r="D14" s="135">
        <v>640</v>
      </c>
      <c r="E14" s="136">
        <v>14.13</v>
      </c>
    </row>
    <row r="15" spans="3:6" x14ac:dyDescent="0.25">
      <c r="C15" s="128" t="s">
        <v>302</v>
      </c>
      <c r="D15" s="135">
        <v>15</v>
      </c>
      <c r="E15" s="136">
        <v>26.16</v>
      </c>
    </row>
    <row r="16" spans="3:6" x14ac:dyDescent="0.25">
      <c r="C16" s="128" t="s">
        <v>303</v>
      </c>
      <c r="D16" s="135">
        <v>100</v>
      </c>
      <c r="E16" s="136">
        <v>14.71</v>
      </c>
    </row>
    <row r="17" spans="3:6" x14ac:dyDescent="0.25">
      <c r="D17" s="131">
        <f>SUM(D5:D16)</f>
        <v>1505</v>
      </c>
      <c r="E17" s="137">
        <f>AVERAGE(E5:E16)</f>
        <v>37.55083333333333</v>
      </c>
    </row>
    <row r="21" spans="3:6" x14ac:dyDescent="0.25">
      <c r="C21" t="s">
        <v>314</v>
      </c>
      <c r="D21" s="131">
        <v>10481600</v>
      </c>
    </row>
    <row r="22" spans="3:6" x14ac:dyDescent="0.25">
      <c r="C22" t="s">
        <v>304</v>
      </c>
      <c r="D22" s="131">
        <v>2831850.67</v>
      </c>
      <c r="E22" s="137">
        <v>4805108.4800000004</v>
      </c>
      <c r="F22" s="130">
        <f>E22-D22</f>
        <v>1973257.8100000005</v>
      </c>
    </row>
    <row r="23" spans="3:6" x14ac:dyDescent="0.25">
      <c r="C23" t="s">
        <v>305</v>
      </c>
      <c r="D23" s="132">
        <f>D21-D22</f>
        <v>7649749.3300000001</v>
      </c>
      <c r="E23" s="133">
        <f>D21-E22</f>
        <v>5676491.5199999996</v>
      </c>
    </row>
    <row r="24" spans="3:6" x14ac:dyDescent="0.25">
      <c r="D24" s="118"/>
    </row>
    <row r="25" spans="3:6" x14ac:dyDescent="0.25">
      <c r="C25" t="s">
        <v>306</v>
      </c>
      <c r="D25" s="132">
        <f>D17*E3*F3</f>
        <v>419895</v>
      </c>
    </row>
    <row r="26" spans="3:6" x14ac:dyDescent="0.25">
      <c r="C26" t="s">
        <v>308</v>
      </c>
      <c r="D26" s="132">
        <f>D25*90/100</f>
        <v>377905.5</v>
      </c>
    </row>
    <row r="27" spans="3:6" x14ac:dyDescent="0.25">
      <c r="C27" t="s">
        <v>307</v>
      </c>
      <c r="D27" s="132">
        <f>D25*80/100</f>
        <v>335916</v>
      </c>
    </row>
    <row r="28" spans="3:6" x14ac:dyDescent="0.25">
      <c r="D28" s="130"/>
    </row>
    <row r="29" spans="3:6" x14ac:dyDescent="0.25">
      <c r="D29" s="130"/>
    </row>
    <row r="30" spans="3:6" x14ac:dyDescent="0.25">
      <c r="C30" t="s">
        <v>311</v>
      </c>
      <c r="D30" s="133">
        <f>D23/D25</f>
        <v>18.218243441812835</v>
      </c>
    </row>
    <row r="31" spans="3:6" x14ac:dyDescent="0.25">
      <c r="C31" t="s">
        <v>312</v>
      </c>
      <c r="D31" s="133">
        <f>D23/D26</f>
        <v>20.242492713125372</v>
      </c>
    </row>
    <row r="32" spans="3:6" x14ac:dyDescent="0.25">
      <c r="C32" t="s">
        <v>313</v>
      </c>
      <c r="D32" s="133">
        <f>D23/D27</f>
        <v>22.772804302266042</v>
      </c>
    </row>
    <row r="34" spans="3:6" x14ac:dyDescent="0.25">
      <c r="C34" t="s">
        <v>315</v>
      </c>
      <c r="D34" s="118">
        <v>20</v>
      </c>
      <c r="E34" s="84">
        <v>18</v>
      </c>
      <c r="F34">
        <v>19</v>
      </c>
    </row>
    <row r="35" spans="3:6" x14ac:dyDescent="0.25">
      <c r="C35" t="s">
        <v>316</v>
      </c>
      <c r="D35" s="130">
        <f>D34*D25</f>
        <v>8397900</v>
      </c>
      <c r="E35" s="133">
        <f>E34*D25</f>
        <v>7558110</v>
      </c>
      <c r="F35" s="130">
        <f>D25*F34</f>
        <v>7978005</v>
      </c>
    </row>
    <row r="36" spans="3:6" x14ac:dyDescent="0.25">
      <c r="C36" t="s">
        <v>317</v>
      </c>
      <c r="D36" s="130">
        <f>D35-D23</f>
        <v>748150.66999999993</v>
      </c>
      <c r="E36" s="133">
        <f>E35-D23</f>
        <v>-91639.330000000075</v>
      </c>
      <c r="F36" s="130">
        <f>F35-D23</f>
        <v>328255.66999999993</v>
      </c>
    </row>
  </sheetData>
  <pageMargins left="0.7" right="0.7" top="0.75" bottom="0.75" header="0.3" footer="0.3"/>
  <pageSetup paperSize="9" scale="93" orientation="landscape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S2" sqref="S2"/>
    </sheetView>
  </sheetViews>
  <sheetFormatPr defaultRowHeight="15" x14ac:dyDescent="0.25"/>
  <cols>
    <col min="1" max="1" width="5.28515625" customWidth="1"/>
    <col min="2" max="2" width="15.42578125" customWidth="1"/>
    <col min="9" max="9" width="5.42578125" customWidth="1"/>
    <col min="10" max="10" width="12.28515625" customWidth="1"/>
    <col min="11" max="11" width="11.42578125" customWidth="1"/>
    <col min="12" max="12" width="11.28515625" customWidth="1"/>
    <col min="13" max="13" width="9.42578125" customWidth="1"/>
    <col min="14" max="14" width="5.140625" customWidth="1"/>
    <col min="15" max="15" width="8.42578125" customWidth="1"/>
    <col min="16" max="16" width="5.7109375" customWidth="1"/>
  </cols>
  <sheetData>
    <row r="1" spans="1:17" x14ac:dyDescent="0.25">
      <c r="A1" s="146" t="s">
        <v>12</v>
      </c>
      <c r="B1" s="148" t="s">
        <v>13</v>
      </c>
      <c r="C1" s="154" t="s">
        <v>19</v>
      </c>
      <c r="D1" s="155"/>
      <c r="E1" s="155"/>
      <c r="F1" s="155"/>
      <c r="G1" s="155"/>
      <c r="H1" s="156"/>
      <c r="I1" s="50"/>
      <c r="J1" s="140" t="s">
        <v>20</v>
      </c>
      <c r="K1" s="140"/>
      <c r="L1" s="140"/>
      <c r="M1" s="140"/>
      <c r="N1" s="140"/>
    </row>
    <row r="2" spans="1:17" ht="81.75" customHeight="1" x14ac:dyDescent="0.25">
      <c r="A2" s="147"/>
      <c r="B2" s="149"/>
      <c r="C2" s="2" t="s">
        <v>14</v>
      </c>
      <c r="D2" s="3" t="s">
        <v>15</v>
      </c>
      <c r="E2" s="3" t="s">
        <v>16</v>
      </c>
      <c r="F2" s="2" t="s">
        <v>17</v>
      </c>
      <c r="G2" s="3" t="s">
        <v>18</v>
      </c>
      <c r="H2" s="3" t="s">
        <v>25</v>
      </c>
      <c r="I2" s="93"/>
      <c r="J2" s="35" t="s">
        <v>14</v>
      </c>
      <c r="K2" s="3" t="s">
        <v>15</v>
      </c>
      <c r="L2" s="3" t="s">
        <v>16</v>
      </c>
      <c r="M2" s="2" t="s">
        <v>17</v>
      </c>
      <c r="N2" s="3" t="s">
        <v>18</v>
      </c>
      <c r="O2" s="3" t="s">
        <v>27</v>
      </c>
      <c r="P2" s="3" t="s">
        <v>28</v>
      </c>
      <c r="Q2" s="3" t="s">
        <v>80</v>
      </c>
    </row>
    <row r="3" spans="1:17" x14ac:dyDescent="0.25">
      <c r="A3" s="1">
        <v>1</v>
      </c>
      <c r="B3" s="18" t="s">
        <v>0</v>
      </c>
      <c r="C3" s="1">
        <v>13348</v>
      </c>
      <c r="D3" s="1">
        <v>8003.79</v>
      </c>
      <c r="E3" s="1">
        <v>1205.28</v>
      </c>
      <c r="F3" s="1">
        <v>3757</v>
      </c>
      <c r="G3" s="1">
        <v>578</v>
      </c>
      <c r="H3" s="1">
        <v>1699.17</v>
      </c>
      <c r="I3" s="94"/>
      <c r="J3" s="18"/>
      <c r="K3" s="1"/>
      <c r="L3" s="1"/>
      <c r="M3" s="1"/>
      <c r="N3" s="1"/>
      <c r="O3" s="124" t="s">
        <v>41</v>
      </c>
      <c r="P3" s="12"/>
      <c r="Q3" s="1">
        <v>30419.89</v>
      </c>
    </row>
    <row r="4" spans="1:17" x14ac:dyDescent="0.25">
      <c r="A4" s="1">
        <v>2</v>
      </c>
      <c r="B4" s="18" t="s">
        <v>1</v>
      </c>
      <c r="C4" s="1">
        <v>13916</v>
      </c>
      <c r="D4" s="1">
        <v>8621.1299999999992</v>
      </c>
      <c r="E4" s="1">
        <v>1649.91</v>
      </c>
      <c r="F4" s="1">
        <v>4296.5</v>
      </c>
      <c r="G4" s="1">
        <v>661</v>
      </c>
      <c r="H4" s="1">
        <v>1690.4</v>
      </c>
      <c r="I4" s="94"/>
      <c r="J4" s="18"/>
      <c r="K4" s="1"/>
      <c r="L4" s="1"/>
      <c r="M4" s="1"/>
      <c r="N4" s="1"/>
      <c r="O4" s="124" t="s">
        <v>42</v>
      </c>
      <c r="P4" s="12"/>
      <c r="Q4" s="1">
        <v>35088.050000000003</v>
      </c>
    </row>
    <row r="5" spans="1:17" x14ac:dyDescent="0.25">
      <c r="A5" s="1">
        <v>3</v>
      </c>
      <c r="B5" s="18" t="s">
        <v>2</v>
      </c>
      <c r="C5" s="1">
        <v>19312</v>
      </c>
      <c r="D5" s="1">
        <v>11170.43</v>
      </c>
      <c r="E5" s="1">
        <v>1495.06</v>
      </c>
      <c r="F5" s="1">
        <v>4985.5</v>
      </c>
      <c r="G5" s="1">
        <v>766</v>
      </c>
      <c r="H5" s="1">
        <v>2133.5</v>
      </c>
      <c r="I5" s="94"/>
      <c r="J5" s="18"/>
      <c r="K5" s="1"/>
      <c r="L5" s="1"/>
      <c r="M5" s="1"/>
      <c r="N5" s="1"/>
      <c r="O5" s="124" t="s">
        <v>43</v>
      </c>
      <c r="P5" s="12"/>
      <c r="Q5" s="1">
        <v>44475.57</v>
      </c>
    </row>
    <row r="6" spans="1:17" x14ac:dyDescent="0.25">
      <c r="A6" s="1">
        <v>4</v>
      </c>
      <c r="B6" s="18" t="s">
        <v>3</v>
      </c>
      <c r="C6" s="1">
        <v>17892</v>
      </c>
      <c r="D6" s="1">
        <v>10377.549999999999</v>
      </c>
      <c r="E6" s="1">
        <v>1401.55</v>
      </c>
      <c r="F6" s="1">
        <v>4660.5</v>
      </c>
      <c r="G6" s="1">
        <v>716</v>
      </c>
      <c r="H6" s="1">
        <v>2084</v>
      </c>
      <c r="I6" s="94"/>
      <c r="J6" s="18"/>
      <c r="K6" s="1"/>
      <c r="L6" s="1"/>
      <c r="M6" s="1"/>
      <c r="N6" s="1"/>
      <c r="O6" s="124" t="s">
        <v>44</v>
      </c>
      <c r="P6" s="12"/>
      <c r="Q6" s="1">
        <v>40029.01</v>
      </c>
    </row>
    <row r="7" spans="1:17" x14ac:dyDescent="0.25">
      <c r="A7" s="1">
        <v>5</v>
      </c>
      <c r="B7" s="18" t="s">
        <v>4</v>
      </c>
      <c r="C7" s="1">
        <v>21016</v>
      </c>
      <c r="D7" s="1">
        <v>12786.73</v>
      </c>
      <c r="E7" s="1">
        <v>2180.2399999999998</v>
      </c>
      <c r="F7" s="1">
        <v>6045</v>
      </c>
      <c r="G7" s="1">
        <v>930</v>
      </c>
      <c r="H7" s="1">
        <v>2735.18</v>
      </c>
      <c r="I7" s="94"/>
      <c r="J7" s="18"/>
      <c r="K7" s="1"/>
      <c r="L7" s="1"/>
      <c r="M7" s="1"/>
      <c r="N7" s="1"/>
      <c r="O7" s="124" t="s">
        <v>45</v>
      </c>
      <c r="P7" s="12"/>
      <c r="Q7" s="1">
        <v>49953.45</v>
      </c>
    </row>
    <row r="8" spans="1:17" x14ac:dyDescent="0.25">
      <c r="A8" s="1">
        <v>6</v>
      </c>
      <c r="B8" s="18" t="s">
        <v>5</v>
      </c>
      <c r="C8" s="1">
        <v>19028</v>
      </c>
      <c r="D8" s="1">
        <v>11758.61</v>
      </c>
      <c r="E8" s="1">
        <v>2103.5100000000002</v>
      </c>
      <c r="F8" s="1">
        <v>5882.5</v>
      </c>
      <c r="G8" s="1">
        <v>905</v>
      </c>
      <c r="H8" s="1">
        <v>2487.13</v>
      </c>
      <c r="I8" s="94"/>
      <c r="J8" s="18"/>
      <c r="K8" s="1"/>
      <c r="L8" s="1"/>
      <c r="M8" s="1"/>
      <c r="N8" s="1"/>
      <c r="O8" s="124" t="s">
        <v>46</v>
      </c>
      <c r="P8" s="12"/>
      <c r="Q8" s="1">
        <v>46032.43</v>
      </c>
    </row>
    <row r="9" spans="1:17" x14ac:dyDescent="0.25">
      <c r="A9" s="1">
        <v>7</v>
      </c>
      <c r="B9" s="18" t="s">
        <v>6</v>
      </c>
      <c r="C9" s="1">
        <v>17608</v>
      </c>
      <c r="D9" s="1">
        <v>10252</v>
      </c>
      <c r="E9" s="1">
        <v>1610</v>
      </c>
      <c r="F9" s="1">
        <v>6117</v>
      </c>
      <c r="G9" s="1">
        <v>698</v>
      </c>
      <c r="H9" s="1">
        <v>1879</v>
      </c>
      <c r="I9" s="94"/>
      <c r="J9" s="18"/>
      <c r="K9" s="1"/>
      <c r="L9" s="1"/>
      <c r="M9" s="1"/>
      <c r="N9" s="1"/>
      <c r="O9" s="124" t="s">
        <v>78</v>
      </c>
      <c r="P9" s="12"/>
      <c r="Q9" s="1">
        <v>41161</v>
      </c>
    </row>
    <row r="10" spans="1:17" x14ac:dyDescent="0.25">
      <c r="A10" s="1">
        <v>8</v>
      </c>
      <c r="B10" s="18" t="s">
        <v>7</v>
      </c>
      <c r="C10" s="1">
        <v>17324</v>
      </c>
      <c r="D10" s="1">
        <v>10270</v>
      </c>
      <c r="E10" s="1">
        <v>1492</v>
      </c>
      <c r="F10" s="1">
        <v>4868</v>
      </c>
      <c r="G10" s="1">
        <v>749</v>
      </c>
      <c r="H10" s="1">
        <v>1982</v>
      </c>
      <c r="I10" s="94"/>
      <c r="J10" s="18"/>
      <c r="K10" s="1"/>
      <c r="L10" s="1"/>
      <c r="M10" s="1"/>
      <c r="N10" s="1"/>
      <c r="O10" s="124" t="s">
        <v>81</v>
      </c>
      <c r="P10" s="12"/>
      <c r="Q10" s="1">
        <v>40882</v>
      </c>
    </row>
    <row r="11" spans="1:17" x14ac:dyDescent="0.25">
      <c r="A11" s="1">
        <v>9</v>
      </c>
      <c r="B11" s="18" t="s">
        <v>8</v>
      </c>
      <c r="C11" s="1">
        <v>17040</v>
      </c>
      <c r="D11" s="1">
        <v>10291</v>
      </c>
      <c r="E11" s="1">
        <v>1668</v>
      </c>
      <c r="F11" s="1">
        <v>4621</v>
      </c>
      <c r="G11" s="1">
        <v>711</v>
      </c>
      <c r="H11" s="1">
        <v>2400</v>
      </c>
      <c r="I11" s="94"/>
      <c r="J11" s="18"/>
      <c r="K11" s="1"/>
      <c r="L11" s="1"/>
      <c r="M11" s="1"/>
      <c r="N11" s="1"/>
      <c r="O11" s="124" t="s">
        <v>82</v>
      </c>
      <c r="P11" s="12"/>
      <c r="Q11" s="1">
        <v>41262</v>
      </c>
    </row>
    <row r="12" spans="1:17" x14ac:dyDescent="0.25">
      <c r="A12" s="1">
        <v>10</v>
      </c>
      <c r="B12" s="18" t="s">
        <v>9</v>
      </c>
      <c r="C12" s="1">
        <v>15366</v>
      </c>
      <c r="D12" s="1">
        <v>9017</v>
      </c>
      <c r="E12" s="1">
        <v>1215</v>
      </c>
      <c r="F12" s="1">
        <v>4088</v>
      </c>
      <c r="G12" s="1">
        <v>629</v>
      </c>
      <c r="H12" s="1">
        <v>1904</v>
      </c>
      <c r="I12" s="94"/>
      <c r="J12" s="18"/>
      <c r="K12" s="1"/>
      <c r="L12" s="1"/>
      <c r="M12" s="1"/>
      <c r="N12" s="1"/>
      <c r="O12" s="124" t="s">
        <v>77</v>
      </c>
      <c r="P12" s="12"/>
      <c r="Q12" s="1">
        <v>36876</v>
      </c>
    </row>
    <row r="13" spans="1:17" x14ac:dyDescent="0.25">
      <c r="A13" s="1">
        <v>11</v>
      </c>
      <c r="B13" s="18" t="s">
        <v>10</v>
      </c>
      <c r="C13" s="1">
        <v>15052</v>
      </c>
      <c r="D13" s="1">
        <v>9031</v>
      </c>
      <c r="E13" s="1">
        <v>2008</v>
      </c>
      <c r="F13" s="1">
        <v>3763</v>
      </c>
      <c r="G13" s="1">
        <v>579</v>
      </c>
      <c r="H13" s="1">
        <v>1755</v>
      </c>
      <c r="I13" s="94"/>
      <c r="J13" s="18"/>
      <c r="K13" s="1"/>
      <c r="L13" s="1"/>
      <c r="M13" s="1"/>
      <c r="N13" s="1"/>
      <c r="O13" s="124" t="s">
        <v>83</v>
      </c>
      <c r="P13" s="12"/>
      <c r="Q13" s="1">
        <v>36394</v>
      </c>
    </row>
    <row r="14" spans="1:17" x14ac:dyDescent="0.25">
      <c r="A14" s="1">
        <v>12</v>
      </c>
      <c r="B14" s="18" t="s">
        <v>11</v>
      </c>
      <c r="C14" s="1">
        <v>15904</v>
      </c>
      <c r="D14" s="1">
        <v>9388</v>
      </c>
      <c r="E14" s="1">
        <v>1801</v>
      </c>
      <c r="F14" s="1">
        <v>3854</v>
      </c>
      <c r="G14" s="1">
        <v>593</v>
      </c>
      <c r="H14" s="1">
        <v>1911</v>
      </c>
      <c r="I14" s="94"/>
      <c r="J14" s="18"/>
      <c r="K14" s="1"/>
      <c r="L14" s="1"/>
      <c r="M14" s="1"/>
      <c r="N14" s="1"/>
      <c r="O14" s="124" t="s">
        <v>84</v>
      </c>
      <c r="P14" s="12"/>
      <c r="Q14" s="1">
        <v>37736</v>
      </c>
    </row>
    <row r="15" spans="1:17" s="17" customFormat="1" x14ac:dyDescent="0.25">
      <c r="A15" s="150" t="s">
        <v>21</v>
      </c>
      <c r="B15" s="150"/>
      <c r="C15" s="18">
        <f t="shared" ref="C15:H15" si="0">SUM(C3:C14)</f>
        <v>202806</v>
      </c>
      <c r="D15" s="18">
        <f t="shared" si="0"/>
        <v>120967.23999999999</v>
      </c>
      <c r="E15" s="18">
        <f t="shared" si="0"/>
        <v>19829.55</v>
      </c>
      <c r="F15" s="18">
        <f t="shared" si="0"/>
        <v>56938</v>
      </c>
      <c r="G15" s="18">
        <f t="shared" si="0"/>
        <v>8515</v>
      </c>
      <c r="H15" s="18">
        <f t="shared" si="0"/>
        <v>24660.38</v>
      </c>
      <c r="I15" s="95"/>
      <c r="J15" s="18"/>
      <c r="K15" s="18"/>
      <c r="L15" s="18"/>
      <c r="M15" s="18"/>
      <c r="N15" s="18"/>
      <c r="O15" s="18">
        <v>721</v>
      </c>
      <c r="P15" s="18"/>
      <c r="Q15" s="18">
        <f>SUM(Q3:Q14)</f>
        <v>480309.4</v>
      </c>
    </row>
    <row r="16" spans="1:17" s="17" customFormat="1" x14ac:dyDescent="0.25">
      <c r="A16" s="36"/>
      <c r="B16" s="37"/>
      <c r="C16" s="38"/>
      <c r="D16" s="38"/>
      <c r="E16" s="24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4" x14ac:dyDescent="0.25">
      <c r="A17" s="142" t="s">
        <v>22</v>
      </c>
      <c r="B17" s="143"/>
      <c r="C17" s="143"/>
      <c r="D17" s="143"/>
      <c r="E17" s="144"/>
    </row>
    <row r="18" spans="1:14" x14ac:dyDescent="0.25">
      <c r="A18" s="152" t="s">
        <v>101</v>
      </c>
      <c r="B18" s="152"/>
      <c r="C18" s="152"/>
      <c r="D18" s="152"/>
      <c r="E18" s="153"/>
      <c r="F18" s="25"/>
      <c r="G18" s="42"/>
      <c r="H18" s="42"/>
      <c r="I18" s="42"/>
      <c r="J18" s="43"/>
      <c r="K18" s="7"/>
      <c r="L18" s="4"/>
      <c r="M18" s="4"/>
      <c r="N18" s="4"/>
    </row>
    <row r="19" spans="1:14" x14ac:dyDescent="0.25">
      <c r="A19" s="152" t="s">
        <v>102</v>
      </c>
      <c r="B19" s="152"/>
      <c r="C19" s="152"/>
      <c r="D19" s="152"/>
      <c r="E19" s="153"/>
      <c r="F19" s="25"/>
      <c r="G19" s="42"/>
      <c r="H19" s="42"/>
      <c r="I19" s="42"/>
      <c r="J19" s="43"/>
      <c r="K19" s="7"/>
      <c r="L19" s="4"/>
      <c r="M19" s="4"/>
      <c r="N19" s="4"/>
    </row>
    <row r="20" spans="1:14" x14ac:dyDescent="0.25">
      <c r="A20" s="152" t="s">
        <v>103</v>
      </c>
      <c r="B20" s="152"/>
      <c r="C20" s="152"/>
      <c r="D20" s="152"/>
      <c r="E20" s="153"/>
      <c r="F20" s="25"/>
      <c r="G20" s="42"/>
      <c r="H20" s="42"/>
      <c r="I20" s="42"/>
      <c r="J20" s="43"/>
      <c r="K20" s="7"/>
      <c r="L20" s="4"/>
      <c r="M20" s="4"/>
      <c r="N20" s="4"/>
    </row>
    <row r="21" spans="1:14" x14ac:dyDescent="0.25">
      <c r="A21" s="152" t="s">
        <v>104</v>
      </c>
      <c r="B21" s="152"/>
      <c r="C21" s="152"/>
      <c r="D21" s="152"/>
      <c r="E21" s="153"/>
      <c r="F21" s="25"/>
      <c r="G21" s="42"/>
      <c r="H21" s="42"/>
      <c r="I21" s="42"/>
      <c r="J21" s="43"/>
      <c r="K21" s="7"/>
      <c r="L21" s="4"/>
      <c r="M21" s="4"/>
      <c r="N21" s="4"/>
    </row>
    <row r="22" spans="1:14" x14ac:dyDescent="0.25">
      <c r="A22" s="152" t="s">
        <v>105</v>
      </c>
      <c r="B22" s="152"/>
      <c r="C22" s="152"/>
      <c r="D22" s="152"/>
      <c r="E22" s="153"/>
      <c r="F22" s="25"/>
      <c r="G22" s="42"/>
      <c r="H22" s="42"/>
      <c r="I22" s="42"/>
      <c r="J22" s="43"/>
      <c r="K22" s="7"/>
      <c r="L22" s="4"/>
      <c r="M22" s="4"/>
      <c r="N22" s="4"/>
    </row>
    <row r="23" spans="1:14" ht="27" customHeight="1" x14ac:dyDescent="0.25">
      <c r="A23" s="141" t="s">
        <v>153</v>
      </c>
      <c r="B23" s="141"/>
      <c r="C23" s="141"/>
      <c r="D23" s="141"/>
      <c r="E23" s="151"/>
      <c r="F23" s="25"/>
      <c r="G23" s="42"/>
      <c r="H23" s="42"/>
      <c r="I23" s="42"/>
      <c r="J23" s="44"/>
      <c r="K23" s="5"/>
      <c r="L23" s="5"/>
      <c r="M23" s="5"/>
      <c r="N23" s="5"/>
    </row>
  </sheetData>
  <mergeCells count="12">
    <mergeCell ref="A23:E23"/>
    <mergeCell ref="A22:E22"/>
    <mergeCell ref="A1:A2"/>
    <mergeCell ref="B1:B2"/>
    <mergeCell ref="J1:N1"/>
    <mergeCell ref="A15:B15"/>
    <mergeCell ref="C1:H1"/>
    <mergeCell ref="A17:E17"/>
    <mergeCell ref="A18:E18"/>
    <mergeCell ref="A19:E19"/>
    <mergeCell ref="A20:E20"/>
    <mergeCell ref="A21:E21"/>
  </mergeCells>
  <pageMargins left="0.7" right="0.7" top="0.75" bottom="0.75" header="0.3" footer="0.3"/>
  <pageSetup orientation="portrait" r:id="rId1"/>
  <ignoredErrors>
    <ignoredError sqref="O4:O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O15" sqref="O15"/>
    </sheetView>
  </sheetViews>
  <sheetFormatPr defaultRowHeight="15" x14ac:dyDescent="0.25"/>
  <cols>
    <col min="1" max="1" width="6.28515625" customWidth="1"/>
    <col min="2" max="2" width="14.140625" customWidth="1"/>
    <col min="9" max="9" width="4.7109375" customWidth="1"/>
    <col min="10" max="10" width="5.140625" customWidth="1"/>
    <col min="11" max="11" width="6.5703125" customWidth="1"/>
  </cols>
  <sheetData>
    <row r="1" spans="1:17" x14ac:dyDescent="0.25">
      <c r="A1" s="146" t="s">
        <v>12</v>
      </c>
      <c r="B1" s="148" t="s">
        <v>13</v>
      </c>
      <c r="C1" s="154" t="s">
        <v>19</v>
      </c>
      <c r="D1" s="155"/>
      <c r="E1" s="155"/>
      <c r="F1" s="155"/>
      <c r="G1" s="155"/>
      <c r="H1" s="156"/>
      <c r="I1" s="50"/>
      <c r="J1" s="140" t="s">
        <v>20</v>
      </c>
      <c r="K1" s="140"/>
      <c r="L1" s="140"/>
      <c r="M1" s="140"/>
      <c r="N1" s="140"/>
    </row>
    <row r="2" spans="1:17" ht="141.75" x14ac:dyDescent="0.25">
      <c r="A2" s="147"/>
      <c r="B2" s="149"/>
      <c r="C2" s="2" t="s">
        <v>14</v>
      </c>
      <c r="D2" s="3" t="s">
        <v>15</v>
      </c>
      <c r="E2" s="3" t="s">
        <v>16</v>
      </c>
      <c r="F2" s="2" t="s">
        <v>17</v>
      </c>
      <c r="G2" s="3" t="s">
        <v>18</v>
      </c>
      <c r="H2" s="3" t="s">
        <v>25</v>
      </c>
      <c r="I2" s="93"/>
      <c r="J2" s="2" t="s">
        <v>14</v>
      </c>
      <c r="K2" s="3" t="s">
        <v>15</v>
      </c>
      <c r="L2" s="3" t="s">
        <v>16</v>
      </c>
      <c r="M2" s="2" t="s">
        <v>17</v>
      </c>
      <c r="N2" s="3" t="s">
        <v>18</v>
      </c>
      <c r="O2" s="3" t="s">
        <v>27</v>
      </c>
      <c r="P2" s="3" t="s">
        <v>28</v>
      </c>
      <c r="Q2" s="3" t="s">
        <v>80</v>
      </c>
    </row>
    <row r="3" spans="1:17" x14ac:dyDescent="0.25">
      <c r="A3" s="1">
        <v>1</v>
      </c>
      <c r="B3" s="1" t="s">
        <v>0</v>
      </c>
      <c r="C3" s="1">
        <v>17499.900000000001</v>
      </c>
      <c r="D3" s="1">
        <v>17645.650000000001</v>
      </c>
      <c r="E3" s="1">
        <v>1614.61</v>
      </c>
      <c r="F3" s="1">
        <v>5400</v>
      </c>
      <c r="G3" s="1">
        <v>600</v>
      </c>
      <c r="H3" s="1">
        <v>1269.5999999999999</v>
      </c>
      <c r="I3" s="94"/>
      <c r="J3" s="1"/>
      <c r="K3" s="1"/>
      <c r="L3" s="1"/>
      <c r="M3" s="1"/>
      <c r="N3" s="1"/>
      <c r="O3" s="124" t="s">
        <v>47</v>
      </c>
      <c r="P3" s="12"/>
      <c r="Q3" s="1">
        <v>42287.41</v>
      </c>
    </row>
    <row r="4" spans="1:17" x14ac:dyDescent="0.25">
      <c r="A4" s="1">
        <v>2</v>
      </c>
      <c r="B4" s="1" t="s">
        <v>1</v>
      </c>
      <c r="C4">
        <v>17181</v>
      </c>
      <c r="D4" s="1">
        <v>17324.82</v>
      </c>
      <c r="E4" s="1">
        <v>2027</v>
      </c>
      <c r="F4" s="8">
        <v>5589</v>
      </c>
      <c r="G4" s="1">
        <v>621</v>
      </c>
      <c r="H4" s="8">
        <v>838</v>
      </c>
      <c r="I4" s="99"/>
      <c r="J4" s="1"/>
      <c r="K4" s="1"/>
      <c r="L4" s="1"/>
      <c r="M4" s="1"/>
      <c r="N4" s="1"/>
      <c r="O4" s="127">
        <v>54</v>
      </c>
      <c r="P4" s="1"/>
      <c r="Q4" s="1">
        <v>39587</v>
      </c>
    </row>
    <row r="5" spans="1:17" x14ac:dyDescent="0.25">
      <c r="A5" s="1">
        <v>3</v>
      </c>
      <c r="B5" s="1" t="s">
        <v>2</v>
      </c>
      <c r="C5" s="1">
        <v>26408.94</v>
      </c>
      <c r="D5" s="1">
        <v>26628.89</v>
      </c>
      <c r="E5" s="1">
        <v>2599.83</v>
      </c>
      <c r="F5" s="1">
        <v>7056</v>
      </c>
      <c r="G5" s="1">
        <v>784</v>
      </c>
      <c r="H5" s="1">
        <v>1305.3</v>
      </c>
      <c r="I5" s="94"/>
      <c r="J5" s="1"/>
      <c r="K5" s="1"/>
      <c r="L5" s="1"/>
      <c r="M5" s="1"/>
      <c r="N5" s="1"/>
      <c r="O5" s="124" t="s">
        <v>48</v>
      </c>
      <c r="P5" s="12"/>
      <c r="Q5" s="1">
        <v>62269.64</v>
      </c>
    </row>
    <row r="6" spans="1:17" x14ac:dyDescent="0.25">
      <c r="A6" s="1">
        <v>4</v>
      </c>
      <c r="B6" s="1" t="s">
        <v>3</v>
      </c>
      <c r="C6" s="1">
        <v>20363.52</v>
      </c>
      <c r="D6" s="1">
        <v>20533.12</v>
      </c>
      <c r="E6" s="1">
        <v>2077.04</v>
      </c>
      <c r="F6" s="1">
        <v>5643</v>
      </c>
      <c r="G6" s="1">
        <v>627</v>
      </c>
      <c r="H6" s="1">
        <v>1168.5</v>
      </c>
      <c r="I6" s="94"/>
      <c r="J6" s="1"/>
      <c r="K6" s="1"/>
      <c r="L6" s="1"/>
      <c r="M6" s="1"/>
      <c r="N6" s="1"/>
      <c r="O6" s="124" t="s">
        <v>49</v>
      </c>
      <c r="P6" s="12"/>
      <c r="Q6" s="1">
        <v>48967.23</v>
      </c>
    </row>
    <row r="7" spans="1:17" x14ac:dyDescent="0.25">
      <c r="A7" s="1">
        <v>5</v>
      </c>
      <c r="B7" s="1" t="s">
        <v>4</v>
      </c>
      <c r="C7" s="1">
        <v>23545.32</v>
      </c>
      <c r="D7" s="1">
        <v>23741.42</v>
      </c>
      <c r="E7" s="1">
        <v>3490.84</v>
      </c>
      <c r="F7" s="1">
        <v>8226</v>
      </c>
      <c r="G7" s="1">
        <v>914</v>
      </c>
      <c r="H7" s="1">
        <v>1496.5</v>
      </c>
      <c r="I7" s="94"/>
      <c r="J7" s="1"/>
      <c r="K7" s="1"/>
      <c r="L7" s="1"/>
      <c r="M7" s="1"/>
      <c r="N7" s="1"/>
      <c r="O7" s="124" t="s">
        <v>50</v>
      </c>
      <c r="P7" s="12"/>
      <c r="Q7" s="1">
        <v>58202.09</v>
      </c>
    </row>
    <row r="8" spans="1:17" x14ac:dyDescent="0.25">
      <c r="A8" s="1">
        <v>6</v>
      </c>
      <c r="B8" s="1" t="s">
        <v>5</v>
      </c>
      <c r="C8" s="1">
        <v>33564.959999999999</v>
      </c>
      <c r="D8" s="1">
        <v>23099.759999999998</v>
      </c>
      <c r="E8" s="1">
        <v>3050.06</v>
      </c>
      <c r="F8" s="1">
        <v>7119</v>
      </c>
      <c r="G8" s="1">
        <v>791</v>
      </c>
      <c r="H8" s="1">
        <v>1379</v>
      </c>
      <c r="I8" s="94"/>
      <c r="J8" s="1"/>
      <c r="K8" s="1"/>
      <c r="L8" s="1"/>
      <c r="M8" s="1"/>
      <c r="N8" s="1"/>
      <c r="O8" s="124" t="s">
        <v>51</v>
      </c>
      <c r="P8" s="12"/>
      <c r="Q8" s="1">
        <v>60383.87</v>
      </c>
    </row>
    <row r="9" spans="1:17" x14ac:dyDescent="0.25">
      <c r="A9" s="1">
        <v>7</v>
      </c>
      <c r="B9" s="1" t="s">
        <v>6</v>
      </c>
      <c r="C9" s="1">
        <v>34497</v>
      </c>
      <c r="D9" s="1">
        <v>23741</v>
      </c>
      <c r="E9" s="1">
        <v>2829</v>
      </c>
      <c r="F9" s="1">
        <v>6723</v>
      </c>
      <c r="G9" s="1">
        <v>747</v>
      </c>
      <c r="H9" s="1">
        <v>1577</v>
      </c>
      <c r="I9" s="94"/>
      <c r="J9" s="1"/>
      <c r="K9" s="1"/>
      <c r="L9" s="1"/>
      <c r="M9" s="1"/>
      <c r="N9" s="1"/>
      <c r="O9" s="124" t="s">
        <v>50</v>
      </c>
      <c r="P9" s="12"/>
      <c r="Q9" s="1">
        <v>61928</v>
      </c>
    </row>
    <row r="10" spans="1:17" x14ac:dyDescent="0.25">
      <c r="A10" s="1">
        <v>8</v>
      </c>
      <c r="B10" s="1" t="s">
        <v>7</v>
      </c>
      <c r="C10" s="1">
        <v>28436</v>
      </c>
      <c r="D10" s="1">
        <v>19570</v>
      </c>
      <c r="E10" s="1">
        <v>2211</v>
      </c>
      <c r="F10" s="1">
        <v>5202</v>
      </c>
      <c r="G10" s="1">
        <v>578</v>
      </c>
      <c r="H10" s="1">
        <v>1183</v>
      </c>
      <c r="I10" s="94"/>
      <c r="J10" s="1"/>
      <c r="K10" s="1"/>
      <c r="L10" s="1"/>
      <c r="M10" s="1"/>
      <c r="N10" s="1"/>
      <c r="O10" s="124" t="s">
        <v>81</v>
      </c>
      <c r="P10" s="12"/>
      <c r="Q10" s="1">
        <v>49455</v>
      </c>
    </row>
    <row r="11" spans="1:17" x14ac:dyDescent="0.25">
      <c r="A11" s="1">
        <v>9</v>
      </c>
      <c r="B11" s="1" t="s">
        <v>8</v>
      </c>
      <c r="C11" s="1">
        <v>31700</v>
      </c>
      <c r="D11" s="1">
        <v>21816</v>
      </c>
      <c r="E11" s="1">
        <v>2517</v>
      </c>
      <c r="F11" s="1">
        <v>6606</v>
      </c>
      <c r="G11" s="1">
        <v>734</v>
      </c>
      <c r="H11" s="1">
        <v>1212</v>
      </c>
      <c r="I11" s="94"/>
      <c r="J11" s="1"/>
      <c r="K11" s="1"/>
      <c r="L11" s="1"/>
      <c r="M11" s="1"/>
      <c r="N11" s="1"/>
      <c r="O11" s="124" t="s">
        <v>43</v>
      </c>
      <c r="P11" s="12"/>
      <c r="Q11" s="1">
        <v>56972</v>
      </c>
    </row>
    <row r="12" spans="1:17" x14ac:dyDescent="0.25">
      <c r="A12" s="1">
        <v>10</v>
      </c>
      <c r="B12" s="1" t="s">
        <v>9</v>
      </c>
      <c r="C12" s="1">
        <v>27038</v>
      </c>
      <c r="D12" s="1">
        <v>18608</v>
      </c>
      <c r="E12" s="1">
        <v>2350</v>
      </c>
      <c r="F12" s="1">
        <v>5247</v>
      </c>
      <c r="G12" s="1">
        <v>583</v>
      </c>
      <c r="H12" s="1">
        <v>1153</v>
      </c>
      <c r="I12" s="94"/>
      <c r="J12" s="1"/>
      <c r="K12" s="1"/>
      <c r="L12" s="1"/>
      <c r="M12" s="1"/>
      <c r="N12" s="1"/>
      <c r="O12" s="124" t="s">
        <v>85</v>
      </c>
      <c r="P12" s="12"/>
      <c r="Q12" s="1">
        <v>48628</v>
      </c>
    </row>
    <row r="13" spans="1:17" x14ac:dyDescent="0.25">
      <c r="A13" s="1">
        <v>11</v>
      </c>
      <c r="B13" s="1" t="s">
        <v>10</v>
      </c>
      <c r="C13" s="1">
        <v>24707</v>
      </c>
      <c r="D13" s="1">
        <v>17003</v>
      </c>
      <c r="E13" s="1">
        <v>2172</v>
      </c>
      <c r="F13" s="1">
        <v>4887</v>
      </c>
      <c r="G13" s="1">
        <v>543</v>
      </c>
      <c r="H13" s="1">
        <v>1170</v>
      </c>
      <c r="I13" s="94"/>
      <c r="J13" s="1"/>
      <c r="K13" s="1"/>
      <c r="L13" s="1"/>
      <c r="M13" s="1"/>
      <c r="N13" s="1"/>
      <c r="O13" s="124" t="s">
        <v>83</v>
      </c>
      <c r="P13" s="12"/>
      <c r="Q13" s="1">
        <v>44448.7</v>
      </c>
    </row>
    <row r="14" spans="1:17" x14ac:dyDescent="0.25">
      <c r="A14" s="1">
        <v>12</v>
      </c>
      <c r="B14" s="1" t="s">
        <v>11</v>
      </c>
      <c r="C14" s="1">
        <v>35429</v>
      </c>
      <c r="D14" s="1">
        <v>24383</v>
      </c>
      <c r="E14" s="1">
        <v>2959</v>
      </c>
      <c r="F14" s="1">
        <v>6507</v>
      </c>
      <c r="G14" s="1">
        <v>723</v>
      </c>
      <c r="H14" s="1">
        <v>1197</v>
      </c>
      <c r="I14" s="94"/>
      <c r="J14" s="1"/>
      <c r="K14" s="1"/>
      <c r="L14" s="1"/>
      <c r="M14" s="1"/>
      <c r="N14" s="1"/>
      <c r="O14" s="124" t="s">
        <v>86</v>
      </c>
      <c r="P14" s="12"/>
      <c r="Q14" s="1">
        <v>63738</v>
      </c>
    </row>
    <row r="15" spans="1:17" s="17" customFormat="1" x14ac:dyDescent="0.25">
      <c r="A15" s="150" t="s">
        <v>21</v>
      </c>
      <c r="B15" s="150"/>
      <c r="C15" s="18">
        <f t="shared" ref="C15:H15" si="0">SUM(C3:C14)</f>
        <v>320370.64</v>
      </c>
      <c r="D15" s="18">
        <f t="shared" si="0"/>
        <v>254094.65999999997</v>
      </c>
      <c r="E15" s="18">
        <f t="shared" si="0"/>
        <v>29897.379999999997</v>
      </c>
      <c r="F15" s="18">
        <f t="shared" si="0"/>
        <v>74205</v>
      </c>
      <c r="G15" s="18">
        <f t="shared" si="0"/>
        <v>8245</v>
      </c>
      <c r="H15" s="18">
        <f t="shared" si="0"/>
        <v>14948.9</v>
      </c>
      <c r="I15" s="95"/>
      <c r="J15" s="18"/>
      <c r="K15" s="18"/>
      <c r="L15" s="18"/>
      <c r="M15" s="18"/>
      <c r="N15" s="18"/>
      <c r="O15" s="18">
        <v>792</v>
      </c>
      <c r="P15" s="18"/>
      <c r="Q15" s="18">
        <f>SUM(Q3:Q14)</f>
        <v>636866.93999999994</v>
      </c>
    </row>
    <row r="16" spans="1:17" s="17" customFormat="1" x14ac:dyDescent="0.25">
      <c r="A16" s="36"/>
      <c r="B16" s="37"/>
      <c r="C16" s="38"/>
      <c r="D16" s="38"/>
      <c r="E16" s="24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4" x14ac:dyDescent="0.25">
      <c r="A17" s="142" t="s">
        <v>22</v>
      </c>
      <c r="B17" s="143"/>
      <c r="C17" s="143"/>
      <c r="D17" s="143"/>
      <c r="E17" s="144"/>
    </row>
    <row r="18" spans="1:14" x14ac:dyDescent="0.25">
      <c r="A18" s="145" t="s">
        <v>106</v>
      </c>
      <c r="B18" s="145"/>
      <c r="C18" s="145"/>
      <c r="D18" s="145"/>
      <c r="E18" s="157"/>
      <c r="F18" s="25"/>
      <c r="G18" s="42"/>
      <c r="H18" s="42"/>
      <c r="I18" s="42"/>
      <c r="J18" s="43"/>
      <c r="K18" s="7"/>
      <c r="L18" s="4"/>
      <c r="M18" s="4"/>
      <c r="N18" s="4"/>
    </row>
    <row r="19" spans="1:14" x14ac:dyDescent="0.25">
      <c r="A19" s="145" t="s">
        <v>107</v>
      </c>
      <c r="B19" s="145"/>
      <c r="C19" s="145"/>
      <c r="D19" s="145"/>
      <c r="E19" s="157"/>
      <c r="F19" s="25"/>
      <c r="G19" s="42"/>
      <c r="H19" s="42"/>
      <c r="I19" s="42"/>
      <c r="J19" s="43"/>
      <c r="K19" s="7"/>
      <c r="L19" s="4"/>
      <c r="M19" s="4"/>
      <c r="N19" s="4"/>
    </row>
    <row r="20" spans="1:14" x14ac:dyDescent="0.25">
      <c r="A20" s="145" t="s">
        <v>108</v>
      </c>
      <c r="B20" s="145"/>
      <c r="C20" s="145"/>
      <c r="D20" s="145"/>
      <c r="E20" s="157"/>
      <c r="F20" s="25"/>
      <c r="G20" s="42"/>
      <c r="H20" s="42"/>
      <c r="I20" s="42"/>
      <c r="J20" s="43"/>
      <c r="K20" s="7"/>
      <c r="L20" s="4"/>
      <c r="M20" s="4"/>
      <c r="N20" s="4"/>
    </row>
    <row r="21" spans="1:14" x14ac:dyDescent="0.25">
      <c r="A21" s="145" t="s">
        <v>109</v>
      </c>
      <c r="B21" s="145"/>
      <c r="C21" s="145"/>
      <c r="D21" s="145"/>
      <c r="E21" s="157"/>
      <c r="F21" s="25"/>
      <c r="G21" s="42"/>
      <c r="H21" s="42"/>
      <c r="I21" s="42"/>
      <c r="J21" s="43"/>
      <c r="K21" s="7"/>
      <c r="L21" s="4"/>
      <c r="M21" s="4"/>
      <c r="N21" s="4"/>
    </row>
    <row r="22" spans="1:14" x14ac:dyDescent="0.25">
      <c r="A22" s="145" t="s">
        <v>110</v>
      </c>
      <c r="B22" s="145"/>
      <c r="C22" s="145"/>
      <c r="D22" s="145"/>
      <c r="E22" s="157"/>
      <c r="F22" s="25"/>
      <c r="G22" s="42"/>
      <c r="H22" s="42"/>
      <c r="I22" s="42"/>
      <c r="J22" s="43"/>
      <c r="K22" s="7"/>
      <c r="L22" s="4"/>
      <c r="M22" s="4"/>
      <c r="N22" s="4"/>
    </row>
    <row r="23" spans="1:14" ht="28.5" customHeight="1" x14ac:dyDescent="0.25">
      <c r="A23" s="141" t="s">
        <v>151</v>
      </c>
      <c r="B23" s="141"/>
      <c r="C23" s="141"/>
      <c r="D23" s="141"/>
      <c r="E23" s="151"/>
      <c r="F23" s="25"/>
      <c r="G23" s="42"/>
      <c r="H23" s="42"/>
      <c r="I23" s="42"/>
      <c r="J23" s="44"/>
      <c r="K23" s="5"/>
      <c r="L23" s="5"/>
      <c r="M23" s="5"/>
      <c r="N23" s="5"/>
    </row>
  </sheetData>
  <mergeCells count="12">
    <mergeCell ref="A23:E23"/>
    <mergeCell ref="A1:A2"/>
    <mergeCell ref="B1:B2"/>
    <mergeCell ref="C1:H1"/>
    <mergeCell ref="J1:N1"/>
    <mergeCell ref="A15:B15"/>
    <mergeCell ref="A17:E17"/>
    <mergeCell ref="A18:E18"/>
    <mergeCell ref="A19:E19"/>
    <mergeCell ref="A20:E20"/>
    <mergeCell ref="A21:E21"/>
    <mergeCell ref="A22:E22"/>
  </mergeCells>
  <pageMargins left="0.7" right="0.7" top="0.75" bottom="0.75" header="0.3" footer="0.3"/>
  <ignoredErrors>
    <ignoredError sqref="O3:O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O28" sqref="O28"/>
    </sheetView>
  </sheetViews>
  <sheetFormatPr defaultRowHeight="15" x14ac:dyDescent="0.25"/>
  <cols>
    <col min="2" max="2" width="17.5703125" customWidth="1"/>
    <col min="9" max="9" width="6" customWidth="1"/>
  </cols>
  <sheetData>
    <row r="1" spans="1:17" x14ac:dyDescent="0.25">
      <c r="A1" s="146" t="s">
        <v>12</v>
      </c>
      <c r="B1" s="148" t="s">
        <v>13</v>
      </c>
      <c r="C1" s="154" t="s">
        <v>19</v>
      </c>
      <c r="D1" s="155"/>
      <c r="E1" s="155"/>
      <c r="F1" s="155"/>
      <c r="G1" s="155"/>
      <c r="H1" s="156"/>
      <c r="I1" s="50"/>
      <c r="J1" s="140" t="s">
        <v>20</v>
      </c>
      <c r="K1" s="140"/>
      <c r="L1" s="140"/>
      <c r="M1" s="140"/>
      <c r="N1" s="140"/>
    </row>
    <row r="2" spans="1:17" ht="81.75" x14ac:dyDescent="0.25">
      <c r="A2" s="147"/>
      <c r="B2" s="149"/>
      <c r="C2" s="2" t="s">
        <v>14</v>
      </c>
      <c r="D2" s="3" t="s">
        <v>15</v>
      </c>
      <c r="E2" s="3" t="s">
        <v>16</v>
      </c>
      <c r="F2" s="2" t="s">
        <v>17</v>
      </c>
      <c r="G2" s="3" t="s">
        <v>18</v>
      </c>
      <c r="H2" s="3" t="s">
        <v>25</v>
      </c>
      <c r="I2" s="93"/>
      <c r="J2" s="2" t="s">
        <v>14</v>
      </c>
      <c r="K2" s="3" t="s">
        <v>15</v>
      </c>
      <c r="L2" s="3" t="s">
        <v>16</v>
      </c>
      <c r="M2" s="2" t="s">
        <v>17</v>
      </c>
      <c r="N2" s="3" t="s">
        <v>18</v>
      </c>
      <c r="O2" s="3" t="s">
        <v>27</v>
      </c>
      <c r="P2" s="3" t="s">
        <v>28</v>
      </c>
      <c r="Q2" s="13" t="s">
        <v>80</v>
      </c>
    </row>
    <row r="3" spans="1:17" x14ac:dyDescent="0.25">
      <c r="A3" s="1">
        <v>1</v>
      </c>
      <c r="B3" s="1" t="s">
        <v>0</v>
      </c>
      <c r="C3" s="1">
        <v>12127.5</v>
      </c>
      <c r="D3" s="1">
        <v>5197.5</v>
      </c>
      <c r="E3" s="1">
        <v>1051.3599999999999</v>
      </c>
      <c r="F3" s="1">
        <v>1152</v>
      </c>
      <c r="G3" s="1">
        <v>385</v>
      </c>
      <c r="H3" s="1">
        <v>293</v>
      </c>
      <c r="I3" s="94"/>
      <c r="J3" s="1">
        <v>17325</v>
      </c>
      <c r="K3" s="1">
        <v>7425</v>
      </c>
      <c r="L3" s="1">
        <v>852.22</v>
      </c>
      <c r="M3" s="1">
        <v>1650</v>
      </c>
      <c r="N3" s="1">
        <v>550</v>
      </c>
      <c r="O3" s="124" t="s">
        <v>52</v>
      </c>
      <c r="P3" s="12">
        <v>43</v>
      </c>
      <c r="Q3" s="1">
        <v>36771</v>
      </c>
    </row>
    <row r="4" spans="1:17" x14ac:dyDescent="0.25">
      <c r="A4" s="1">
        <v>2</v>
      </c>
      <c r="B4" s="1" t="s">
        <v>1</v>
      </c>
      <c r="C4">
        <v>8284.5</v>
      </c>
      <c r="D4" s="1">
        <v>3550</v>
      </c>
      <c r="E4" s="1">
        <v>804.08</v>
      </c>
      <c r="F4" s="8">
        <v>789</v>
      </c>
      <c r="G4" s="1">
        <v>263</v>
      </c>
      <c r="H4" s="8">
        <v>224</v>
      </c>
      <c r="I4" s="99"/>
      <c r="J4" s="1">
        <v>16688.7</v>
      </c>
      <c r="K4" s="1">
        <v>7492.5</v>
      </c>
      <c r="L4" s="1">
        <v>865.86</v>
      </c>
      <c r="M4" s="1">
        <v>1665</v>
      </c>
      <c r="N4" s="1">
        <v>555</v>
      </c>
      <c r="O4" s="124" t="s">
        <v>53</v>
      </c>
      <c r="P4" s="12">
        <v>36</v>
      </c>
      <c r="Q4" s="1">
        <v>28050.1</v>
      </c>
    </row>
    <row r="5" spans="1:17" x14ac:dyDescent="0.25">
      <c r="A5" s="1">
        <v>3</v>
      </c>
      <c r="B5" s="1" t="s">
        <v>2</v>
      </c>
      <c r="C5" s="1">
        <v>10615.5</v>
      </c>
      <c r="D5" s="1">
        <v>4549.5</v>
      </c>
      <c r="E5" s="1">
        <v>1021.56</v>
      </c>
      <c r="F5" s="1">
        <v>1011</v>
      </c>
      <c r="G5" s="1">
        <v>337</v>
      </c>
      <c r="H5" s="1">
        <v>287</v>
      </c>
      <c r="I5" s="94"/>
      <c r="J5" s="1">
        <v>18805.5</v>
      </c>
      <c r="K5" s="1">
        <v>8059.5</v>
      </c>
      <c r="L5" s="1">
        <v>849.33</v>
      </c>
      <c r="M5" s="1">
        <v>1791</v>
      </c>
      <c r="N5" s="1">
        <v>597</v>
      </c>
      <c r="O5" s="124" t="s">
        <v>54</v>
      </c>
      <c r="P5" s="12">
        <v>39</v>
      </c>
      <c r="Q5" s="1">
        <v>27934.48</v>
      </c>
    </row>
    <row r="6" spans="1:17" x14ac:dyDescent="0.25">
      <c r="A6" s="1">
        <v>4</v>
      </c>
      <c r="B6" s="1" t="s">
        <v>3</v>
      </c>
      <c r="C6" s="1">
        <v>6347.52</v>
      </c>
      <c r="D6" s="1">
        <v>4788.4799999999996</v>
      </c>
      <c r="E6" s="1">
        <v>1220.25</v>
      </c>
      <c r="F6" s="1">
        <v>1044</v>
      </c>
      <c r="G6" s="1">
        <v>348</v>
      </c>
      <c r="H6" s="1">
        <v>364</v>
      </c>
      <c r="I6" s="94"/>
      <c r="J6" s="1">
        <v>10323.84</v>
      </c>
      <c r="K6" s="1">
        <v>7788.16</v>
      </c>
      <c r="L6" s="1">
        <v>1087.8399999999999</v>
      </c>
      <c r="M6" s="1">
        <v>1698</v>
      </c>
      <c r="N6" s="1">
        <v>566</v>
      </c>
      <c r="O6" s="124" t="s">
        <v>55</v>
      </c>
      <c r="P6" s="12">
        <v>42</v>
      </c>
      <c r="Q6" s="1">
        <v>25007.119999999999</v>
      </c>
    </row>
    <row r="7" spans="1:17" x14ac:dyDescent="0.25">
      <c r="A7" s="1">
        <v>5</v>
      </c>
      <c r="B7" s="1" t="s">
        <v>4</v>
      </c>
      <c r="C7" s="1">
        <v>4905.4399999999996</v>
      </c>
      <c r="D7" s="1">
        <v>2062.56</v>
      </c>
      <c r="E7" s="1">
        <v>967.46</v>
      </c>
      <c r="F7" s="1">
        <v>804</v>
      </c>
      <c r="G7" s="1">
        <v>264</v>
      </c>
      <c r="H7" s="1">
        <v>240</v>
      </c>
      <c r="I7" s="94"/>
      <c r="J7" s="1">
        <v>13069</v>
      </c>
      <c r="K7" s="1">
        <v>5495</v>
      </c>
      <c r="L7" s="1">
        <v>1064.51</v>
      </c>
      <c r="M7" s="1">
        <v>2142</v>
      </c>
      <c r="N7" s="1">
        <v>714</v>
      </c>
      <c r="O7" s="124" t="s">
        <v>56</v>
      </c>
      <c r="P7" s="12">
        <v>50</v>
      </c>
      <c r="Q7" s="1">
        <v>21139.87</v>
      </c>
    </row>
    <row r="8" spans="1:17" x14ac:dyDescent="0.25">
      <c r="A8" s="1">
        <v>6</v>
      </c>
      <c r="B8" s="1" t="s">
        <v>5</v>
      </c>
      <c r="C8" s="1">
        <v>3320.31</v>
      </c>
      <c r="D8" s="1">
        <v>891.69</v>
      </c>
      <c r="E8" s="1">
        <v>1745.81</v>
      </c>
      <c r="F8" s="1">
        <v>501</v>
      </c>
      <c r="G8" s="1">
        <v>162</v>
      </c>
      <c r="H8" s="1">
        <v>1142</v>
      </c>
      <c r="I8" s="94"/>
      <c r="J8" s="1">
        <v>14633.96</v>
      </c>
      <c r="K8" s="1">
        <v>3930.04</v>
      </c>
      <c r="L8" s="1">
        <v>1578.99</v>
      </c>
      <c r="M8" s="1">
        <v>2142</v>
      </c>
      <c r="N8" s="1">
        <v>714</v>
      </c>
      <c r="O8" s="124" t="s">
        <v>57</v>
      </c>
      <c r="P8" s="12">
        <v>54</v>
      </c>
      <c r="Q8" s="1">
        <v>19190.77</v>
      </c>
    </row>
    <row r="9" spans="1:17" x14ac:dyDescent="0.25">
      <c r="A9" s="1">
        <v>7</v>
      </c>
      <c r="B9" s="1" t="s">
        <v>6</v>
      </c>
      <c r="C9" s="8">
        <v>1198</v>
      </c>
      <c r="D9" s="1">
        <v>309</v>
      </c>
      <c r="E9" s="1">
        <v>263</v>
      </c>
      <c r="F9" s="1">
        <v>174</v>
      </c>
      <c r="G9" s="1">
        <v>58</v>
      </c>
      <c r="H9" s="1">
        <v>425</v>
      </c>
      <c r="I9" s="94"/>
      <c r="J9" s="1">
        <v>10785</v>
      </c>
      <c r="K9" s="1">
        <v>2786</v>
      </c>
      <c r="L9" s="1">
        <v>1033</v>
      </c>
      <c r="M9" s="1">
        <v>1566</v>
      </c>
      <c r="N9" s="1">
        <v>522</v>
      </c>
      <c r="O9" s="124" t="s">
        <v>75</v>
      </c>
      <c r="P9" s="12">
        <v>45</v>
      </c>
      <c r="Q9" s="1">
        <v>10421</v>
      </c>
    </row>
    <row r="10" spans="1:17" x14ac:dyDescent="0.25">
      <c r="A10" s="1">
        <v>8</v>
      </c>
      <c r="B10" s="1" t="s">
        <v>7</v>
      </c>
      <c r="C10" s="1">
        <v>3573</v>
      </c>
      <c r="D10" s="1">
        <v>1080</v>
      </c>
      <c r="E10" s="1">
        <v>595</v>
      </c>
      <c r="F10" s="1">
        <v>537</v>
      </c>
      <c r="G10" s="1">
        <v>179</v>
      </c>
      <c r="H10" s="1">
        <v>1133</v>
      </c>
      <c r="I10" s="94"/>
      <c r="J10" s="1">
        <v>14651</v>
      </c>
      <c r="K10" s="1">
        <v>4432</v>
      </c>
      <c r="L10" s="1">
        <v>1244</v>
      </c>
      <c r="M10" s="1">
        <v>2202</v>
      </c>
      <c r="N10" s="1">
        <v>734</v>
      </c>
      <c r="O10" s="124" t="s">
        <v>70</v>
      </c>
      <c r="P10" s="12">
        <v>43</v>
      </c>
      <c r="Q10" s="1">
        <v>18958</v>
      </c>
    </row>
    <row r="11" spans="1:17" x14ac:dyDescent="0.25">
      <c r="A11" s="1">
        <v>9</v>
      </c>
      <c r="B11" s="1" t="s">
        <v>8</v>
      </c>
      <c r="C11" s="1">
        <v>4225</v>
      </c>
      <c r="D11" s="1">
        <v>1416</v>
      </c>
      <c r="E11" s="1">
        <v>714</v>
      </c>
      <c r="F11" s="1">
        <v>651</v>
      </c>
      <c r="G11" s="1">
        <v>217</v>
      </c>
      <c r="H11" s="1">
        <v>955</v>
      </c>
      <c r="I11" s="94"/>
      <c r="J11" s="1">
        <v>13999</v>
      </c>
      <c r="K11" s="1">
        <v>4694</v>
      </c>
      <c r="L11" s="1">
        <v>1342</v>
      </c>
      <c r="M11" s="1">
        <v>2157</v>
      </c>
      <c r="N11" s="1">
        <v>719</v>
      </c>
      <c r="O11" s="124" t="s">
        <v>57</v>
      </c>
      <c r="P11" s="12">
        <v>48</v>
      </c>
      <c r="Q11" s="1">
        <v>20339</v>
      </c>
    </row>
    <row r="12" spans="1:17" x14ac:dyDescent="0.25">
      <c r="A12" s="1">
        <v>10</v>
      </c>
      <c r="B12" s="1" t="s">
        <v>9</v>
      </c>
      <c r="C12" s="1">
        <v>2575</v>
      </c>
      <c r="D12" s="1">
        <v>804</v>
      </c>
      <c r="E12" s="1">
        <v>659</v>
      </c>
      <c r="F12" s="1">
        <v>390</v>
      </c>
      <c r="G12" s="1">
        <v>130</v>
      </c>
      <c r="H12" s="1">
        <v>621</v>
      </c>
      <c r="I12" s="94"/>
      <c r="J12" s="1">
        <v>15649</v>
      </c>
      <c r="K12" s="1">
        <v>4890</v>
      </c>
      <c r="L12" s="1">
        <v>1554</v>
      </c>
      <c r="M12" s="1">
        <v>2412</v>
      </c>
      <c r="N12" s="1">
        <v>790</v>
      </c>
      <c r="O12" s="124" t="s">
        <v>96</v>
      </c>
      <c r="P12" s="12">
        <v>57</v>
      </c>
      <c r="Q12" s="1">
        <v>17527</v>
      </c>
    </row>
    <row r="13" spans="1:17" x14ac:dyDescent="0.25">
      <c r="A13" s="1">
        <v>11</v>
      </c>
      <c r="B13" s="1" t="s">
        <v>10</v>
      </c>
      <c r="C13" s="1">
        <v>3220.04</v>
      </c>
      <c r="D13" s="1">
        <v>601.96</v>
      </c>
      <c r="E13" s="1">
        <v>553.75</v>
      </c>
      <c r="F13" s="1">
        <v>441</v>
      </c>
      <c r="G13" s="1">
        <v>147</v>
      </c>
      <c r="H13" s="1">
        <v>615</v>
      </c>
      <c r="I13" s="94"/>
      <c r="J13" s="1">
        <v>15004</v>
      </c>
      <c r="K13" s="1">
        <v>2805.04</v>
      </c>
      <c r="L13" s="1">
        <v>1078</v>
      </c>
      <c r="M13" s="1">
        <v>2055</v>
      </c>
      <c r="N13" s="1">
        <v>685</v>
      </c>
      <c r="O13" s="124" t="s">
        <v>64</v>
      </c>
      <c r="P13" s="12">
        <v>40</v>
      </c>
      <c r="Q13" s="1">
        <v>16793.099999999999</v>
      </c>
    </row>
    <row r="14" spans="1:17" x14ac:dyDescent="0.25">
      <c r="A14" s="1">
        <v>12</v>
      </c>
      <c r="B14" s="1" t="s">
        <v>11</v>
      </c>
      <c r="C14" s="1">
        <v>4768</v>
      </c>
      <c r="D14" s="1">
        <v>1523</v>
      </c>
      <c r="E14" s="1">
        <v>925</v>
      </c>
      <c r="F14" s="1">
        <v>726</v>
      </c>
      <c r="G14" s="1">
        <v>242</v>
      </c>
      <c r="H14" s="1">
        <v>991</v>
      </c>
      <c r="I14" s="94"/>
      <c r="J14" s="1">
        <v>13456</v>
      </c>
      <c r="K14" s="1">
        <v>4301</v>
      </c>
      <c r="L14" s="1">
        <v>1408</v>
      </c>
      <c r="M14" s="1">
        <v>2079</v>
      </c>
      <c r="N14" s="1">
        <v>683</v>
      </c>
      <c r="O14" s="124" t="s">
        <v>53</v>
      </c>
      <c r="P14" s="12">
        <v>37</v>
      </c>
      <c r="Q14" s="1">
        <v>20636</v>
      </c>
    </row>
    <row r="15" spans="1:17" s="17" customFormat="1" x14ac:dyDescent="0.25">
      <c r="A15" s="150" t="s">
        <v>21</v>
      </c>
      <c r="B15" s="150"/>
      <c r="C15" s="18">
        <f t="shared" ref="C15:N15" si="0">SUM(C3:C14)</f>
        <v>65159.810000000005</v>
      </c>
      <c r="D15" s="18">
        <f t="shared" si="0"/>
        <v>26773.69</v>
      </c>
      <c r="E15" s="18">
        <f t="shared" si="0"/>
        <v>10520.27</v>
      </c>
      <c r="F15" s="18">
        <f t="shared" si="0"/>
        <v>8220</v>
      </c>
      <c r="G15" s="18">
        <f t="shared" si="0"/>
        <v>2732</v>
      </c>
      <c r="H15" s="18">
        <f t="shared" si="0"/>
        <v>7290</v>
      </c>
      <c r="I15" s="95"/>
      <c r="J15" s="18">
        <f t="shared" si="0"/>
        <v>174390</v>
      </c>
      <c r="K15" s="18">
        <f t="shared" si="0"/>
        <v>64098.240000000005</v>
      </c>
      <c r="L15" s="18">
        <f t="shared" si="0"/>
        <v>13957.75</v>
      </c>
      <c r="M15" s="18">
        <f t="shared" si="0"/>
        <v>23559</v>
      </c>
      <c r="N15" s="18">
        <f t="shared" si="0"/>
        <v>7829</v>
      </c>
      <c r="O15" s="126">
        <v>216</v>
      </c>
      <c r="P15" s="18">
        <v>534</v>
      </c>
      <c r="Q15" s="18">
        <f>SUM(Q3:Q14)</f>
        <v>262767.44</v>
      </c>
    </row>
    <row r="16" spans="1:17" s="17" customFormat="1" x14ac:dyDescent="0.25">
      <c r="A16" s="36"/>
      <c r="B16" s="37"/>
      <c r="C16" s="38"/>
      <c r="D16" s="38"/>
      <c r="E16" s="24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4" x14ac:dyDescent="0.25">
      <c r="A17" s="142" t="s">
        <v>22</v>
      </c>
      <c r="B17" s="143"/>
      <c r="C17" s="143"/>
      <c r="D17" s="143"/>
      <c r="E17" s="144"/>
    </row>
    <row r="18" spans="1:14" x14ac:dyDescent="0.25">
      <c r="A18" s="145" t="s">
        <v>111</v>
      </c>
      <c r="B18" s="145"/>
      <c r="C18" s="145"/>
      <c r="D18" s="145"/>
      <c r="E18" s="157"/>
      <c r="F18" s="25"/>
      <c r="G18" s="42"/>
      <c r="H18" s="42"/>
      <c r="I18" s="42"/>
      <c r="J18" s="43"/>
      <c r="K18" s="7"/>
      <c r="L18" s="4"/>
      <c r="M18" s="4"/>
      <c r="N18" s="4"/>
    </row>
    <row r="19" spans="1:14" x14ac:dyDescent="0.25">
      <c r="A19" s="145" t="s">
        <v>112</v>
      </c>
      <c r="B19" s="145"/>
      <c r="C19" s="145"/>
      <c r="D19" s="145"/>
      <c r="E19" s="157"/>
      <c r="F19" s="25"/>
      <c r="G19" s="42"/>
      <c r="H19" s="42"/>
      <c r="I19" s="42"/>
      <c r="J19" s="43"/>
      <c r="K19" s="7"/>
      <c r="L19" s="4"/>
      <c r="M19" s="4"/>
      <c r="N19" s="4"/>
    </row>
    <row r="20" spans="1:14" x14ac:dyDescent="0.25">
      <c r="A20" s="145" t="s">
        <v>113</v>
      </c>
      <c r="B20" s="145"/>
      <c r="C20" s="145"/>
      <c r="D20" s="145"/>
      <c r="E20" s="157"/>
      <c r="F20" s="25"/>
      <c r="G20" s="42"/>
      <c r="H20" s="42"/>
      <c r="I20" s="42"/>
      <c r="J20" s="43"/>
      <c r="K20" s="7"/>
      <c r="L20" s="4"/>
      <c r="M20" s="4"/>
      <c r="N20" s="4"/>
    </row>
    <row r="21" spans="1:14" x14ac:dyDescent="0.25">
      <c r="A21" s="145" t="s">
        <v>114</v>
      </c>
      <c r="B21" s="145"/>
      <c r="C21" s="145"/>
      <c r="D21" s="145"/>
      <c r="E21" s="157"/>
      <c r="F21" s="25"/>
      <c r="G21" s="42"/>
      <c r="H21" s="42"/>
      <c r="I21" s="42"/>
      <c r="J21" s="43"/>
      <c r="K21" s="7"/>
      <c r="L21" s="4"/>
      <c r="M21" s="4"/>
      <c r="N21" s="4"/>
    </row>
    <row r="22" spans="1:14" x14ac:dyDescent="0.25">
      <c r="A22" s="145" t="s">
        <v>115</v>
      </c>
      <c r="B22" s="145"/>
      <c r="C22" s="145"/>
      <c r="D22" s="145"/>
      <c r="E22" s="157"/>
      <c r="F22" s="25"/>
      <c r="G22" s="42"/>
      <c r="H22" s="42"/>
      <c r="I22" s="42"/>
      <c r="J22" s="43"/>
      <c r="K22" s="7"/>
      <c r="L22" s="4"/>
      <c r="M22" s="4"/>
      <c r="N22" s="4"/>
    </row>
    <row r="23" spans="1:14" x14ac:dyDescent="0.25">
      <c r="A23" s="141" t="s">
        <v>154</v>
      </c>
      <c r="B23" s="141"/>
      <c r="C23" s="141"/>
      <c r="D23" s="141"/>
      <c r="E23" s="151"/>
      <c r="F23" s="25"/>
      <c r="G23" s="42"/>
      <c r="H23" s="42"/>
      <c r="I23" s="42"/>
      <c r="J23" s="44"/>
      <c r="K23" s="5"/>
      <c r="L23" s="5"/>
      <c r="M23" s="5"/>
      <c r="N23" s="5"/>
    </row>
  </sheetData>
  <mergeCells count="12">
    <mergeCell ref="A23:E23"/>
    <mergeCell ref="A1:A2"/>
    <mergeCell ref="B1:B2"/>
    <mergeCell ref="C1:H1"/>
    <mergeCell ref="J1:N1"/>
    <mergeCell ref="A15:B15"/>
    <mergeCell ref="A17:E17"/>
    <mergeCell ref="A18:E18"/>
    <mergeCell ref="A19:E19"/>
    <mergeCell ref="A20:E20"/>
    <mergeCell ref="A21:E21"/>
    <mergeCell ref="A22:E22"/>
  </mergeCells>
  <pageMargins left="0.7" right="0.7" top="0.75" bottom="0.75" header="0.3" footer="0.3"/>
  <pageSetup paperSize="9" orientation="portrait" verticalDpi="0" r:id="rId1"/>
  <ignoredErrors>
    <ignoredError sqref="O3:O1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J20" sqref="J20"/>
    </sheetView>
  </sheetViews>
  <sheetFormatPr defaultRowHeight="15" x14ac:dyDescent="0.25"/>
  <cols>
    <col min="1" max="1" width="6.7109375" customWidth="1"/>
    <col min="2" max="2" width="16.140625" customWidth="1"/>
    <col min="9" max="9" width="6.28515625" customWidth="1"/>
  </cols>
  <sheetData>
    <row r="1" spans="1:17" x14ac:dyDescent="0.25">
      <c r="A1" s="146" t="s">
        <v>12</v>
      </c>
      <c r="B1" s="148" t="s">
        <v>13</v>
      </c>
      <c r="C1" s="154" t="s">
        <v>19</v>
      </c>
      <c r="D1" s="155"/>
      <c r="E1" s="155"/>
      <c r="F1" s="155"/>
      <c r="G1" s="155"/>
      <c r="H1" s="156"/>
      <c r="I1" s="50"/>
      <c r="J1" s="140" t="s">
        <v>20</v>
      </c>
      <c r="K1" s="140"/>
      <c r="L1" s="140"/>
      <c r="M1" s="140"/>
      <c r="N1" s="140"/>
    </row>
    <row r="2" spans="1:17" ht="81.75" x14ac:dyDescent="0.25">
      <c r="A2" s="147"/>
      <c r="B2" s="149"/>
      <c r="C2" s="2" t="s">
        <v>14</v>
      </c>
      <c r="D2" s="3" t="s">
        <v>15</v>
      </c>
      <c r="E2" s="3" t="s">
        <v>16</v>
      </c>
      <c r="F2" s="2" t="s">
        <v>17</v>
      </c>
      <c r="G2" s="3" t="s">
        <v>18</v>
      </c>
      <c r="H2" s="3" t="s">
        <v>25</v>
      </c>
      <c r="I2" s="93"/>
      <c r="J2" s="2" t="s">
        <v>14</v>
      </c>
      <c r="K2" s="3" t="s">
        <v>15</v>
      </c>
      <c r="L2" s="3" t="s">
        <v>16</v>
      </c>
      <c r="M2" s="2" t="s">
        <v>17</v>
      </c>
      <c r="N2" s="3" t="s">
        <v>18</v>
      </c>
      <c r="O2" s="3" t="s">
        <v>27</v>
      </c>
      <c r="P2" s="3" t="s">
        <v>28</v>
      </c>
      <c r="Q2" s="13" t="s">
        <v>80</v>
      </c>
    </row>
    <row r="3" spans="1:17" x14ac:dyDescent="0.25">
      <c r="A3" s="1">
        <v>1</v>
      </c>
      <c r="B3" s="1" t="s">
        <v>0</v>
      </c>
      <c r="C3" s="1">
        <v>5261.85</v>
      </c>
      <c r="D3" s="1">
        <v>14296.11</v>
      </c>
      <c r="E3" s="1">
        <v>1983.07</v>
      </c>
      <c r="F3" s="1">
        <v>3315</v>
      </c>
      <c r="G3" s="1">
        <v>442</v>
      </c>
      <c r="H3" s="1">
        <v>1125.5</v>
      </c>
      <c r="I3" s="94"/>
      <c r="J3" s="1"/>
      <c r="K3" s="1"/>
      <c r="L3" s="1"/>
      <c r="M3" s="1"/>
      <c r="N3" s="1"/>
      <c r="O3" s="124" t="s">
        <v>38</v>
      </c>
      <c r="P3" s="12"/>
      <c r="Q3" s="1">
        <v>28333</v>
      </c>
    </row>
    <row r="4" spans="1:17" x14ac:dyDescent="0.25">
      <c r="A4" s="1">
        <v>2</v>
      </c>
      <c r="B4" s="1" t="s">
        <v>1</v>
      </c>
      <c r="C4">
        <v>5910.91</v>
      </c>
      <c r="D4" s="1">
        <v>15808.68</v>
      </c>
      <c r="E4" s="1">
        <v>2204.88</v>
      </c>
      <c r="F4" s="8">
        <v>3690</v>
      </c>
      <c r="G4" s="1">
        <v>492</v>
      </c>
      <c r="H4" s="8">
        <v>957.5</v>
      </c>
      <c r="I4" s="99"/>
      <c r="J4" s="1"/>
      <c r="K4" s="1"/>
      <c r="L4" s="1"/>
      <c r="M4" s="1"/>
      <c r="N4" s="1"/>
      <c r="O4" s="124" t="s">
        <v>38</v>
      </c>
      <c r="P4" s="12"/>
      <c r="Q4" s="1">
        <v>30786</v>
      </c>
    </row>
    <row r="5" spans="1:17" x14ac:dyDescent="0.25">
      <c r="A5" s="1">
        <v>3</v>
      </c>
      <c r="B5" s="1" t="s">
        <v>2</v>
      </c>
      <c r="C5" s="1">
        <v>7669.15</v>
      </c>
      <c r="D5" s="1">
        <v>20609.13</v>
      </c>
      <c r="E5" s="1">
        <v>2641.63</v>
      </c>
      <c r="F5" s="1">
        <v>4755</v>
      </c>
      <c r="G5" s="1">
        <v>626</v>
      </c>
      <c r="H5" s="1">
        <v>1437.05</v>
      </c>
      <c r="I5" s="94"/>
      <c r="J5" s="1"/>
      <c r="K5" s="1"/>
      <c r="L5" s="1"/>
      <c r="M5" s="1"/>
      <c r="N5" s="1"/>
      <c r="O5" s="124" t="s">
        <v>39</v>
      </c>
      <c r="P5" s="12"/>
      <c r="Q5" s="1">
        <v>40161</v>
      </c>
    </row>
    <row r="6" spans="1:17" x14ac:dyDescent="0.25">
      <c r="A6" s="1">
        <v>4</v>
      </c>
      <c r="B6" s="1" t="s">
        <v>3</v>
      </c>
      <c r="C6" s="1">
        <v>6676.94</v>
      </c>
      <c r="D6" s="1">
        <v>17919.86</v>
      </c>
      <c r="E6" s="1">
        <v>3169.21</v>
      </c>
      <c r="F6" s="1">
        <v>4125</v>
      </c>
      <c r="G6" s="1">
        <v>550</v>
      </c>
      <c r="H6" s="1">
        <v>1518.05</v>
      </c>
      <c r="I6" s="94"/>
      <c r="J6" s="1"/>
      <c r="K6" s="1"/>
      <c r="L6" s="1"/>
      <c r="M6" s="1"/>
      <c r="N6" s="1"/>
      <c r="O6" s="124" t="s">
        <v>58</v>
      </c>
      <c r="P6" s="12"/>
      <c r="Q6" s="1">
        <v>33441</v>
      </c>
    </row>
    <row r="7" spans="1:17" x14ac:dyDescent="0.25">
      <c r="A7" s="1">
        <v>5</v>
      </c>
      <c r="B7" s="1" t="s">
        <v>4</v>
      </c>
      <c r="C7" s="1">
        <v>6761.02</v>
      </c>
      <c r="D7" s="1">
        <v>18271.13</v>
      </c>
      <c r="E7" s="1">
        <v>3415.55</v>
      </c>
      <c r="F7" s="1">
        <v>4222.5</v>
      </c>
      <c r="G7" s="1">
        <v>563</v>
      </c>
      <c r="H7" s="1">
        <v>1525.5</v>
      </c>
      <c r="I7" s="94"/>
      <c r="J7" s="1"/>
      <c r="K7" s="1"/>
      <c r="L7" s="1"/>
      <c r="M7" s="1"/>
      <c r="N7" s="1"/>
      <c r="O7" s="124" t="s">
        <v>59</v>
      </c>
      <c r="P7" s="12"/>
      <c r="Q7" s="1">
        <v>36521</v>
      </c>
    </row>
    <row r="8" spans="1:17" x14ac:dyDescent="0.25">
      <c r="A8" s="1">
        <v>6</v>
      </c>
      <c r="B8" s="1" t="s">
        <v>5</v>
      </c>
      <c r="C8" s="1">
        <v>5877.94</v>
      </c>
      <c r="D8" s="1">
        <v>15884.72</v>
      </c>
      <c r="E8" s="1">
        <v>2371.9299999999998</v>
      </c>
      <c r="F8" s="1">
        <v>3510</v>
      </c>
      <c r="G8" s="1">
        <v>481</v>
      </c>
      <c r="H8" s="1">
        <v>1242</v>
      </c>
      <c r="I8" s="94"/>
      <c r="J8" s="1"/>
      <c r="K8" s="1"/>
      <c r="L8" s="1"/>
      <c r="M8" s="1"/>
      <c r="N8" s="1"/>
      <c r="O8" s="124" t="s">
        <v>42</v>
      </c>
      <c r="P8" s="12"/>
      <c r="Q8" s="1">
        <v>33626</v>
      </c>
    </row>
    <row r="9" spans="1:17" x14ac:dyDescent="0.25">
      <c r="A9" s="1">
        <v>7</v>
      </c>
      <c r="B9" s="1" t="s">
        <v>6</v>
      </c>
      <c r="C9" s="1">
        <v>6017</v>
      </c>
      <c r="D9" s="1">
        <v>16171</v>
      </c>
      <c r="E9" s="1">
        <v>2485</v>
      </c>
      <c r="F9" s="1">
        <v>3765</v>
      </c>
      <c r="G9" s="1">
        <v>502</v>
      </c>
      <c r="H9" s="1">
        <v>1338</v>
      </c>
      <c r="I9" s="94"/>
      <c r="J9" s="1"/>
      <c r="K9" s="1"/>
      <c r="L9" s="1"/>
      <c r="M9" s="1"/>
      <c r="N9" s="1"/>
      <c r="O9" s="124" t="s">
        <v>44</v>
      </c>
      <c r="P9" s="12"/>
      <c r="Q9" s="1">
        <v>50101</v>
      </c>
    </row>
    <row r="10" spans="1:17" x14ac:dyDescent="0.25">
      <c r="A10" s="1">
        <v>8</v>
      </c>
      <c r="B10" s="1" t="s">
        <v>7</v>
      </c>
      <c r="C10" s="1">
        <v>6013</v>
      </c>
      <c r="D10" s="1">
        <v>15134</v>
      </c>
      <c r="E10" s="1">
        <v>2555</v>
      </c>
      <c r="F10" s="1">
        <v>3727</v>
      </c>
      <c r="G10" s="1">
        <v>497</v>
      </c>
      <c r="H10" s="1">
        <v>1762</v>
      </c>
      <c r="I10" s="94"/>
      <c r="J10" s="1"/>
      <c r="K10" s="1"/>
      <c r="L10" s="1"/>
      <c r="M10" s="1"/>
      <c r="N10" s="1"/>
      <c r="O10" s="124" t="s">
        <v>87</v>
      </c>
      <c r="P10" s="12"/>
      <c r="Q10" s="1">
        <v>49111</v>
      </c>
    </row>
    <row r="11" spans="1:17" x14ac:dyDescent="0.25">
      <c r="A11" s="1">
        <v>9</v>
      </c>
      <c r="B11" s="1" t="s">
        <v>8</v>
      </c>
      <c r="C11" s="1">
        <v>4231</v>
      </c>
      <c r="D11" s="1">
        <v>11436</v>
      </c>
      <c r="E11" s="1">
        <v>1800</v>
      </c>
      <c r="F11" s="1">
        <v>2492</v>
      </c>
      <c r="G11" s="1">
        <v>332</v>
      </c>
      <c r="H11" s="1">
        <v>1077</v>
      </c>
      <c r="I11" s="94"/>
      <c r="J11" s="1"/>
      <c r="K11" s="1"/>
      <c r="L11" s="1"/>
      <c r="M11" s="1"/>
      <c r="N11" s="1"/>
      <c r="O11" s="124" t="s">
        <v>88</v>
      </c>
      <c r="P11" s="12"/>
      <c r="Q11" s="1">
        <v>24854</v>
      </c>
    </row>
    <row r="12" spans="1:17" x14ac:dyDescent="0.25">
      <c r="A12" s="1">
        <v>10</v>
      </c>
      <c r="B12" s="1" t="s">
        <v>9</v>
      </c>
      <c r="C12" s="1">
        <v>5733</v>
      </c>
      <c r="D12" s="1">
        <v>15469</v>
      </c>
      <c r="E12" s="1">
        <v>2523</v>
      </c>
      <c r="F12" s="1">
        <v>3585</v>
      </c>
      <c r="G12" s="1">
        <v>478</v>
      </c>
      <c r="H12" s="1">
        <v>1505</v>
      </c>
      <c r="I12" s="94"/>
      <c r="J12" s="1"/>
      <c r="K12" s="1"/>
      <c r="L12" s="1"/>
      <c r="M12" s="1"/>
      <c r="N12" s="1"/>
      <c r="O12" s="124" t="s">
        <v>42</v>
      </c>
      <c r="P12" s="12"/>
      <c r="Q12" s="1">
        <v>30127</v>
      </c>
    </row>
    <row r="13" spans="1:17" x14ac:dyDescent="0.25">
      <c r="A13" s="1">
        <v>11</v>
      </c>
      <c r="B13" s="1" t="s">
        <v>10</v>
      </c>
      <c r="C13" s="1">
        <v>5243</v>
      </c>
      <c r="D13" s="1">
        <v>14080</v>
      </c>
      <c r="E13" s="1">
        <v>2106</v>
      </c>
      <c r="F13" s="1">
        <v>3255</v>
      </c>
      <c r="G13" s="1">
        <v>441</v>
      </c>
      <c r="H13" s="1">
        <v>1473</v>
      </c>
      <c r="I13" s="94"/>
      <c r="J13" s="1"/>
      <c r="K13" s="1"/>
      <c r="L13" s="1"/>
      <c r="M13" s="1"/>
      <c r="N13" s="1"/>
      <c r="O13" s="124" t="s">
        <v>88</v>
      </c>
      <c r="P13" s="12"/>
      <c r="Q13" s="1">
        <v>28008</v>
      </c>
    </row>
    <row r="14" spans="1:17" x14ac:dyDescent="0.25">
      <c r="A14" s="1">
        <v>12</v>
      </c>
      <c r="B14" s="1" t="s">
        <v>11</v>
      </c>
      <c r="C14" s="1">
        <v>6008</v>
      </c>
      <c r="D14" s="1">
        <v>15961</v>
      </c>
      <c r="E14" s="1">
        <v>2531</v>
      </c>
      <c r="F14" s="1">
        <v>3742</v>
      </c>
      <c r="G14" s="1">
        <v>499</v>
      </c>
      <c r="H14" s="1">
        <v>1465</v>
      </c>
      <c r="I14" s="94"/>
      <c r="J14" s="1"/>
      <c r="K14" s="1"/>
      <c r="L14" s="1"/>
      <c r="M14" s="1"/>
      <c r="N14" s="1"/>
      <c r="O14" s="124" t="s">
        <v>42</v>
      </c>
      <c r="P14" s="12"/>
      <c r="Q14" s="1">
        <v>33779</v>
      </c>
    </row>
    <row r="15" spans="1:17" s="17" customFormat="1" x14ac:dyDescent="0.25">
      <c r="A15" s="150" t="s">
        <v>21</v>
      </c>
      <c r="B15" s="150"/>
      <c r="C15" s="18">
        <f t="shared" ref="C15:H15" si="0">SUM(C3:C14)</f>
        <v>71402.81</v>
      </c>
      <c r="D15" s="18">
        <f t="shared" si="0"/>
        <v>191040.63</v>
      </c>
      <c r="E15" s="18">
        <f t="shared" si="0"/>
        <v>29786.27</v>
      </c>
      <c r="F15" s="18">
        <f t="shared" si="0"/>
        <v>44183.5</v>
      </c>
      <c r="G15" s="18">
        <f t="shared" si="0"/>
        <v>5903</v>
      </c>
      <c r="H15" s="18">
        <f t="shared" si="0"/>
        <v>16425.599999999999</v>
      </c>
      <c r="I15" s="95"/>
      <c r="J15" s="18">
        <f t="shared" ref="J15:N15" si="1">SUM(J3:J8)</f>
        <v>0</v>
      </c>
      <c r="K15" s="18">
        <f t="shared" si="1"/>
        <v>0</v>
      </c>
      <c r="L15" s="18">
        <f t="shared" si="1"/>
        <v>0</v>
      </c>
      <c r="M15" s="18">
        <f t="shared" si="1"/>
        <v>0</v>
      </c>
      <c r="N15" s="18">
        <f t="shared" si="1"/>
        <v>0</v>
      </c>
      <c r="O15" s="18">
        <v>606</v>
      </c>
      <c r="P15" s="18"/>
      <c r="Q15" s="18">
        <f>SUM(Q3:Q14)</f>
        <v>418848</v>
      </c>
    </row>
    <row r="16" spans="1:17" s="17" customFormat="1" x14ac:dyDescent="0.25">
      <c r="A16" s="36"/>
      <c r="B16" s="37"/>
      <c r="C16" s="38"/>
      <c r="D16" s="38"/>
      <c r="E16" s="24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7" x14ac:dyDescent="0.25">
      <c r="A17" s="142" t="s">
        <v>22</v>
      </c>
      <c r="B17" s="143"/>
      <c r="C17" s="143"/>
      <c r="D17" s="143"/>
      <c r="E17" s="144"/>
      <c r="Q17" s="42"/>
    </row>
    <row r="18" spans="1:17" x14ac:dyDescent="0.25">
      <c r="A18" s="145" t="s">
        <v>116</v>
      </c>
      <c r="B18" s="145"/>
      <c r="C18" s="145"/>
      <c r="D18" s="145"/>
      <c r="E18" s="145"/>
      <c r="F18" s="42"/>
      <c r="G18" s="42"/>
      <c r="H18" s="42"/>
      <c r="I18" s="42"/>
      <c r="J18" s="43"/>
      <c r="K18" s="7"/>
      <c r="L18" s="4"/>
      <c r="M18" s="4"/>
      <c r="N18" s="4"/>
    </row>
    <row r="19" spans="1:17" x14ac:dyDescent="0.25">
      <c r="A19" s="145" t="s">
        <v>117</v>
      </c>
      <c r="B19" s="145"/>
      <c r="C19" s="145"/>
      <c r="D19" s="145"/>
      <c r="E19" s="145"/>
      <c r="F19" s="42"/>
      <c r="G19" s="42"/>
      <c r="H19" s="42"/>
      <c r="I19" s="42"/>
      <c r="J19" s="43"/>
      <c r="K19" s="7"/>
      <c r="L19" s="4"/>
      <c r="M19" s="4"/>
      <c r="N19" s="4"/>
    </row>
    <row r="20" spans="1:17" x14ac:dyDescent="0.25">
      <c r="A20" s="145" t="s">
        <v>118</v>
      </c>
      <c r="B20" s="145"/>
      <c r="C20" s="145"/>
      <c r="D20" s="145"/>
      <c r="E20" s="145"/>
      <c r="F20" s="42"/>
      <c r="G20" s="42"/>
      <c r="H20" s="42"/>
      <c r="I20" s="42"/>
      <c r="J20" s="43"/>
      <c r="K20" s="7"/>
      <c r="L20" s="4"/>
      <c r="M20" s="4"/>
      <c r="N20" s="4"/>
    </row>
    <row r="21" spans="1:17" x14ac:dyDescent="0.25">
      <c r="A21" s="145" t="s">
        <v>119</v>
      </c>
      <c r="B21" s="145"/>
      <c r="C21" s="145"/>
      <c r="D21" s="145"/>
      <c r="E21" s="145"/>
      <c r="F21" s="42"/>
      <c r="G21" s="42"/>
      <c r="H21" s="42"/>
      <c r="I21" s="42"/>
      <c r="J21" s="43"/>
      <c r="K21" s="7"/>
      <c r="L21" s="4"/>
      <c r="M21" s="4"/>
      <c r="N21" s="4"/>
    </row>
    <row r="22" spans="1:17" x14ac:dyDescent="0.25">
      <c r="A22" s="145" t="s">
        <v>120</v>
      </c>
      <c r="B22" s="145"/>
      <c r="C22" s="145"/>
      <c r="D22" s="145"/>
      <c r="E22" s="145"/>
      <c r="F22" s="42"/>
      <c r="G22" s="42"/>
      <c r="H22" s="42"/>
      <c r="I22" s="42"/>
      <c r="J22" s="43"/>
      <c r="K22" s="7"/>
      <c r="L22" s="4"/>
      <c r="M22" s="4"/>
      <c r="N22" s="4"/>
    </row>
    <row r="23" spans="1:17" ht="26.25" customHeight="1" x14ac:dyDescent="0.25">
      <c r="A23" s="141" t="s">
        <v>155</v>
      </c>
      <c r="B23" s="141"/>
      <c r="C23" s="141"/>
      <c r="D23" s="141"/>
      <c r="E23" s="141"/>
      <c r="F23" s="42"/>
      <c r="G23" s="42"/>
      <c r="H23" s="42"/>
      <c r="I23" s="42"/>
      <c r="J23" s="44"/>
      <c r="K23" s="5"/>
      <c r="L23" s="5"/>
      <c r="M23" s="5"/>
      <c r="N23" s="5"/>
    </row>
  </sheetData>
  <mergeCells count="12">
    <mergeCell ref="A23:E23"/>
    <mergeCell ref="A1:A2"/>
    <mergeCell ref="B1:B2"/>
    <mergeCell ref="C1:H1"/>
    <mergeCell ref="J1:N1"/>
    <mergeCell ref="A15:B15"/>
    <mergeCell ref="A17:E17"/>
    <mergeCell ref="A18:E18"/>
    <mergeCell ref="A19:E19"/>
    <mergeCell ref="A20:E20"/>
    <mergeCell ref="A21:E21"/>
    <mergeCell ref="A22:E22"/>
  </mergeCells>
  <pageMargins left="0.7" right="0.7" top="0.75" bottom="0.75" header="0.3" footer="0.3"/>
  <ignoredErrors>
    <ignoredError sqref="O3:O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O15" sqref="O15"/>
    </sheetView>
  </sheetViews>
  <sheetFormatPr defaultRowHeight="15" x14ac:dyDescent="0.25"/>
  <cols>
    <col min="1" max="1" width="7.7109375" customWidth="1"/>
    <col min="2" max="2" width="15" customWidth="1"/>
  </cols>
  <sheetData>
    <row r="1" spans="1:17" x14ac:dyDescent="0.25">
      <c r="A1" s="146" t="s">
        <v>12</v>
      </c>
      <c r="B1" s="148" t="s">
        <v>13</v>
      </c>
      <c r="C1" s="154" t="s">
        <v>19</v>
      </c>
      <c r="D1" s="155"/>
      <c r="E1" s="155"/>
      <c r="F1" s="155"/>
      <c r="G1" s="155"/>
      <c r="H1" s="156"/>
      <c r="I1" s="50"/>
      <c r="J1" s="140" t="s">
        <v>20</v>
      </c>
      <c r="K1" s="140"/>
      <c r="L1" s="140"/>
      <c r="M1" s="140"/>
      <c r="N1" s="140"/>
    </row>
    <row r="2" spans="1:17" ht="81.75" x14ac:dyDescent="0.25">
      <c r="A2" s="147"/>
      <c r="B2" s="149"/>
      <c r="C2" s="2" t="s">
        <v>14</v>
      </c>
      <c r="D2" s="3" t="s">
        <v>15</v>
      </c>
      <c r="E2" s="3" t="s">
        <v>16</v>
      </c>
      <c r="F2" s="2" t="s">
        <v>17</v>
      </c>
      <c r="G2" s="3" t="s">
        <v>18</v>
      </c>
      <c r="H2" s="3" t="s">
        <v>25</v>
      </c>
      <c r="I2" s="93"/>
      <c r="J2" s="2" t="s">
        <v>14</v>
      </c>
      <c r="K2" s="3" t="s">
        <v>15</v>
      </c>
      <c r="L2" s="3" t="s">
        <v>16</v>
      </c>
      <c r="M2" s="2" t="s">
        <v>17</v>
      </c>
      <c r="N2" s="3" t="s">
        <v>18</v>
      </c>
      <c r="O2" s="3" t="s">
        <v>27</v>
      </c>
      <c r="P2" s="3" t="s">
        <v>28</v>
      </c>
      <c r="Q2" s="3" t="s">
        <v>80</v>
      </c>
    </row>
    <row r="3" spans="1:17" x14ac:dyDescent="0.25">
      <c r="A3" s="1">
        <v>1</v>
      </c>
      <c r="B3" s="1" t="s">
        <v>0</v>
      </c>
      <c r="C3" s="1">
        <v>8691.77</v>
      </c>
      <c r="D3" s="1">
        <v>6187.57</v>
      </c>
      <c r="E3" s="1">
        <v>980.22</v>
      </c>
      <c r="F3" s="1">
        <v>1938.03</v>
      </c>
      <c r="G3" s="1">
        <v>374</v>
      </c>
      <c r="H3" s="1">
        <v>540.92999999999995</v>
      </c>
      <c r="I3" s="94"/>
      <c r="J3" s="1">
        <v>2415.85</v>
      </c>
      <c r="K3" s="1">
        <v>1630.32</v>
      </c>
      <c r="L3" s="1">
        <v>195.61</v>
      </c>
      <c r="M3" s="1">
        <v>1669.5</v>
      </c>
      <c r="N3" s="1">
        <v>316</v>
      </c>
      <c r="O3" s="124" t="s">
        <v>60</v>
      </c>
      <c r="P3" s="12">
        <v>14</v>
      </c>
      <c r="Q3" s="1">
        <v>24158</v>
      </c>
    </row>
    <row r="4" spans="1:17" x14ac:dyDescent="0.25">
      <c r="A4" s="1">
        <v>2</v>
      </c>
      <c r="B4" s="1" t="s">
        <v>1</v>
      </c>
      <c r="C4">
        <v>9574.74</v>
      </c>
      <c r="D4" s="1">
        <v>7649.55</v>
      </c>
      <c r="E4" s="1">
        <v>1212.79</v>
      </c>
      <c r="F4" s="8">
        <v>2639.25</v>
      </c>
      <c r="G4" s="1">
        <v>459</v>
      </c>
      <c r="H4" s="8">
        <v>878.63</v>
      </c>
      <c r="I4" s="99"/>
      <c r="J4" s="1">
        <v>2742.51</v>
      </c>
      <c r="K4" s="1">
        <v>1947.7</v>
      </c>
      <c r="L4" s="1">
        <v>159.34</v>
      </c>
      <c r="M4" s="1">
        <v>1403</v>
      </c>
      <c r="N4" s="1">
        <v>244</v>
      </c>
      <c r="O4" s="124" t="s">
        <v>35</v>
      </c>
      <c r="P4" s="12">
        <v>13</v>
      </c>
      <c r="Q4" s="1">
        <v>27598</v>
      </c>
    </row>
    <row r="5" spans="1:17" x14ac:dyDescent="0.25">
      <c r="A5" s="1">
        <v>3</v>
      </c>
      <c r="B5" s="1" t="s">
        <v>2</v>
      </c>
      <c r="C5" s="1">
        <v>9282.7000000000007</v>
      </c>
      <c r="D5" s="1">
        <v>6983.63</v>
      </c>
      <c r="E5" s="1">
        <v>1098.7</v>
      </c>
      <c r="F5" s="1">
        <v>2450.9899999999998</v>
      </c>
      <c r="G5" s="1">
        <v>445</v>
      </c>
      <c r="H5" s="1">
        <v>825.81</v>
      </c>
      <c r="I5" s="94"/>
      <c r="J5" s="1">
        <v>3034.53</v>
      </c>
      <c r="K5" s="1">
        <v>2198.17</v>
      </c>
      <c r="L5" s="1">
        <v>354.88</v>
      </c>
      <c r="M5" s="1">
        <v>1745.98</v>
      </c>
      <c r="N5" s="1">
        <v>317</v>
      </c>
      <c r="O5" s="124" t="s">
        <v>61</v>
      </c>
      <c r="P5" s="12">
        <v>22</v>
      </c>
      <c r="Q5" s="1">
        <v>27361</v>
      </c>
    </row>
    <row r="6" spans="1:17" x14ac:dyDescent="0.25">
      <c r="A6" s="1">
        <v>4</v>
      </c>
      <c r="B6" s="1" t="s">
        <v>3</v>
      </c>
      <c r="C6" s="1">
        <v>12208.09</v>
      </c>
      <c r="D6" s="1">
        <v>8018.88</v>
      </c>
      <c r="E6" s="1">
        <v>1578.66</v>
      </c>
      <c r="F6" s="1">
        <v>2902.67</v>
      </c>
      <c r="G6" s="1">
        <v>526</v>
      </c>
      <c r="H6" s="1">
        <v>920.16</v>
      </c>
      <c r="I6" s="94"/>
      <c r="J6" s="1">
        <v>3211.24</v>
      </c>
      <c r="K6" s="1">
        <v>1654.11</v>
      </c>
      <c r="L6" s="1">
        <v>341.74</v>
      </c>
      <c r="M6" s="1">
        <v>1335.84</v>
      </c>
      <c r="N6" s="1">
        <v>242</v>
      </c>
      <c r="O6" s="124" t="s">
        <v>62</v>
      </c>
      <c r="P6" s="12">
        <v>17</v>
      </c>
      <c r="Q6" s="1">
        <v>31281</v>
      </c>
    </row>
    <row r="7" spans="1:17" x14ac:dyDescent="0.25">
      <c r="A7" s="1">
        <v>5</v>
      </c>
      <c r="B7" s="1" t="s">
        <v>4</v>
      </c>
      <c r="C7" s="1">
        <v>12135.35</v>
      </c>
      <c r="D7" s="1">
        <v>8467.27</v>
      </c>
      <c r="E7" s="1">
        <v>1515.51</v>
      </c>
      <c r="F7" s="1">
        <v>3036</v>
      </c>
      <c r="G7" s="1">
        <v>550</v>
      </c>
      <c r="H7" s="1">
        <v>849.12</v>
      </c>
      <c r="I7" s="94"/>
      <c r="J7" s="1">
        <v>2169.9899999999998</v>
      </c>
      <c r="K7" s="1">
        <v>1688.96</v>
      </c>
      <c r="L7" s="1">
        <v>299.95999999999998</v>
      </c>
      <c r="M7" s="1">
        <v>1238.72</v>
      </c>
      <c r="N7" s="1">
        <v>224</v>
      </c>
      <c r="O7" s="124" t="s">
        <v>63</v>
      </c>
      <c r="P7" s="12">
        <v>16</v>
      </c>
      <c r="Q7" s="1">
        <v>31315</v>
      </c>
    </row>
    <row r="8" spans="1:17" x14ac:dyDescent="0.25">
      <c r="A8" s="1">
        <v>6</v>
      </c>
      <c r="B8" s="1" t="s">
        <v>5</v>
      </c>
      <c r="C8" s="1">
        <v>14774.46</v>
      </c>
      <c r="D8" s="1">
        <v>10660.28</v>
      </c>
      <c r="E8" s="1">
        <v>1457.88</v>
      </c>
      <c r="F8" s="1">
        <v>1705.68</v>
      </c>
      <c r="G8" s="1">
        <v>603</v>
      </c>
      <c r="H8" s="1">
        <v>730.51</v>
      </c>
      <c r="I8" s="94"/>
      <c r="J8" s="1">
        <v>2320</v>
      </c>
      <c r="K8" s="1">
        <v>1056.33</v>
      </c>
      <c r="L8" s="1">
        <v>343.03</v>
      </c>
      <c r="M8" s="1">
        <v>1705.68</v>
      </c>
      <c r="N8" s="1">
        <v>309</v>
      </c>
      <c r="O8" s="124" t="s">
        <v>37</v>
      </c>
      <c r="P8" s="12">
        <v>24</v>
      </c>
      <c r="Q8" s="1">
        <v>38227.300000000003</v>
      </c>
    </row>
    <row r="9" spans="1:17" x14ac:dyDescent="0.25">
      <c r="A9" s="1">
        <v>7</v>
      </c>
      <c r="B9" s="1" t="s">
        <v>6</v>
      </c>
      <c r="C9" s="1">
        <v>13994</v>
      </c>
      <c r="D9" s="1">
        <v>8501</v>
      </c>
      <c r="E9" s="1">
        <v>1607</v>
      </c>
      <c r="F9" s="1">
        <v>2362</v>
      </c>
      <c r="G9" s="1">
        <v>547</v>
      </c>
      <c r="H9" s="1">
        <v>797</v>
      </c>
      <c r="I9" s="99"/>
      <c r="J9" s="8">
        <v>2320</v>
      </c>
      <c r="K9" s="1">
        <v>1535</v>
      </c>
      <c r="L9" s="1">
        <v>224</v>
      </c>
      <c r="M9" s="1">
        <v>1380</v>
      </c>
      <c r="N9" s="1">
        <v>202</v>
      </c>
      <c r="O9" s="124" t="s">
        <v>89</v>
      </c>
      <c r="P9" s="12">
        <v>29</v>
      </c>
      <c r="Q9" s="1">
        <v>29869</v>
      </c>
    </row>
    <row r="10" spans="1:17" x14ac:dyDescent="0.25">
      <c r="A10" s="1">
        <v>8</v>
      </c>
      <c r="B10" s="1" t="s">
        <v>7</v>
      </c>
      <c r="C10" s="1">
        <v>14893</v>
      </c>
      <c r="D10" s="1">
        <v>9877</v>
      </c>
      <c r="E10" s="1">
        <v>1942</v>
      </c>
      <c r="F10" s="1">
        <v>3543</v>
      </c>
      <c r="G10" s="1">
        <v>642</v>
      </c>
      <c r="H10" s="1">
        <v>537</v>
      </c>
      <c r="I10" s="94"/>
      <c r="J10" s="1">
        <v>2319</v>
      </c>
      <c r="K10" s="1">
        <v>1278</v>
      </c>
      <c r="L10" s="1">
        <v>392</v>
      </c>
      <c r="M10" s="1">
        <v>1374</v>
      </c>
      <c r="N10" s="1">
        <v>249</v>
      </c>
      <c r="O10" s="124" t="s">
        <v>58</v>
      </c>
      <c r="P10" s="12">
        <v>23</v>
      </c>
      <c r="Q10" s="1">
        <v>33261</v>
      </c>
    </row>
    <row r="11" spans="1:17" x14ac:dyDescent="0.25">
      <c r="A11" s="1">
        <v>9</v>
      </c>
      <c r="B11" s="1" t="s">
        <v>8</v>
      </c>
      <c r="C11" s="1">
        <v>14226</v>
      </c>
      <c r="D11" s="1">
        <v>9515</v>
      </c>
      <c r="E11" s="1">
        <v>1560</v>
      </c>
      <c r="F11" s="1">
        <v>3300</v>
      </c>
      <c r="G11" s="1">
        <v>598</v>
      </c>
      <c r="H11" s="1">
        <v>950</v>
      </c>
      <c r="I11" s="94"/>
      <c r="J11" s="1">
        <v>2319</v>
      </c>
      <c r="K11" s="1">
        <v>1226</v>
      </c>
      <c r="L11" s="1">
        <v>409</v>
      </c>
      <c r="M11" s="1">
        <v>1617</v>
      </c>
      <c r="N11" s="1">
        <v>293</v>
      </c>
      <c r="O11" s="124" t="s">
        <v>58</v>
      </c>
      <c r="P11" s="12">
        <v>16</v>
      </c>
      <c r="Q11" s="1">
        <v>32079</v>
      </c>
    </row>
    <row r="12" spans="1:17" x14ac:dyDescent="0.25">
      <c r="A12" s="1">
        <v>10</v>
      </c>
      <c r="B12" s="1" t="s">
        <v>9</v>
      </c>
      <c r="C12" s="1">
        <v>14128</v>
      </c>
      <c r="D12" s="1">
        <v>9168</v>
      </c>
      <c r="E12" s="1">
        <v>1577</v>
      </c>
      <c r="F12" s="1">
        <v>3102</v>
      </c>
      <c r="G12" s="1">
        <v>562</v>
      </c>
      <c r="H12" s="1">
        <v>682</v>
      </c>
      <c r="I12" s="94"/>
      <c r="J12" s="1">
        <v>2289</v>
      </c>
      <c r="K12" s="1">
        <v>1321</v>
      </c>
      <c r="L12" s="1">
        <v>373</v>
      </c>
      <c r="M12" s="1">
        <v>1678</v>
      </c>
      <c r="N12" s="1">
        <v>304</v>
      </c>
      <c r="O12" s="124" t="s">
        <v>63</v>
      </c>
      <c r="P12" s="12">
        <v>25</v>
      </c>
      <c r="Q12" s="1">
        <v>31042</v>
      </c>
    </row>
    <row r="13" spans="1:17" x14ac:dyDescent="0.25">
      <c r="A13" s="1">
        <v>11</v>
      </c>
      <c r="B13" s="1" t="s">
        <v>10</v>
      </c>
      <c r="C13" s="1">
        <v>14777</v>
      </c>
      <c r="D13" s="1">
        <v>10660</v>
      </c>
      <c r="E13" s="1">
        <v>1457</v>
      </c>
      <c r="F13" s="1">
        <v>3328</v>
      </c>
      <c r="G13" s="1">
        <v>603</v>
      </c>
      <c r="H13" s="1">
        <v>730</v>
      </c>
      <c r="I13" s="94"/>
      <c r="J13" s="1">
        <v>2319</v>
      </c>
      <c r="K13" s="1">
        <v>1056</v>
      </c>
      <c r="L13" s="1">
        <v>343</v>
      </c>
      <c r="M13" s="1">
        <v>1705</v>
      </c>
      <c r="N13" s="1">
        <v>309</v>
      </c>
      <c r="O13" s="124" t="s">
        <v>37</v>
      </c>
      <c r="P13" s="12">
        <v>24</v>
      </c>
      <c r="Q13" s="1">
        <v>33592</v>
      </c>
    </row>
    <row r="14" spans="1:17" x14ac:dyDescent="0.25">
      <c r="A14" s="1">
        <v>12</v>
      </c>
      <c r="B14" s="1" t="s">
        <v>11</v>
      </c>
      <c r="C14" s="1">
        <v>15105</v>
      </c>
      <c r="D14" s="1">
        <v>10939</v>
      </c>
      <c r="E14" s="1">
        <v>1768</v>
      </c>
      <c r="F14" s="1">
        <v>3521</v>
      </c>
      <c r="G14" s="1">
        <v>638</v>
      </c>
      <c r="H14" s="1">
        <v>671</v>
      </c>
      <c r="I14" s="94"/>
      <c r="J14" s="1">
        <v>2319</v>
      </c>
      <c r="K14" s="1">
        <v>1045</v>
      </c>
      <c r="L14" s="1">
        <v>490</v>
      </c>
      <c r="M14" s="1">
        <v>1617</v>
      </c>
      <c r="N14" s="1">
        <v>293</v>
      </c>
      <c r="O14" s="124" t="s">
        <v>38</v>
      </c>
      <c r="P14" s="12">
        <v>27</v>
      </c>
      <c r="Q14" s="1">
        <v>38846</v>
      </c>
    </row>
    <row r="15" spans="1:17" s="17" customFormat="1" x14ac:dyDescent="0.25">
      <c r="A15" s="150" t="s">
        <v>21</v>
      </c>
      <c r="B15" s="150"/>
      <c r="C15" s="18">
        <f>SUM(C3:C14)</f>
        <v>153790.10999999999</v>
      </c>
      <c r="D15" s="18">
        <f>SUM(D3:D14)</f>
        <v>106627.18</v>
      </c>
      <c r="E15" s="18">
        <f>SUM(E3:E14)</f>
        <v>17754.760000000002</v>
      </c>
      <c r="F15" s="18">
        <f>SUM(F3:F14)</f>
        <v>33828.619999999995</v>
      </c>
      <c r="G15" s="18">
        <f t="shared" ref="G15" si="0">SUM(G3:G8)</f>
        <v>2957</v>
      </c>
      <c r="H15" s="18">
        <f t="shared" ref="H15:N15" si="1">SUM(H3:H14)</f>
        <v>9112.16</v>
      </c>
      <c r="I15" s="95"/>
      <c r="J15" s="18">
        <f t="shared" si="1"/>
        <v>29779.120000000003</v>
      </c>
      <c r="K15" s="18">
        <f t="shared" si="1"/>
        <v>17636.59</v>
      </c>
      <c r="L15" s="18">
        <f t="shared" si="1"/>
        <v>3925.5600000000004</v>
      </c>
      <c r="M15" s="18">
        <f t="shared" si="1"/>
        <v>18469.72</v>
      </c>
      <c r="N15" s="18">
        <f t="shared" si="1"/>
        <v>3302</v>
      </c>
      <c r="O15" s="18">
        <v>476</v>
      </c>
      <c r="P15" s="18">
        <v>250</v>
      </c>
      <c r="Q15" s="18">
        <f>SUM(Q3:Q14)</f>
        <v>378629.3</v>
      </c>
    </row>
    <row r="16" spans="1:17" s="17" customFormat="1" x14ac:dyDescent="0.25">
      <c r="A16" s="36"/>
      <c r="B16" s="37"/>
      <c r="C16" s="38"/>
      <c r="D16" s="38"/>
      <c r="E16" s="24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4" x14ac:dyDescent="0.25">
      <c r="A17" s="142" t="s">
        <v>22</v>
      </c>
      <c r="B17" s="143"/>
      <c r="C17" s="143"/>
      <c r="D17" s="143"/>
      <c r="E17" s="144"/>
    </row>
    <row r="18" spans="1:14" x14ac:dyDescent="0.25">
      <c r="A18" s="145" t="s">
        <v>121</v>
      </c>
      <c r="B18" s="145"/>
      <c r="C18" s="145"/>
      <c r="D18" s="145"/>
      <c r="E18" s="157"/>
      <c r="F18" s="25"/>
      <c r="G18" s="42"/>
      <c r="H18" s="42"/>
      <c r="I18" s="42"/>
      <c r="J18" s="43"/>
      <c r="K18" s="7"/>
      <c r="L18" s="4"/>
      <c r="M18" s="4"/>
      <c r="N18" s="4"/>
    </row>
    <row r="19" spans="1:14" x14ac:dyDescent="0.25">
      <c r="A19" s="145" t="s">
        <v>122</v>
      </c>
      <c r="B19" s="145"/>
      <c r="C19" s="145"/>
      <c r="D19" s="145"/>
      <c r="E19" s="157"/>
      <c r="F19" s="25"/>
      <c r="G19" s="42"/>
      <c r="H19" s="42"/>
      <c r="I19" s="42"/>
      <c r="J19" s="43"/>
      <c r="K19" s="7"/>
      <c r="L19" s="4"/>
      <c r="M19" s="4"/>
      <c r="N19" s="4"/>
    </row>
    <row r="20" spans="1:14" x14ac:dyDescent="0.25">
      <c r="A20" s="145" t="s">
        <v>123</v>
      </c>
      <c r="B20" s="145"/>
      <c r="C20" s="145"/>
      <c r="D20" s="145"/>
      <c r="E20" s="157"/>
      <c r="F20" s="25"/>
      <c r="G20" s="42"/>
      <c r="H20" s="42"/>
      <c r="I20" s="42"/>
      <c r="J20" s="43"/>
      <c r="K20" s="7"/>
      <c r="L20" s="4"/>
      <c r="M20" s="4"/>
      <c r="N20" s="4"/>
    </row>
    <row r="21" spans="1:14" x14ac:dyDescent="0.25">
      <c r="A21" s="145" t="s">
        <v>124</v>
      </c>
      <c r="B21" s="145"/>
      <c r="C21" s="145"/>
      <c r="D21" s="145"/>
      <c r="E21" s="157"/>
      <c r="F21" s="25"/>
      <c r="G21" s="42"/>
      <c r="H21" s="42"/>
      <c r="I21" s="42"/>
      <c r="J21" s="43"/>
      <c r="K21" s="7"/>
      <c r="L21" s="4"/>
      <c r="M21" s="4"/>
      <c r="N21" s="4"/>
    </row>
    <row r="22" spans="1:14" x14ac:dyDescent="0.25">
      <c r="A22" s="145" t="s">
        <v>125</v>
      </c>
      <c r="B22" s="145"/>
      <c r="C22" s="145"/>
      <c r="D22" s="145"/>
      <c r="E22" s="157"/>
      <c r="F22" s="25"/>
      <c r="G22" s="42"/>
      <c r="H22" s="42"/>
      <c r="I22" s="42"/>
      <c r="J22" s="43"/>
      <c r="K22" s="7"/>
      <c r="L22" s="4"/>
      <c r="M22" s="4"/>
      <c r="N22" s="4"/>
    </row>
    <row r="23" spans="1:14" ht="33.75" customHeight="1" x14ac:dyDescent="0.25">
      <c r="A23" s="141" t="s">
        <v>156</v>
      </c>
      <c r="B23" s="141"/>
      <c r="C23" s="141"/>
      <c r="D23" s="141"/>
      <c r="E23" s="151"/>
      <c r="F23" s="25"/>
      <c r="G23" s="42"/>
      <c r="H23" s="42"/>
      <c r="I23" s="42"/>
      <c r="J23" s="44"/>
      <c r="K23" s="5"/>
      <c r="L23" s="5"/>
      <c r="M23" s="5"/>
      <c r="N23" s="5"/>
    </row>
  </sheetData>
  <mergeCells count="12">
    <mergeCell ref="A23:E23"/>
    <mergeCell ref="A1:A2"/>
    <mergeCell ref="B1:B2"/>
    <mergeCell ref="C1:H1"/>
    <mergeCell ref="J1:N1"/>
    <mergeCell ref="A15:B15"/>
    <mergeCell ref="A17:E17"/>
    <mergeCell ref="A18:E18"/>
    <mergeCell ref="A19:E19"/>
    <mergeCell ref="A20:E20"/>
    <mergeCell ref="A21:E21"/>
    <mergeCell ref="A22:E22"/>
  </mergeCells>
  <pageMargins left="0.7" right="0.7" top="0.75" bottom="0.75" header="0.3" footer="0.3"/>
  <ignoredErrors>
    <ignoredError sqref="O3:O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O14" sqref="O14"/>
    </sheetView>
  </sheetViews>
  <sheetFormatPr defaultRowHeight="15" x14ac:dyDescent="0.25"/>
  <cols>
    <col min="1" max="1" width="5.5703125" customWidth="1"/>
    <col min="2" max="2" width="18.140625" customWidth="1"/>
  </cols>
  <sheetData>
    <row r="1" spans="1:17" x14ac:dyDescent="0.25">
      <c r="A1" s="146" t="s">
        <v>12</v>
      </c>
      <c r="B1" s="148" t="s">
        <v>13</v>
      </c>
      <c r="C1" s="154" t="s">
        <v>19</v>
      </c>
      <c r="D1" s="155"/>
      <c r="E1" s="155"/>
      <c r="F1" s="155"/>
      <c r="G1" s="155"/>
      <c r="H1" s="156"/>
      <c r="I1" s="50"/>
      <c r="J1" s="140" t="s">
        <v>20</v>
      </c>
      <c r="K1" s="140"/>
      <c r="L1" s="140"/>
      <c r="M1" s="140"/>
      <c r="N1" s="140"/>
    </row>
    <row r="2" spans="1:17" ht="81.75" x14ac:dyDescent="0.25">
      <c r="A2" s="147"/>
      <c r="B2" s="149"/>
      <c r="C2" s="2" t="s">
        <v>14</v>
      </c>
      <c r="D2" s="3" t="s">
        <v>15</v>
      </c>
      <c r="E2" s="3" t="s">
        <v>16</v>
      </c>
      <c r="F2" s="2" t="s">
        <v>17</v>
      </c>
      <c r="G2" s="3" t="s">
        <v>18</v>
      </c>
      <c r="H2" s="3" t="s">
        <v>25</v>
      </c>
      <c r="I2" s="93"/>
      <c r="J2" s="2" t="s">
        <v>14</v>
      </c>
      <c r="K2" s="3" t="s">
        <v>15</v>
      </c>
      <c r="L2" s="3" t="s">
        <v>16</v>
      </c>
      <c r="M2" s="2" t="s">
        <v>17</v>
      </c>
      <c r="N2" s="3" t="s">
        <v>18</v>
      </c>
      <c r="O2" s="3" t="s">
        <v>27</v>
      </c>
      <c r="P2" s="3" t="s">
        <v>28</v>
      </c>
      <c r="Q2" s="3" t="s">
        <v>80</v>
      </c>
    </row>
    <row r="3" spans="1:17" x14ac:dyDescent="0.25">
      <c r="A3" s="1">
        <v>1</v>
      </c>
      <c r="B3" s="1" t="s">
        <v>0</v>
      </c>
      <c r="C3" s="1">
        <v>4360</v>
      </c>
      <c r="D3" s="1">
        <v>824</v>
      </c>
      <c r="E3" s="1">
        <v>1210.3599999999999</v>
      </c>
      <c r="F3" s="1">
        <v>1197</v>
      </c>
      <c r="G3" s="1">
        <v>266</v>
      </c>
      <c r="H3" s="1">
        <v>359.26</v>
      </c>
      <c r="I3" s="94"/>
      <c r="J3" s="1">
        <v>912.32</v>
      </c>
      <c r="K3" s="1">
        <v>582.79999999999995</v>
      </c>
      <c r="L3" s="1">
        <v>387.9</v>
      </c>
      <c r="M3" s="1">
        <v>846</v>
      </c>
      <c r="N3" s="1">
        <v>188</v>
      </c>
      <c r="O3" s="124" t="s">
        <v>64</v>
      </c>
      <c r="P3" s="12">
        <v>10</v>
      </c>
      <c r="Q3" s="1">
        <v>10680</v>
      </c>
    </row>
    <row r="4" spans="1:17" x14ac:dyDescent="0.25">
      <c r="A4" s="1">
        <v>2</v>
      </c>
      <c r="B4" s="1" t="s">
        <v>1</v>
      </c>
      <c r="C4">
        <v>2886.73</v>
      </c>
      <c r="D4" s="1">
        <v>721.4</v>
      </c>
      <c r="E4" s="1">
        <v>1312.21</v>
      </c>
      <c r="F4" s="8">
        <v>1170</v>
      </c>
      <c r="G4" s="1">
        <v>235</v>
      </c>
      <c r="H4" s="8">
        <v>1356.96</v>
      </c>
      <c r="I4" s="99"/>
      <c r="J4" s="1">
        <v>884.16</v>
      </c>
      <c r="K4" s="1">
        <v>428.51</v>
      </c>
      <c r="L4" s="1">
        <v>292.75</v>
      </c>
      <c r="M4" s="1">
        <v>695</v>
      </c>
      <c r="N4" s="1">
        <v>139</v>
      </c>
      <c r="O4" s="124" t="s">
        <v>64</v>
      </c>
      <c r="P4" s="12">
        <v>7</v>
      </c>
      <c r="Q4" s="1">
        <v>9747</v>
      </c>
    </row>
    <row r="5" spans="1:17" x14ac:dyDescent="0.25">
      <c r="A5" s="1">
        <v>3</v>
      </c>
      <c r="B5" s="1" t="s">
        <v>2</v>
      </c>
      <c r="C5" s="1">
        <v>4805.37</v>
      </c>
      <c r="D5" s="1">
        <v>918.4</v>
      </c>
      <c r="E5" s="1">
        <v>1415.4</v>
      </c>
      <c r="F5" s="1">
        <v>1435</v>
      </c>
      <c r="G5" s="1">
        <v>287</v>
      </c>
      <c r="H5" s="1">
        <v>522.24</v>
      </c>
      <c r="I5" s="94"/>
      <c r="J5" s="1">
        <v>496.98</v>
      </c>
      <c r="K5" s="1">
        <v>371.2</v>
      </c>
      <c r="L5" s="1">
        <v>242.98</v>
      </c>
      <c r="M5" s="1">
        <v>580</v>
      </c>
      <c r="N5" s="1">
        <v>116</v>
      </c>
      <c r="O5" s="124" t="s">
        <v>65</v>
      </c>
      <c r="P5" s="12">
        <v>5</v>
      </c>
      <c r="Q5" s="1">
        <v>10787</v>
      </c>
    </row>
    <row r="6" spans="1:17" x14ac:dyDescent="0.25">
      <c r="A6" s="1">
        <v>4</v>
      </c>
      <c r="B6" s="1" t="s">
        <v>3</v>
      </c>
      <c r="C6" s="1">
        <v>4652.25</v>
      </c>
      <c r="D6" s="1">
        <v>1040</v>
      </c>
      <c r="E6" s="1">
        <v>1750.51</v>
      </c>
      <c r="F6" s="1">
        <v>1625</v>
      </c>
      <c r="G6" s="1">
        <v>325</v>
      </c>
      <c r="H6" s="1">
        <v>570.17999999999995</v>
      </c>
      <c r="I6" s="94"/>
      <c r="J6" s="1">
        <v>303.91000000000003</v>
      </c>
      <c r="K6" s="1">
        <v>288</v>
      </c>
      <c r="L6" s="1">
        <v>308.08999999999997</v>
      </c>
      <c r="M6" s="1">
        <v>450</v>
      </c>
      <c r="N6" s="1">
        <v>90</v>
      </c>
      <c r="O6" s="124" t="s">
        <v>65</v>
      </c>
      <c r="P6" s="12">
        <v>5</v>
      </c>
      <c r="Q6" s="1">
        <v>10987</v>
      </c>
    </row>
    <row r="7" spans="1:17" x14ac:dyDescent="0.25">
      <c r="A7" s="1">
        <v>5</v>
      </c>
      <c r="B7" s="1" t="s">
        <v>4</v>
      </c>
      <c r="C7" s="1">
        <v>5494.29</v>
      </c>
      <c r="D7" s="1">
        <v>1283.4000000000001</v>
      </c>
      <c r="E7" s="1">
        <v>2198.4699999999998</v>
      </c>
      <c r="F7" s="1">
        <v>1656</v>
      </c>
      <c r="G7" s="1">
        <v>414</v>
      </c>
      <c r="H7" s="1">
        <v>496.28</v>
      </c>
      <c r="I7" s="94"/>
      <c r="J7" s="1">
        <v>486.72</v>
      </c>
      <c r="K7" s="1">
        <v>247.8</v>
      </c>
      <c r="L7" s="1">
        <v>149.04</v>
      </c>
      <c r="M7" s="1">
        <v>336</v>
      </c>
      <c r="N7" s="1">
        <v>84</v>
      </c>
      <c r="O7" s="124" t="s">
        <v>66</v>
      </c>
      <c r="P7" s="12">
        <v>6</v>
      </c>
      <c r="Q7" s="1">
        <v>12348</v>
      </c>
    </row>
    <row r="8" spans="1:17" x14ac:dyDescent="0.25">
      <c r="A8" s="1">
        <v>6</v>
      </c>
      <c r="B8" s="1" t="s">
        <v>5</v>
      </c>
      <c r="C8" s="1">
        <v>4109.2299999999996</v>
      </c>
      <c r="D8" s="1">
        <v>918</v>
      </c>
      <c r="E8" s="1">
        <v>1632.32</v>
      </c>
      <c r="F8" s="1">
        <v>1580</v>
      </c>
      <c r="G8" s="1">
        <v>316</v>
      </c>
      <c r="H8" s="1">
        <v>522.45000000000005</v>
      </c>
      <c r="I8" s="94"/>
      <c r="J8" s="1">
        <v>296.04000000000002</v>
      </c>
      <c r="K8" s="1">
        <v>180</v>
      </c>
      <c r="L8" s="1">
        <v>123.96</v>
      </c>
      <c r="M8" s="1">
        <v>300</v>
      </c>
      <c r="N8" s="1">
        <v>60</v>
      </c>
      <c r="O8" s="124" t="s">
        <v>67</v>
      </c>
      <c r="P8" s="12">
        <v>5</v>
      </c>
      <c r="Q8" s="1">
        <v>9692</v>
      </c>
    </row>
    <row r="9" spans="1:17" x14ac:dyDescent="0.25">
      <c r="A9" s="1">
        <v>7</v>
      </c>
      <c r="B9" s="1" t="s">
        <v>6</v>
      </c>
      <c r="C9" s="1">
        <v>4975</v>
      </c>
      <c r="D9" s="1">
        <v>1296</v>
      </c>
      <c r="E9" s="1">
        <v>1934</v>
      </c>
      <c r="F9" s="1">
        <v>1674</v>
      </c>
      <c r="G9" s="1">
        <v>393</v>
      </c>
      <c r="H9" s="1">
        <v>522</v>
      </c>
      <c r="I9" s="94"/>
      <c r="J9" s="1">
        <v>276</v>
      </c>
      <c r="K9" s="1">
        <v>178</v>
      </c>
      <c r="L9" s="1">
        <v>99</v>
      </c>
      <c r="M9" s="1">
        <v>224</v>
      </c>
      <c r="N9" s="1">
        <v>54</v>
      </c>
      <c r="O9" s="124" t="s">
        <v>53</v>
      </c>
      <c r="P9" s="12">
        <v>9</v>
      </c>
      <c r="Q9" s="1">
        <f>11136+784</f>
        <v>11920</v>
      </c>
    </row>
    <row r="10" spans="1:17" x14ac:dyDescent="0.25">
      <c r="A10" s="1">
        <v>8</v>
      </c>
      <c r="B10" s="1" t="s">
        <v>7</v>
      </c>
      <c r="C10" s="1">
        <v>5445</v>
      </c>
      <c r="D10" s="1">
        <v>2381</v>
      </c>
      <c r="E10" s="1">
        <v>2339</v>
      </c>
      <c r="F10" s="1">
        <v>1879</v>
      </c>
      <c r="G10" s="1">
        <v>434</v>
      </c>
      <c r="H10" s="1">
        <v>522</v>
      </c>
      <c r="I10" s="94"/>
      <c r="J10" s="1">
        <v>117</v>
      </c>
      <c r="K10" s="1">
        <v>299</v>
      </c>
      <c r="L10" s="1">
        <v>144</v>
      </c>
      <c r="M10" s="1">
        <v>236</v>
      </c>
      <c r="N10" s="1">
        <v>55</v>
      </c>
      <c r="O10" s="124" t="s">
        <v>66</v>
      </c>
      <c r="P10" s="12">
        <v>5</v>
      </c>
      <c r="Q10" s="1">
        <f>12643+798</f>
        <v>13441</v>
      </c>
    </row>
    <row r="11" spans="1:17" x14ac:dyDescent="0.25">
      <c r="A11" s="1">
        <v>9</v>
      </c>
      <c r="B11" s="1" t="s">
        <v>8</v>
      </c>
      <c r="C11" s="1">
        <v>5342</v>
      </c>
      <c r="D11" s="1">
        <v>1982</v>
      </c>
      <c r="E11" s="1">
        <v>2013</v>
      </c>
      <c r="F11" s="1">
        <v>1885</v>
      </c>
      <c r="G11" s="1">
        <v>377</v>
      </c>
      <c r="H11" s="1">
        <v>522</v>
      </c>
      <c r="I11" s="94"/>
      <c r="J11" s="1">
        <v>130</v>
      </c>
      <c r="K11" s="1">
        <v>227</v>
      </c>
      <c r="L11" s="1">
        <v>72</v>
      </c>
      <c r="M11" s="1">
        <v>215</v>
      </c>
      <c r="N11" s="1">
        <v>43</v>
      </c>
      <c r="O11" s="124" t="s">
        <v>57</v>
      </c>
      <c r="P11" s="12">
        <v>4</v>
      </c>
      <c r="Q11" s="1">
        <f>12419+645</f>
        <v>13064</v>
      </c>
    </row>
    <row r="12" spans="1:17" x14ac:dyDescent="0.25">
      <c r="A12" s="1">
        <v>10</v>
      </c>
      <c r="B12" s="1" t="s">
        <v>9</v>
      </c>
      <c r="C12" s="1">
        <v>5145</v>
      </c>
      <c r="D12" s="1">
        <v>1364</v>
      </c>
      <c r="E12" s="1">
        <v>1645</v>
      </c>
      <c r="F12" s="1">
        <v>1651</v>
      </c>
      <c r="G12" s="1">
        <v>359</v>
      </c>
      <c r="H12" s="1">
        <v>489</v>
      </c>
      <c r="I12" s="94"/>
      <c r="J12" s="1">
        <v>324</v>
      </c>
      <c r="K12" s="1">
        <v>281</v>
      </c>
      <c r="L12" s="1">
        <v>128</v>
      </c>
      <c r="M12" s="1">
        <v>314</v>
      </c>
      <c r="N12" s="1">
        <v>74</v>
      </c>
      <c r="O12" s="124" t="s">
        <v>67</v>
      </c>
      <c r="P12" s="12">
        <v>5</v>
      </c>
      <c r="Q12" s="1">
        <f>11256+1076</f>
        <v>12332</v>
      </c>
    </row>
    <row r="13" spans="1:17" x14ac:dyDescent="0.25">
      <c r="A13" s="1">
        <v>11</v>
      </c>
      <c r="B13" s="1" t="s">
        <v>10</v>
      </c>
      <c r="C13" s="1">
        <v>5483.2</v>
      </c>
      <c r="D13" s="1">
        <v>1623.92</v>
      </c>
      <c r="E13" s="1">
        <v>1841</v>
      </c>
      <c r="F13" s="1">
        <v>1495</v>
      </c>
      <c r="G13" s="1">
        <v>360</v>
      </c>
      <c r="H13" s="1">
        <v>522.54</v>
      </c>
      <c r="I13" s="94"/>
      <c r="J13" s="1">
        <v>404.88</v>
      </c>
      <c r="K13" s="1">
        <v>479.12</v>
      </c>
      <c r="L13" s="1">
        <v>246</v>
      </c>
      <c r="M13" s="1">
        <v>565</v>
      </c>
      <c r="N13" s="1">
        <v>113</v>
      </c>
      <c r="O13" s="124" t="s">
        <v>53</v>
      </c>
      <c r="P13" s="12">
        <v>10</v>
      </c>
      <c r="Q13" s="1">
        <v>13615.13</v>
      </c>
    </row>
    <row r="14" spans="1:17" x14ac:dyDescent="0.25">
      <c r="A14" s="1">
        <v>12</v>
      </c>
      <c r="B14" s="1" t="s">
        <v>11</v>
      </c>
      <c r="C14" s="1">
        <v>3641</v>
      </c>
      <c r="D14" s="1">
        <v>1367</v>
      </c>
      <c r="E14" s="1">
        <v>1457</v>
      </c>
      <c r="F14" s="1">
        <v>1325</v>
      </c>
      <c r="G14" s="1">
        <v>265</v>
      </c>
      <c r="H14" s="1">
        <v>442</v>
      </c>
      <c r="I14" s="94"/>
      <c r="J14" s="1">
        <v>253</v>
      </c>
      <c r="K14" s="1">
        <v>598</v>
      </c>
      <c r="L14" s="1">
        <v>252</v>
      </c>
      <c r="M14" s="1">
        <v>580</v>
      </c>
      <c r="N14" s="1">
        <v>116</v>
      </c>
      <c r="O14" s="125"/>
      <c r="P14" s="12">
        <v>10</v>
      </c>
      <c r="Q14" s="1">
        <f>8802+1684</f>
        <v>10486</v>
      </c>
    </row>
    <row r="15" spans="1:17" s="17" customFormat="1" x14ac:dyDescent="0.25">
      <c r="A15" s="150" t="s">
        <v>21</v>
      </c>
      <c r="B15" s="150"/>
      <c r="C15" s="18">
        <f t="shared" ref="C15:N15" si="0">SUM(C3:C14)</f>
        <v>56339.069999999992</v>
      </c>
      <c r="D15" s="18">
        <f t="shared" si="0"/>
        <v>15719.12</v>
      </c>
      <c r="E15" s="18">
        <f t="shared" si="0"/>
        <v>20748.269999999997</v>
      </c>
      <c r="F15" s="18">
        <f t="shared" si="0"/>
        <v>18572</v>
      </c>
      <c r="G15" s="18">
        <f t="shared" si="0"/>
        <v>4031</v>
      </c>
      <c r="H15" s="18">
        <f t="shared" si="0"/>
        <v>6846.91</v>
      </c>
      <c r="I15" s="95"/>
      <c r="J15" s="18">
        <f t="shared" si="0"/>
        <v>4885.01</v>
      </c>
      <c r="K15" s="18">
        <f t="shared" si="0"/>
        <v>4160.43</v>
      </c>
      <c r="L15" s="18">
        <f t="shared" si="0"/>
        <v>2445.7200000000003</v>
      </c>
      <c r="M15" s="18">
        <f t="shared" si="0"/>
        <v>5341</v>
      </c>
      <c r="N15" s="18">
        <f t="shared" si="0"/>
        <v>1132</v>
      </c>
      <c r="O15" s="18"/>
      <c r="P15" s="18">
        <v>81</v>
      </c>
      <c r="Q15" s="18">
        <f>SUM(Q3:Q13)</f>
        <v>128613.13</v>
      </c>
    </row>
    <row r="16" spans="1:17" s="17" customFormat="1" x14ac:dyDescent="0.25">
      <c r="A16" s="36"/>
      <c r="B16" s="37"/>
      <c r="C16" s="38"/>
      <c r="D16" s="38"/>
      <c r="E16" s="24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4" x14ac:dyDescent="0.25">
      <c r="A17" s="142" t="s">
        <v>22</v>
      </c>
      <c r="B17" s="143"/>
      <c r="C17" s="143"/>
      <c r="D17" s="143"/>
      <c r="E17" s="144"/>
    </row>
    <row r="18" spans="1:14" x14ac:dyDescent="0.25">
      <c r="A18" s="145" t="s">
        <v>126</v>
      </c>
      <c r="B18" s="145"/>
      <c r="C18" s="145"/>
      <c r="D18" s="145"/>
      <c r="E18" s="157"/>
      <c r="F18" s="25"/>
      <c r="G18" s="42"/>
      <c r="H18" s="42"/>
      <c r="I18" s="42"/>
      <c r="J18" s="43"/>
      <c r="K18" s="7"/>
      <c r="L18" s="4"/>
      <c r="M18" s="4"/>
      <c r="N18" s="4"/>
    </row>
    <row r="19" spans="1:14" x14ac:dyDescent="0.25">
      <c r="A19" s="145" t="s">
        <v>127</v>
      </c>
      <c r="B19" s="145"/>
      <c r="C19" s="145"/>
      <c r="D19" s="145"/>
      <c r="E19" s="157"/>
      <c r="F19" s="25"/>
      <c r="G19" s="42"/>
      <c r="H19" s="42"/>
      <c r="I19" s="42"/>
      <c r="J19" s="43"/>
      <c r="K19" s="7"/>
      <c r="L19" s="4"/>
      <c r="M19" s="4"/>
      <c r="N19" s="4"/>
    </row>
    <row r="20" spans="1:14" x14ac:dyDescent="0.25">
      <c r="A20" s="145" t="s">
        <v>128</v>
      </c>
      <c r="B20" s="145"/>
      <c r="C20" s="145"/>
      <c r="D20" s="145"/>
      <c r="E20" s="157"/>
      <c r="F20" s="25"/>
      <c r="G20" s="42"/>
      <c r="H20" s="42"/>
      <c r="I20" s="42"/>
      <c r="J20" s="43"/>
      <c r="K20" s="7"/>
      <c r="L20" s="4"/>
      <c r="M20" s="4"/>
      <c r="N20" s="4"/>
    </row>
    <row r="21" spans="1:14" x14ac:dyDescent="0.25">
      <c r="A21" s="145" t="s">
        <v>129</v>
      </c>
      <c r="B21" s="145"/>
      <c r="C21" s="145"/>
      <c r="D21" s="145"/>
      <c r="E21" s="157"/>
      <c r="F21" s="25"/>
      <c r="G21" s="42"/>
      <c r="H21" s="42"/>
      <c r="I21" s="42"/>
      <c r="J21" s="43"/>
      <c r="K21" s="7"/>
      <c r="L21" s="4"/>
      <c r="M21" s="4"/>
      <c r="N21" s="4"/>
    </row>
    <row r="22" spans="1:14" x14ac:dyDescent="0.25">
      <c r="A22" s="145" t="s">
        <v>130</v>
      </c>
      <c r="B22" s="145"/>
      <c r="C22" s="145"/>
      <c r="D22" s="145"/>
      <c r="E22" s="157"/>
      <c r="F22" s="25"/>
      <c r="G22" s="42"/>
      <c r="H22" s="42"/>
      <c r="I22" s="42"/>
      <c r="J22" s="43"/>
      <c r="K22" s="7"/>
      <c r="L22" s="4"/>
      <c r="M22" s="4"/>
      <c r="N22" s="4"/>
    </row>
    <row r="23" spans="1:14" ht="33" customHeight="1" x14ac:dyDescent="0.25">
      <c r="A23" s="141" t="s">
        <v>157</v>
      </c>
      <c r="B23" s="141"/>
      <c r="C23" s="141"/>
      <c r="D23" s="141"/>
      <c r="E23" s="151"/>
      <c r="F23" s="25"/>
      <c r="G23" s="42"/>
      <c r="H23" s="42"/>
      <c r="I23" s="42"/>
      <c r="J23" s="44"/>
      <c r="K23" s="5"/>
      <c r="L23" s="5"/>
      <c r="M23" s="5"/>
      <c r="N23" s="5"/>
    </row>
  </sheetData>
  <mergeCells count="12">
    <mergeCell ref="A23:E23"/>
    <mergeCell ref="A1:A2"/>
    <mergeCell ref="B1:B2"/>
    <mergeCell ref="C1:H1"/>
    <mergeCell ref="J1:N1"/>
    <mergeCell ref="A15:B15"/>
    <mergeCell ref="A17:E17"/>
    <mergeCell ref="A18:E18"/>
    <mergeCell ref="A19:E19"/>
    <mergeCell ref="A20:E20"/>
    <mergeCell ref="A21:E21"/>
    <mergeCell ref="A22:E22"/>
  </mergeCells>
  <pageMargins left="0.7" right="0.7" top="0.75" bottom="0.75" header="0.3" footer="0.3"/>
  <ignoredErrors>
    <ignoredError sqref="O3:O1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4"/>
  <sheetViews>
    <sheetView workbookViewId="0">
      <selection activeCell="O16" sqref="O16"/>
    </sheetView>
  </sheetViews>
  <sheetFormatPr defaultRowHeight="15" x14ac:dyDescent="0.25"/>
  <cols>
    <col min="1" max="1" width="4.5703125" customWidth="1"/>
    <col min="2" max="2" width="12.42578125" customWidth="1"/>
    <col min="8" max="8" width="6.140625" customWidth="1"/>
    <col min="9" max="9" width="5.140625" customWidth="1"/>
    <col min="10" max="10" width="11.5703125" customWidth="1"/>
    <col min="15" max="15" width="6.42578125" customWidth="1"/>
    <col min="16" max="16" width="6.85546875" customWidth="1"/>
  </cols>
  <sheetData>
    <row r="2" spans="1:17" ht="15.75" thickBot="1" x14ac:dyDescent="0.3">
      <c r="A2" s="146" t="s">
        <v>12</v>
      </c>
      <c r="B2" s="148" t="s">
        <v>13</v>
      </c>
      <c r="C2" s="154" t="s">
        <v>19</v>
      </c>
      <c r="D2" s="155"/>
      <c r="E2" s="155"/>
      <c r="F2" s="155"/>
      <c r="G2" s="155"/>
      <c r="H2" s="156"/>
      <c r="I2" s="76"/>
      <c r="J2" s="146" t="s">
        <v>20</v>
      </c>
      <c r="K2" s="140"/>
      <c r="L2" s="140"/>
      <c r="M2" s="140"/>
      <c r="N2" s="140"/>
    </row>
    <row r="3" spans="1:17" ht="81.75" x14ac:dyDescent="0.25">
      <c r="A3" s="147"/>
      <c r="B3" s="149"/>
      <c r="C3" s="2" t="s">
        <v>14</v>
      </c>
      <c r="D3" s="3" t="s">
        <v>15</v>
      </c>
      <c r="E3" s="3" t="s">
        <v>16</v>
      </c>
      <c r="F3" s="2" t="s">
        <v>17</v>
      </c>
      <c r="G3" s="3" t="s">
        <v>18</v>
      </c>
      <c r="H3" s="20" t="s">
        <v>25</v>
      </c>
      <c r="I3" s="77"/>
      <c r="J3" s="32" t="s">
        <v>14</v>
      </c>
      <c r="K3" s="27" t="s">
        <v>15</v>
      </c>
      <c r="L3" s="3" t="s">
        <v>16</v>
      </c>
      <c r="M3" s="2" t="s">
        <v>17</v>
      </c>
      <c r="N3" s="3" t="s">
        <v>18</v>
      </c>
      <c r="O3" s="3" t="s">
        <v>27</v>
      </c>
      <c r="P3" s="3" t="s">
        <v>28</v>
      </c>
      <c r="Q3" s="3" t="s">
        <v>80</v>
      </c>
    </row>
    <row r="4" spans="1:17" x14ac:dyDescent="0.25">
      <c r="A4" s="1">
        <v>1</v>
      </c>
      <c r="B4" s="1" t="s">
        <v>0</v>
      </c>
      <c r="C4" s="78">
        <f>2.74*G4</f>
        <v>158.92000000000002</v>
      </c>
      <c r="D4" s="78">
        <f>7.68*G4</f>
        <v>445.44</v>
      </c>
      <c r="E4" s="78">
        <v>117.58</v>
      </c>
      <c r="F4" s="78">
        <f>4.08*G4</f>
        <v>236.64000000000001</v>
      </c>
      <c r="G4" s="78">
        <v>58</v>
      </c>
      <c r="H4" s="79"/>
      <c r="I4" s="90"/>
      <c r="J4" s="80">
        <f>2.74*N4</f>
        <v>7554.18</v>
      </c>
      <c r="K4" s="81">
        <f>7.68*N4</f>
        <v>21173.759999999998</v>
      </c>
      <c r="L4" s="78">
        <v>993.87</v>
      </c>
      <c r="M4" s="78">
        <f>4.08*N4</f>
        <v>11248.56</v>
      </c>
      <c r="N4" s="78">
        <v>2757</v>
      </c>
      <c r="O4" s="82" t="s">
        <v>68</v>
      </c>
      <c r="P4" s="83">
        <v>104</v>
      </c>
      <c r="Q4" s="78">
        <v>40980</v>
      </c>
    </row>
    <row r="5" spans="1:17" x14ac:dyDescent="0.25">
      <c r="A5" s="1">
        <v>2</v>
      </c>
      <c r="B5" s="1" t="s">
        <v>1</v>
      </c>
      <c r="C5" s="84">
        <f>2.71*G5</f>
        <v>116.53</v>
      </c>
      <c r="D5" s="78">
        <f>9.01*G5</f>
        <v>387.43</v>
      </c>
      <c r="E5" s="78">
        <v>75.86</v>
      </c>
      <c r="F5" s="85">
        <f>4.17*G5</f>
        <v>179.31</v>
      </c>
      <c r="G5" s="78">
        <v>43</v>
      </c>
      <c r="H5" s="86"/>
      <c r="I5" s="91"/>
      <c r="J5" s="80">
        <f>2.71*N5</f>
        <v>6704.54</v>
      </c>
      <c r="K5" s="81">
        <f>9.01*N5</f>
        <v>22290.739999999998</v>
      </c>
      <c r="L5" s="78">
        <v>1029.78</v>
      </c>
      <c r="M5" s="78">
        <f>4.17*N5</f>
        <v>10316.58</v>
      </c>
      <c r="N5" s="78">
        <v>2474</v>
      </c>
      <c r="O5" s="82" t="s">
        <v>69</v>
      </c>
      <c r="P5" s="83">
        <v>98</v>
      </c>
      <c r="Q5" s="78">
        <v>40707</v>
      </c>
    </row>
    <row r="6" spans="1:17" x14ac:dyDescent="0.25">
      <c r="A6" s="1">
        <v>3</v>
      </c>
      <c r="B6" s="1" t="s">
        <v>2</v>
      </c>
      <c r="C6" s="78">
        <f>2.81*G6</f>
        <v>418.69</v>
      </c>
      <c r="D6" s="78">
        <f>7.55*G6</f>
        <v>1124.95</v>
      </c>
      <c r="E6" s="78">
        <v>235.97</v>
      </c>
      <c r="F6" s="78">
        <f>4.13*G6</f>
        <v>615.37</v>
      </c>
      <c r="G6" s="78">
        <v>149</v>
      </c>
      <c r="H6" s="79"/>
      <c r="I6" s="90"/>
      <c r="J6" s="80">
        <f>2.81*N6</f>
        <v>7443.6900000000005</v>
      </c>
      <c r="K6" s="81">
        <f>7.55*N6</f>
        <v>19999.95</v>
      </c>
      <c r="L6" s="78">
        <v>1165.1400000000001</v>
      </c>
      <c r="M6" s="78">
        <f>4.13*N6</f>
        <v>10940.369999999999</v>
      </c>
      <c r="N6" s="78">
        <v>2649</v>
      </c>
      <c r="O6" s="82" t="s">
        <v>70</v>
      </c>
      <c r="P6" s="83">
        <v>104</v>
      </c>
      <c r="Q6" s="78">
        <v>42070</v>
      </c>
    </row>
    <row r="7" spans="1:17" x14ac:dyDescent="0.25">
      <c r="A7" s="1">
        <v>4</v>
      </c>
      <c r="B7" s="1" t="s">
        <v>3</v>
      </c>
      <c r="C7" s="78">
        <f>3*G7</f>
        <v>198</v>
      </c>
      <c r="D7" s="78">
        <f>7.68*G7</f>
        <v>506.88</v>
      </c>
      <c r="E7" s="78">
        <v>134.94</v>
      </c>
      <c r="F7" s="78">
        <f>4.18*G7</f>
        <v>275.88</v>
      </c>
      <c r="G7" s="78">
        <v>66</v>
      </c>
      <c r="H7" s="79"/>
      <c r="I7" s="90"/>
      <c r="J7" s="80">
        <f>3*N7</f>
        <v>7557</v>
      </c>
      <c r="K7" s="81">
        <f>7.68*N7</f>
        <v>19345.919999999998</v>
      </c>
      <c r="L7" s="78">
        <v>1061.78</v>
      </c>
      <c r="M7" s="78">
        <f>4.18*N7</f>
        <v>10529.42</v>
      </c>
      <c r="N7" s="78">
        <v>2519</v>
      </c>
      <c r="O7" s="82" t="s">
        <v>71</v>
      </c>
      <c r="P7" s="83">
        <v>100</v>
      </c>
      <c r="Q7" s="78">
        <v>39242</v>
      </c>
    </row>
    <row r="8" spans="1:17" x14ac:dyDescent="0.25">
      <c r="A8" s="1">
        <v>5</v>
      </c>
      <c r="B8" s="1" t="s">
        <v>4</v>
      </c>
      <c r="C8" s="78">
        <f>2.5*G8</f>
        <v>325</v>
      </c>
      <c r="D8" s="78">
        <f>6.94*G8</f>
        <v>902.2</v>
      </c>
      <c r="E8" s="78">
        <v>184.85</v>
      </c>
      <c r="F8" s="78">
        <f>4.35*G8</f>
        <v>565.5</v>
      </c>
      <c r="G8" s="78">
        <v>130</v>
      </c>
      <c r="H8" s="79"/>
      <c r="I8" s="90"/>
      <c r="J8" s="80">
        <f>2.5*N8</f>
        <v>6645</v>
      </c>
      <c r="K8" s="81">
        <f>6.94*N8</f>
        <v>18446.52</v>
      </c>
      <c r="L8" s="78">
        <v>1110.17</v>
      </c>
      <c r="M8" s="78">
        <f>4.35*N8</f>
        <v>11562.3</v>
      </c>
      <c r="N8" s="78">
        <v>2658</v>
      </c>
      <c r="O8" s="82" t="s">
        <v>64</v>
      </c>
      <c r="P8" s="83">
        <v>100</v>
      </c>
      <c r="Q8" s="78">
        <v>40957</v>
      </c>
    </row>
    <row r="9" spans="1:17" x14ac:dyDescent="0.25">
      <c r="A9" s="1">
        <v>6</v>
      </c>
      <c r="B9" s="1" t="s">
        <v>5</v>
      </c>
      <c r="C9" s="78">
        <f>3.43*107</f>
        <v>367.01</v>
      </c>
      <c r="D9" s="78">
        <f>8.51*107</f>
        <v>910.56999999999994</v>
      </c>
      <c r="E9" s="78">
        <v>70.23</v>
      </c>
      <c r="F9" s="78">
        <f>4.5*107</f>
        <v>481.5</v>
      </c>
      <c r="G9" s="78">
        <v>107</v>
      </c>
      <c r="H9" s="79"/>
      <c r="I9" s="90"/>
      <c r="J9" s="78">
        <v>5824.14</v>
      </c>
      <c r="K9" s="81">
        <v>22959.98</v>
      </c>
      <c r="L9" s="78">
        <v>1169.42</v>
      </c>
      <c r="M9" s="78">
        <v>12141</v>
      </c>
      <c r="N9" s="78">
        <v>2698</v>
      </c>
      <c r="O9" s="82" t="s">
        <v>64</v>
      </c>
      <c r="P9" s="83">
        <v>102</v>
      </c>
      <c r="Q9" s="78">
        <v>42743</v>
      </c>
    </row>
    <row r="10" spans="1:17" x14ac:dyDescent="0.25">
      <c r="A10" s="1">
        <v>7</v>
      </c>
      <c r="B10" s="1" t="s">
        <v>6</v>
      </c>
      <c r="C10" s="78">
        <f>138*2.59</f>
        <v>357.41999999999996</v>
      </c>
      <c r="D10" s="78">
        <f>138*6.61</f>
        <v>912.18000000000006</v>
      </c>
      <c r="E10" s="78">
        <f>20.59+24.69</f>
        <v>45.28</v>
      </c>
      <c r="F10" s="78">
        <f>138*4.4</f>
        <v>607.20000000000005</v>
      </c>
      <c r="G10" s="78">
        <v>138</v>
      </c>
      <c r="H10" s="79"/>
      <c r="I10" s="90"/>
      <c r="J10" s="78">
        <v>7860.65</v>
      </c>
      <c r="K10" s="81">
        <v>20061.350000000002</v>
      </c>
      <c r="L10" s="78">
        <f>469.95+925.99</f>
        <v>1395.94</v>
      </c>
      <c r="M10" s="78">
        <v>13354.000000000002</v>
      </c>
      <c r="N10" s="78">
        <v>3035</v>
      </c>
      <c r="O10" s="82" t="s">
        <v>74</v>
      </c>
      <c r="P10" s="83">
        <v>108</v>
      </c>
      <c r="Q10" s="78">
        <v>32107</v>
      </c>
    </row>
    <row r="11" spans="1:17" x14ac:dyDescent="0.25">
      <c r="A11" s="1">
        <v>8</v>
      </c>
      <c r="B11" s="1" t="s">
        <v>7</v>
      </c>
      <c r="C11" s="78">
        <f>90*2.3</f>
        <v>206.99999999999997</v>
      </c>
      <c r="D11" s="78">
        <f>90*6.67</f>
        <v>600.29999999999995</v>
      </c>
      <c r="E11" s="78">
        <f>98.3</f>
        <v>98.3</v>
      </c>
      <c r="F11" s="78">
        <f>4.4*90</f>
        <v>396.00000000000006</v>
      </c>
      <c r="G11" s="78">
        <v>90</v>
      </c>
      <c r="H11" s="79"/>
      <c r="I11" s="90"/>
      <c r="J11" s="78">
        <v>7100.0999999999995</v>
      </c>
      <c r="K11" s="81">
        <v>20590.29</v>
      </c>
      <c r="L11" s="78">
        <v>1389.89</v>
      </c>
      <c r="M11" s="78">
        <v>13582.800000000001</v>
      </c>
      <c r="N11" s="78">
        <v>3087</v>
      </c>
      <c r="O11" s="82" t="s">
        <v>64</v>
      </c>
      <c r="P11" s="83">
        <v>114</v>
      </c>
      <c r="Q11" s="78">
        <v>46465</v>
      </c>
    </row>
    <row r="12" spans="1:17" x14ac:dyDescent="0.25">
      <c r="A12" s="1">
        <v>9</v>
      </c>
      <c r="B12" s="1" t="s">
        <v>8</v>
      </c>
      <c r="C12" s="78">
        <f>G12*2.64</f>
        <v>153.12</v>
      </c>
      <c r="D12" s="78">
        <f>G12*7.29</f>
        <v>422.82</v>
      </c>
      <c r="E12" s="78">
        <v>41.85</v>
      </c>
      <c r="F12" s="78">
        <f>G12*4.4</f>
        <v>255.20000000000002</v>
      </c>
      <c r="G12" s="78">
        <v>58</v>
      </c>
      <c r="H12" s="79"/>
      <c r="I12" s="90"/>
      <c r="J12" s="78">
        <v>7758.96</v>
      </c>
      <c r="K12" s="81">
        <v>21425.31</v>
      </c>
      <c r="L12" s="78">
        <v>1230.2</v>
      </c>
      <c r="M12" s="78">
        <v>12931.6</v>
      </c>
      <c r="N12" s="78">
        <v>2939</v>
      </c>
      <c r="O12" s="82" t="s">
        <v>75</v>
      </c>
      <c r="P12" s="83">
        <v>112</v>
      </c>
      <c r="Q12" s="78">
        <v>45210</v>
      </c>
    </row>
    <row r="13" spans="1:17" x14ac:dyDescent="0.25">
      <c r="A13" s="1">
        <v>10</v>
      </c>
      <c r="B13" s="1" t="s">
        <v>9</v>
      </c>
      <c r="C13" s="78">
        <f>G13*2.23</f>
        <v>104.81</v>
      </c>
      <c r="D13" s="78">
        <f>G13*7.38</f>
        <v>346.86</v>
      </c>
      <c r="E13" s="78">
        <v>33.71</v>
      </c>
      <c r="F13" s="78">
        <f>G13*4.5</f>
        <v>211.5</v>
      </c>
      <c r="G13" s="78">
        <v>47</v>
      </c>
      <c r="H13" s="79"/>
      <c r="I13" s="90"/>
      <c r="J13" s="78">
        <v>6826.03</v>
      </c>
      <c r="K13" s="81">
        <v>19743.45</v>
      </c>
      <c r="L13" s="78">
        <v>1056.8399999999999</v>
      </c>
      <c r="M13" s="78">
        <v>13774.5</v>
      </c>
      <c r="N13" s="78">
        <v>3061</v>
      </c>
      <c r="O13" s="82" t="s">
        <v>74</v>
      </c>
      <c r="P13" s="83">
        <v>109</v>
      </c>
      <c r="Q13" s="78">
        <v>45294</v>
      </c>
    </row>
    <row r="14" spans="1:17" x14ac:dyDescent="0.25">
      <c r="A14" s="1">
        <v>11</v>
      </c>
      <c r="B14" s="1" t="s">
        <v>10</v>
      </c>
      <c r="C14" s="78">
        <f>2.56*G14</f>
        <v>79.36</v>
      </c>
      <c r="D14" s="78">
        <f>6.45*G14</f>
        <v>199.95000000000002</v>
      </c>
      <c r="E14" s="78">
        <v>15.6</v>
      </c>
      <c r="F14" s="78">
        <f>G14*4.5</f>
        <v>139.5</v>
      </c>
      <c r="G14" s="78">
        <v>31</v>
      </c>
      <c r="H14" s="79"/>
      <c r="I14" s="90"/>
      <c r="J14" s="78">
        <v>7091.2</v>
      </c>
      <c r="K14" s="81">
        <v>17866.5</v>
      </c>
      <c r="L14" s="78">
        <v>863.64</v>
      </c>
      <c r="M14" s="78">
        <v>12465</v>
      </c>
      <c r="N14" s="78">
        <v>2770</v>
      </c>
      <c r="O14" s="82" t="s">
        <v>79</v>
      </c>
      <c r="P14" s="83">
        <v>100</v>
      </c>
      <c r="Q14" s="78">
        <v>42126.25</v>
      </c>
    </row>
    <row r="15" spans="1:17" x14ac:dyDescent="0.25">
      <c r="A15" s="1">
        <v>12</v>
      </c>
      <c r="B15" s="1" t="s">
        <v>11</v>
      </c>
      <c r="C15" s="78">
        <f>G15*2.43</f>
        <v>157.95000000000002</v>
      </c>
      <c r="D15" s="78">
        <f>G15*8.37</f>
        <v>544.04999999999995</v>
      </c>
      <c r="E15" s="78">
        <v>40.479999999999997</v>
      </c>
      <c r="F15" s="78">
        <f>G15*4.52</f>
        <v>293.79999999999995</v>
      </c>
      <c r="G15" s="78">
        <v>65</v>
      </c>
      <c r="H15" s="79"/>
      <c r="I15" s="90"/>
      <c r="J15" s="78">
        <v>6500.25</v>
      </c>
      <c r="K15" s="81">
        <v>22389.749999999996</v>
      </c>
      <c r="L15" s="78">
        <v>898.57</v>
      </c>
      <c r="M15" s="78">
        <v>12090.999999999998</v>
      </c>
      <c r="N15" s="78">
        <v>2675</v>
      </c>
      <c r="O15" s="82" t="s">
        <v>75</v>
      </c>
      <c r="P15" s="83">
        <v>100</v>
      </c>
      <c r="Q15" s="78">
        <v>40170</v>
      </c>
    </row>
    <row r="16" spans="1:17" s="17" customFormat="1" x14ac:dyDescent="0.25">
      <c r="A16" s="150" t="s">
        <v>21</v>
      </c>
      <c r="B16" s="150"/>
      <c r="C16" s="87">
        <f>SUM(C4:C15)</f>
        <v>2643.81</v>
      </c>
      <c r="D16" s="87">
        <f>SUM(D4:D15)</f>
        <v>7303.63</v>
      </c>
      <c r="E16" s="87">
        <f>SUM(E4:E15)</f>
        <v>1094.6499999999999</v>
      </c>
      <c r="F16" s="87">
        <f>SUM(F4:F15)</f>
        <v>4257.4000000000005</v>
      </c>
      <c r="G16" s="87">
        <f>SUM(G4:G15)</f>
        <v>982</v>
      </c>
      <c r="H16" s="88">
        <f t="shared" ref="H16" si="0">SUM(H4:H14)</f>
        <v>0</v>
      </c>
      <c r="I16" s="92"/>
      <c r="J16" s="87">
        <v>84865.74</v>
      </c>
      <c r="K16" s="89">
        <v>246293.52000000002</v>
      </c>
      <c r="L16" s="78">
        <f>SUM(L4:L15)</f>
        <v>13365.24</v>
      </c>
      <c r="M16" s="87">
        <v>144937.13</v>
      </c>
      <c r="N16" s="87">
        <f>SUM(N4:N15)</f>
        <v>33322</v>
      </c>
      <c r="O16" s="87">
        <v>91</v>
      </c>
      <c r="P16" s="87">
        <v>1251</v>
      </c>
      <c r="Q16" s="87">
        <f>SUM(Q4:Q15)</f>
        <v>498071.25</v>
      </c>
    </row>
    <row r="17" spans="1:17" s="17" customFormat="1" x14ac:dyDescent="0.25">
      <c r="A17" s="36"/>
      <c r="B17" s="37"/>
      <c r="C17" s="38"/>
      <c r="D17" s="38"/>
      <c r="E17" s="24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</row>
    <row r="18" spans="1:17" x14ac:dyDescent="0.25">
      <c r="A18" s="142" t="s">
        <v>22</v>
      </c>
      <c r="B18" s="143"/>
      <c r="C18" s="143"/>
      <c r="D18" s="143"/>
      <c r="E18" s="144"/>
    </row>
    <row r="19" spans="1:17" x14ac:dyDescent="0.25">
      <c r="A19" s="145" t="s">
        <v>284</v>
      </c>
      <c r="B19" s="145"/>
      <c r="C19" s="145"/>
      <c r="D19" s="145"/>
      <c r="E19" s="145"/>
      <c r="F19" s="42"/>
      <c r="G19" s="42"/>
      <c r="H19" s="42"/>
      <c r="I19" s="42"/>
      <c r="J19" s="43"/>
      <c r="K19" s="7"/>
      <c r="L19" s="7"/>
      <c r="M19" s="7"/>
      <c r="N19" s="7"/>
      <c r="O19" s="42"/>
      <c r="P19" s="42"/>
    </row>
    <row r="20" spans="1:17" x14ac:dyDescent="0.25">
      <c r="A20" s="145" t="s">
        <v>285</v>
      </c>
      <c r="B20" s="145"/>
      <c r="C20" s="145"/>
      <c r="D20" s="145"/>
      <c r="E20" s="145"/>
      <c r="F20" s="42"/>
      <c r="G20" s="42"/>
      <c r="H20" s="42"/>
      <c r="I20" s="42"/>
      <c r="J20" s="43"/>
      <c r="K20" s="7"/>
      <c r="L20" s="7"/>
      <c r="M20" s="7"/>
      <c r="N20" s="7"/>
      <c r="O20" s="42"/>
      <c r="P20" s="42"/>
    </row>
    <row r="21" spans="1:17" x14ac:dyDescent="0.25">
      <c r="A21" s="145" t="s">
        <v>286</v>
      </c>
      <c r="B21" s="145"/>
      <c r="C21" s="145"/>
      <c r="D21" s="145"/>
      <c r="E21" s="145"/>
      <c r="F21" s="42"/>
      <c r="G21" s="42"/>
      <c r="H21" s="42"/>
      <c r="I21" s="42"/>
      <c r="J21" s="43"/>
      <c r="K21" s="7"/>
      <c r="L21" s="7"/>
      <c r="M21" s="7"/>
      <c r="N21" s="7"/>
      <c r="O21" s="42"/>
      <c r="P21" s="42"/>
    </row>
    <row r="22" spans="1:17" x14ac:dyDescent="0.25">
      <c r="A22" s="145" t="s">
        <v>287</v>
      </c>
      <c r="B22" s="145"/>
      <c r="C22" s="145"/>
      <c r="D22" s="145"/>
      <c r="E22" s="145"/>
      <c r="F22" s="42"/>
      <c r="G22" s="42"/>
      <c r="H22" s="42"/>
      <c r="I22" s="42"/>
      <c r="J22" s="43"/>
      <c r="K22" s="7"/>
      <c r="L22" s="7"/>
      <c r="M22" s="7"/>
      <c r="N22" s="7"/>
      <c r="O22" s="42"/>
      <c r="P22" s="42"/>
    </row>
    <row r="23" spans="1:17" x14ac:dyDescent="0.25">
      <c r="A23" s="145" t="s">
        <v>282</v>
      </c>
      <c r="B23" s="145"/>
      <c r="C23" s="145"/>
      <c r="D23" s="145"/>
      <c r="E23" s="145"/>
      <c r="F23" s="42"/>
      <c r="G23" s="42"/>
      <c r="H23" s="42"/>
      <c r="I23" s="42"/>
      <c r="J23" s="43"/>
      <c r="K23" s="7"/>
      <c r="L23" s="7"/>
      <c r="M23" s="7"/>
      <c r="N23" s="7"/>
      <c r="O23" s="42"/>
      <c r="P23" s="42"/>
    </row>
    <row r="24" spans="1:17" x14ac:dyDescent="0.25">
      <c r="A24" s="151" t="s">
        <v>283</v>
      </c>
      <c r="B24" s="158"/>
      <c r="C24" s="158"/>
      <c r="D24" s="158"/>
      <c r="E24" s="159"/>
      <c r="F24" s="42"/>
      <c r="G24" s="42"/>
      <c r="H24" s="42"/>
      <c r="I24" s="42"/>
      <c r="J24" s="44"/>
      <c r="K24" s="75"/>
      <c r="L24" s="75"/>
      <c r="M24" s="75"/>
      <c r="N24" s="75"/>
      <c r="O24" s="42"/>
      <c r="P24" s="42"/>
    </row>
  </sheetData>
  <mergeCells count="12">
    <mergeCell ref="A2:A3"/>
    <mergeCell ref="B2:B3"/>
    <mergeCell ref="C2:H2"/>
    <mergeCell ref="J2:N2"/>
    <mergeCell ref="A16:B16"/>
    <mergeCell ref="A23:E23"/>
    <mergeCell ref="A24:E24"/>
    <mergeCell ref="A18:E18"/>
    <mergeCell ref="A19:E19"/>
    <mergeCell ref="A20:E20"/>
    <mergeCell ref="A21:E21"/>
    <mergeCell ref="A22:E22"/>
  </mergeCells>
  <pageMargins left="0.7" right="0.7" top="0.75" bottom="0.75" header="0.3" footer="0.3"/>
  <pageSetup orientation="portrait" horizontalDpi="0" verticalDpi="0" r:id="rId1"/>
  <ignoredErrors>
    <ignoredError sqref="O4:O1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O15" sqref="O15"/>
    </sheetView>
  </sheetViews>
  <sheetFormatPr defaultRowHeight="15" x14ac:dyDescent="0.25"/>
  <cols>
    <col min="1" max="1" width="6.42578125" customWidth="1"/>
    <col min="2" max="2" width="19.140625" customWidth="1"/>
    <col min="10" max="10" width="19.5703125" customWidth="1"/>
  </cols>
  <sheetData>
    <row r="1" spans="1:17" ht="15.75" thickBot="1" x14ac:dyDescent="0.3">
      <c r="A1" s="146" t="s">
        <v>12</v>
      </c>
      <c r="B1" s="148" t="s">
        <v>13</v>
      </c>
      <c r="C1" s="154" t="s">
        <v>19</v>
      </c>
      <c r="D1" s="155"/>
      <c r="E1" s="155"/>
      <c r="F1" s="155"/>
      <c r="G1" s="155"/>
      <c r="H1" s="155"/>
      <c r="I1" s="48"/>
      <c r="J1" s="146" t="s">
        <v>20</v>
      </c>
      <c r="K1" s="140"/>
      <c r="L1" s="140"/>
      <c r="M1" s="140"/>
      <c r="N1" s="140"/>
      <c r="O1" t="s">
        <v>72</v>
      </c>
    </row>
    <row r="2" spans="1:17" ht="81.75" x14ac:dyDescent="0.25">
      <c r="A2" s="147"/>
      <c r="B2" s="149"/>
      <c r="C2" s="2" t="s">
        <v>14</v>
      </c>
      <c r="D2" s="3" t="s">
        <v>15</v>
      </c>
      <c r="E2" s="3" t="s">
        <v>16</v>
      </c>
      <c r="F2" s="2" t="s">
        <v>17</v>
      </c>
      <c r="G2" s="3" t="s">
        <v>18</v>
      </c>
      <c r="H2" s="20" t="s">
        <v>25</v>
      </c>
      <c r="I2" s="100"/>
      <c r="J2" s="32" t="s">
        <v>14</v>
      </c>
      <c r="K2" s="27" t="s">
        <v>15</v>
      </c>
      <c r="L2" s="3" t="s">
        <v>16</v>
      </c>
      <c r="M2" s="2" t="s">
        <v>17</v>
      </c>
      <c r="N2" s="3" t="s">
        <v>18</v>
      </c>
      <c r="O2" s="3" t="s">
        <v>27</v>
      </c>
      <c r="P2" s="3" t="s">
        <v>28</v>
      </c>
      <c r="Q2" s="6" t="s">
        <v>80</v>
      </c>
    </row>
    <row r="3" spans="1:17" x14ac:dyDescent="0.25">
      <c r="A3" s="1">
        <v>1</v>
      </c>
      <c r="B3" s="1" t="s">
        <v>0</v>
      </c>
      <c r="C3" s="1">
        <v>63.04</v>
      </c>
      <c r="D3" s="1">
        <v>106</v>
      </c>
      <c r="E3" s="1">
        <v>5.28</v>
      </c>
      <c r="F3" s="1">
        <v>79.36</v>
      </c>
      <c r="G3" s="1">
        <v>16</v>
      </c>
      <c r="H3" s="21"/>
      <c r="I3" s="101"/>
      <c r="J3" s="33">
        <v>16287.96</v>
      </c>
      <c r="K3" s="23">
        <v>27388.42</v>
      </c>
      <c r="L3" s="1">
        <v>2901.45</v>
      </c>
      <c r="M3" s="1">
        <v>20505.97</v>
      </c>
      <c r="N3" s="1">
        <v>4134</v>
      </c>
      <c r="O3" s="124" t="s">
        <v>73</v>
      </c>
      <c r="P3" s="12">
        <v>134</v>
      </c>
      <c r="Q3" s="1">
        <v>60681</v>
      </c>
    </row>
    <row r="4" spans="1:17" x14ac:dyDescent="0.25">
      <c r="A4" s="1">
        <v>2</v>
      </c>
      <c r="B4" s="1" t="s">
        <v>1</v>
      </c>
      <c r="C4">
        <v>229.12</v>
      </c>
      <c r="D4" s="1">
        <v>373.24</v>
      </c>
      <c r="E4" s="1">
        <v>69.430000000000007</v>
      </c>
      <c r="F4" s="8">
        <v>242.72</v>
      </c>
      <c r="G4" s="1">
        <v>54</v>
      </c>
      <c r="H4" s="26"/>
      <c r="I4" s="102"/>
      <c r="J4" s="33">
        <v>16308.08</v>
      </c>
      <c r="K4" s="23">
        <v>24433.61</v>
      </c>
      <c r="L4" s="1">
        <v>2840.88</v>
      </c>
      <c r="M4" s="1">
        <v>16831</v>
      </c>
      <c r="N4" s="1">
        <v>3803</v>
      </c>
      <c r="O4" s="124" t="s">
        <v>74</v>
      </c>
      <c r="P4" s="12">
        <v>140</v>
      </c>
      <c r="Q4" s="1">
        <v>63698</v>
      </c>
    </row>
    <row r="5" spans="1:17" x14ac:dyDescent="0.25">
      <c r="A5" s="1">
        <v>3</v>
      </c>
      <c r="B5" s="1" t="s">
        <v>2</v>
      </c>
      <c r="C5" s="1">
        <v>183.6</v>
      </c>
      <c r="D5" s="1">
        <v>30.41</v>
      </c>
      <c r="E5" s="1">
        <v>141.78</v>
      </c>
      <c r="F5" s="1">
        <v>218.79</v>
      </c>
      <c r="G5" s="1">
        <v>51</v>
      </c>
      <c r="H5" s="21"/>
      <c r="I5" s="101"/>
      <c r="J5" s="33">
        <v>15288.75</v>
      </c>
      <c r="K5" s="23">
        <v>25088.13</v>
      </c>
      <c r="L5" s="1">
        <v>3332.03</v>
      </c>
      <c r="M5" s="1">
        <v>18242.82</v>
      </c>
      <c r="N5" s="1">
        <v>4248</v>
      </c>
      <c r="O5" s="124" t="s">
        <v>69</v>
      </c>
      <c r="P5" s="12">
        <v>142</v>
      </c>
      <c r="Q5" s="1">
        <v>63806</v>
      </c>
    </row>
    <row r="6" spans="1:17" x14ac:dyDescent="0.25">
      <c r="A6" s="1">
        <v>4</v>
      </c>
      <c r="B6" s="1" t="s">
        <v>3</v>
      </c>
      <c r="C6" s="1">
        <v>74.7</v>
      </c>
      <c r="D6" s="1">
        <v>123.61</v>
      </c>
      <c r="E6" s="1">
        <v>77.69</v>
      </c>
      <c r="F6" s="1">
        <v>74.88</v>
      </c>
      <c r="G6" s="1">
        <v>17</v>
      </c>
      <c r="H6" s="21"/>
      <c r="I6" s="101"/>
      <c r="J6" s="33">
        <v>19361.93</v>
      </c>
      <c r="K6" s="23">
        <v>32084.7</v>
      </c>
      <c r="L6" s="1">
        <v>3244.16</v>
      </c>
      <c r="M6" s="1">
        <v>18535.86</v>
      </c>
      <c r="N6" s="1">
        <v>4177</v>
      </c>
      <c r="O6" s="124" t="s">
        <v>73</v>
      </c>
      <c r="P6" s="12">
        <v>142</v>
      </c>
      <c r="Q6" s="1">
        <v>63693</v>
      </c>
    </row>
    <row r="7" spans="1:17" x14ac:dyDescent="0.25">
      <c r="A7" s="1">
        <v>5</v>
      </c>
      <c r="B7" s="1" t="s">
        <v>4</v>
      </c>
      <c r="C7" s="1">
        <v>281.33999999999997</v>
      </c>
      <c r="D7" s="1">
        <v>533.72</v>
      </c>
      <c r="E7" s="1">
        <v>201.62</v>
      </c>
      <c r="F7" s="1">
        <v>311.22000000000003</v>
      </c>
      <c r="G7" s="1">
        <v>78</v>
      </c>
      <c r="H7" s="21"/>
      <c r="I7" s="101"/>
      <c r="J7" s="33">
        <v>13533.53</v>
      </c>
      <c r="K7" s="23">
        <v>27799.19</v>
      </c>
      <c r="L7" s="1">
        <v>3071.24</v>
      </c>
      <c r="M7" s="1">
        <v>16306.51</v>
      </c>
      <c r="N7" s="1">
        <v>4299</v>
      </c>
      <c r="O7" s="124" t="s">
        <v>75</v>
      </c>
      <c r="P7" s="12">
        <v>145</v>
      </c>
      <c r="Q7" s="1">
        <v>65680</v>
      </c>
    </row>
    <row r="8" spans="1:17" x14ac:dyDescent="0.25">
      <c r="A8" s="1">
        <v>6</v>
      </c>
      <c r="B8" s="1" t="s">
        <v>5</v>
      </c>
      <c r="C8" s="1">
        <v>141</v>
      </c>
      <c r="D8" s="1">
        <v>244</v>
      </c>
      <c r="E8" s="1">
        <v>100</v>
      </c>
      <c r="F8" s="1">
        <v>159</v>
      </c>
      <c r="G8" s="1">
        <v>40</v>
      </c>
      <c r="H8" s="21"/>
      <c r="I8" s="101"/>
      <c r="J8" s="33">
        <v>15908</v>
      </c>
      <c r="K8" s="23">
        <v>25905</v>
      </c>
      <c r="L8" s="1">
        <v>2818</v>
      </c>
      <c r="M8" s="1">
        <v>19838</v>
      </c>
      <c r="N8" s="1">
        <v>4248</v>
      </c>
      <c r="O8" s="124" t="s">
        <v>79</v>
      </c>
      <c r="P8" s="12">
        <v>144</v>
      </c>
      <c r="Q8" s="1">
        <f>1680+63720</f>
        <v>65400</v>
      </c>
    </row>
    <row r="9" spans="1:17" x14ac:dyDescent="0.25">
      <c r="A9" s="1">
        <v>7</v>
      </c>
      <c r="B9" s="1" t="s">
        <v>6</v>
      </c>
      <c r="C9" s="1">
        <v>57.75</v>
      </c>
      <c r="D9" s="1">
        <v>92</v>
      </c>
      <c r="E9" s="1">
        <v>7</v>
      </c>
      <c r="F9" s="1">
        <v>66</v>
      </c>
      <c r="G9" s="1">
        <v>15</v>
      </c>
      <c r="H9" s="21"/>
      <c r="I9" s="101"/>
      <c r="J9" s="33">
        <v>16895</v>
      </c>
      <c r="K9" s="23">
        <v>26932</v>
      </c>
      <c r="L9" s="1">
        <v>2996</v>
      </c>
      <c r="M9" s="1">
        <v>19378</v>
      </c>
      <c r="N9" s="1">
        <v>4384</v>
      </c>
      <c r="O9" s="124" t="s">
        <v>73</v>
      </c>
      <c r="P9" s="12">
        <v>143</v>
      </c>
      <c r="Q9" s="1">
        <f>630+63649</f>
        <v>64279</v>
      </c>
    </row>
    <row r="10" spans="1:17" x14ac:dyDescent="0.25">
      <c r="A10" s="1">
        <v>8</v>
      </c>
      <c r="B10" s="1" t="s">
        <v>7</v>
      </c>
      <c r="C10" s="1">
        <v>196</v>
      </c>
      <c r="D10" s="1">
        <v>275</v>
      </c>
      <c r="E10" s="1">
        <v>117</v>
      </c>
      <c r="F10" s="1">
        <v>226</v>
      </c>
      <c r="G10" s="1">
        <v>50</v>
      </c>
      <c r="H10" s="21"/>
      <c r="I10" s="101"/>
      <c r="J10" s="33">
        <v>17505</v>
      </c>
      <c r="K10" s="23">
        <v>21636</v>
      </c>
      <c r="L10" s="1">
        <v>3228</v>
      </c>
      <c r="M10" s="1">
        <v>20196</v>
      </c>
      <c r="N10" s="1">
        <v>4352</v>
      </c>
      <c r="O10" s="124" t="s">
        <v>69</v>
      </c>
      <c r="P10" s="12">
        <v>144</v>
      </c>
      <c r="Q10" s="1">
        <f>2100+63174</f>
        <v>65274</v>
      </c>
    </row>
    <row r="11" spans="1:17" x14ac:dyDescent="0.25">
      <c r="A11" s="1">
        <v>9</v>
      </c>
      <c r="B11" s="1" t="s">
        <v>8</v>
      </c>
      <c r="C11" s="1">
        <v>289</v>
      </c>
      <c r="D11" s="1">
        <v>439</v>
      </c>
      <c r="E11" s="1">
        <v>127</v>
      </c>
      <c r="F11" s="1">
        <v>373</v>
      </c>
      <c r="G11" s="1">
        <v>81</v>
      </c>
      <c r="H11" s="21"/>
      <c r="I11" s="101"/>
      <c r="J11" s="33">
        <v>14462</v>
      </c>
      <c r="K11" s="23">
        <v>22903</v>
      </c>
      <c r="L11" s="1">
        <v>2999</v>
      </c>
      <c r="M11" s="1">
        <v>19129</v>
      </c>
      <c r="N11" s="1">
        <v>4151</v>
      </c>
      <c r="O11" s="124" t="s">
        <v>75</v>
      </c>
      <c r="P11" s="12">
        <v>145</v>
      </c>
      <c r="Q11" s="1">
        <f>3402+62280</f>
        <v>65682</v>
      </c>
    </row>
    <row r="12" spans="1:17" x14ac:dyDescent="0.25">
      <c r="A12" s="1">
        <v>10</v>
      </c>
      <c r="B12" s="1" t="s">
        <v>9</v>
      </c>
      <c r="C12" s="1">
        <v>117</v>
      </c>
      <c r="D12" s="1">
        <v>181</v>
      </c>
      <c r="E12" s="1">
        <v>80</v>
      </c>
      <c r="F12" s="1">
        <v>137</v>
      </c>
      <c r="G12" s="1">
        <v>32</v>
      </c>
      <c r="H12" s="21"/>
      <c r="I12" s="101"/>
      <c r="J12" s="33">
        <v>15894</v>
      </c>
      <c r="K12" s="23">
        <v>24459</v>
      </c>
      <c r="L12" s="1">
        <v>3226</v>
      </c>
      <c r="M12" s="1">
        <v>18426</v>
      </c>
      <c r="N12" s="1">
        <v>4316</v>
      </c>
      <c r="O12" s="124" t="s">
        <v>90</v>
      </c>
      <c r="P12" s="12">
        <v>141</v>
      </c>
      <c r="Q12" s="1">
        <f>1344+62651</f>
        <v>63995</v>
      </c>
    </row>
    <row r="13" spans="1:17" x14ac:dyDescent="0.25">
      <c r="A13" s="1">
        <v>11</v>
      </c>
      <c r="B13" s="1" t="s">
        <v>10</v>
      </c>
      <c r="C13" s="1">
        <v>306.10000000000002</v>
      </c>
      <c r="D13" s="1">
        <v>527.51</v>
      </c>
      <c r="E13" s="1">
        <v>44.78</v>
      </c>
      <c r="F13" s="1">
        <v>370.76</v>
      </c>
      <c r="G13" s="1">
        <v>128</v>
      </c>
      <c r="H13" s="21"/>
      <c r="I13" s="101"/>
      <c r="J13" s="33">
        <v>14956.97</v>
      </c>
      <c r="K13" s="23">
        <v>25938.46</v>
      </c>
      <c r="L13" s="1">
        <v>3281.45</v>
      </c>
      <c r="M13" s="1">
        <v>18160.560000000001</v>
      </c>
      <c r="N13" s="1">
        <v>4309</v>
      </c>
      <c r="O13" s="124" t="s">
        <v>75</v>
      </c>
      <c r="P13" s="12">
        <v>147</v>
      </c>
      <c r="Q13" s="1">
        <v>67587</v>
      </c>
    </row>
    <row r="14" spans="1:17" x14ac:dyDescent="0.25">
      <c r="A14" s="1">
        <v>12</v>
      </c>
      <c r="B14" s="1" t="s">
        <v>11</v>
      </c>
      <c r="C14" s="1">
        <v>329</v>
      </c>
      <c r="D14" s="1">
        <v>499</v>
      </c>
      <c r="E14" s="1">
        <v>184</v>
      </c>
      <c r="F14" s="1">
        <v>230</v>
      </c>
      <c r="G14" s="1">
        <v>60</v>
      </c>
      <c r="H14" s="21"/>
      <c r="I14" s="101"/>
      <c r="J14" s="33">
        <v>17212</v>
      </c>
      <c r="K14" s="23">
        <v>41744</v>
      </c>
      <c r="L14" s="1">
        <v>3601</v>
      </c>
      <c r="M14" s="1">
        <v>19443</v>
      </c>
      <c r="N14" s="1">
        <v>43457</v>
      </c>
      <c r="O14" s="124" t="s">
        <v>74</v>
      </c>
      <c r="P14" s="12">
        <v>147</v>
      </c>
      <c r="Q14" s="1">
        <v>67218</v>
      </c>
    </row>
    <row r="15" spans="1:17" s="17" customFormat="1" ht="15.75" thickBot="1" x14ac:dyDescent="0.3">
      <c r="A15" s="150" t="s">
        <v>21</v>
      </c>
      <c r="B15" s="150"/>
      <c r="C15" s="18">
        <f>SUM(C3:C14)</f>
        <v>2267.65</v>
      </c>
      <c r="D15" s="18">
        <f>SUM(D3:D14)</f>
        <v>3424.49</v>
      </c>
      <c r="E15" s="18">
        <f>SUM(E3:E14)</f>
        <v>1155.58</v>
      </c>
      <c r="F15" s="18">
        <f>SUM(F3:F14)</f>
        <v>2488.73</v>
      </c>
      <c r="G15" s="18">
        <f>SUM(G3:G14)</f>
        <v>622</v>
      </c>
      <c r="H15" s="22">
        <f t="shared" ref="H15" si="0">SUM(H3:H13)</f>
        <v>0</v>
      </c>
      <c r="I15" s="103"/>
      <c r="J15" s="34">
        <f>SUM(J3:J14)</f>
        <v>193613.22</v>
      </c>
      <c r="K15" s="24">
        <f>SUM(K3:K14)</f>
        <v>326311.51</v>
      </c>
      <c r="L15" s="18">
        <f>SUM(L3:L14)</f>
        <v>37539.21</v>
      </c>
      <c r="M15" s="18">
        <f>SUM(M3:M14)</f>
        <v>224992.71999999997</v>
      </c>
      <c r="N15" s="18">
        <f>SUM(N3:N14)</f>
        <v>89878</v>
      </c>
      <c r="O15" s="18">
        <v>44</v>
      </c>
      <c r="P15" s="18">
        <v>1714</v>
      </c>
      <c r="Q15" s="18"/>
    </row>
    <row r="16" spans="1:17" s="17" customFormat="1" x14ac:dyDescent="0.25">
      <c r="A16" s="36"/>
      <c r="B16" s="37"/>
      <c r="C16" s="38"/>
      <c r="D16" s="38"/>
      <c r="E16" s="24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4" x14ac:dyDescent="0.25">
      <c r="A17" s="142" t="s">
        <v>22</v>
      </c>
      <c r="B17" s="143"/>
      <c r="C17" s="143"/>
      <c r="D17" s="143"/>
      <c r="E17" s="144"/>
    </row>
    <row r="18" spans="1:14" x14ac:dyDescent="0.25">
      <c r="A18" s="145" t="s">
        <v>131</v>
      </c>
      <c r="B18" s="145"/>
      <c r="C18" s="145"/>
      <c r="D18" s="145"/>
      <c r="E18" s="157"/>
      <c r="F18" s="25"/>
      <c r="G18" s="42"/>
      <c r="H18" s="42"/>
      <c r="I18" s="42"/>
      <c r="J18" s="43"/>
      <c r="K18" s="7"/>
      <c r="L18" s="4"/>
      <c r="M18" s="4"/>
      <c r="N18" s="4"/>
    </row>
    <row r="19" spans="1:14" x14ac:dyDescent="0.25">
      <c r="A19" s="145" t="s">
        <v>132</v>
      </c>
      <c r="B19" s="145"/>
      <c r="C19" s="145"/>
      <c r="D19" s="145"/>
      <c r="E19" s="157"/>
      <c r="F19" s="25"/>
      <c r="G19" s="42"/>
      <c r="H19" s="42"/>
      <c r="I19" s="42"/>
      <c r="J19" s="43"/>
      <c r="K19" s="7"/>
      <c r="L19" s="4"/>
      <c r="M19" s="4"/>
      <c r="N19" s="4"/>
    </row>
    <row r="20" spans="1:14" x14ac:dyDescent="0.25">
      <c r="A20" s="145" t="s">
        <v>133</v>
      </c>
      <c r="B20" s="145"/>
      <c r="C20" s="145"/>
      <c r="D20" s="145"/>
      <c r="E20" s="157"/>
      <c r="F20" s="25"/>
      <c r="G20" s="42"/>
      <c r="H20" s="42"/>
      <c r="I20" s="42"/>
      <c r="J20" s="43"/>
      <c r="K20" s="7"/>
      <c r="L20" s="4"/>
      <c r="M20" s="4"/>
      <c r="N20" s="4"/>
    </row>
    <row r="21" spans="1:14" x14ac:dyDescent="0.25">
      <c r="A21" s="145" t="s">
        <v>134</v>
      </c>
      <c r="B21" s="145"/>
      <c r="C21" s="145"/>
      <c r="D21" s="145"/>
      <c r="E21" s="157"/>
      <c r="F21" s="25"/>
      <c r="G21" s="42"/>
      <c r="H21" s="42"/>
      <c r="I21" s="42"/>
      <c r="J21" s="43"/>
      <c r="K21" s="7"/>
      <c r="L21" s="4"/>
      <c r="M21" s="4"/>
      <c r="N21" s="4"/>
    </row>
    <row r="22" spans="1:14" x14ac:dyDescent="0.25">
      <c r="A22" s="145" t="s">
        <v>135</v>
      </c>
      <c r="B22" s="145"/>
      <c r="C22" s="145"/>
      <c r="D22" s="145"/>
      <c r="E22" s="157"/>
      <c r="F22" s="25"/>
      <c r="G22" s="42"/>
      <c r="H22" s="42"/>
      <c r="I22" s="42"/>
      <c r="J22" s="43"/>
      <c r="K22" s="7"/>
      <c r="L22" s="4"/>
      <c r="M22" s="4"/>
      <c r="N22" s="4"/>
    </row>
    <row r="23" spans="1:14" x14ac:dyDescent="0.25">
      <c r="A23" s="141" t="s">
        <v>158</v>
      </c>
      <c r="B23" s="141"/>
      <c r="C23" s="141"/>
      <c r="D23" s="141"/>
      <c r="E23" s="151"/>
      <c r="F23" s="25"/>
      <c r="G23" s="42"/>
      <c r="H23" s="42"/>
      <c r="I23" s="42"/>
      <c r="J23" s="44"/>
      <c r="K23" s="5"/>
      <c r="L23" s="5"/>
      <c r="M23" s="5"/>
      <c r="N23" s="5"/>
    </row>
  </sheetData>
  <mergeCells count="12">
    <mergeCell ref="A23:E23"/>
    <mergeCell ref="A1:A2"/>
    <mergeCell ref="B1:B2"/>
    <mergeCell ref="C1:H1"/>
    <mergeCell ref="J1:N1"/>
    <mergeCell ref="A15:B15"/>
    <mergeCell ref="A17:E17"/>
    <mergeCell ref="A18:E18"/>
    <mergeCell ref="A19:E19"/>
    <mergeCell ref="A20:E20"/>
    <mergeCell ref="A21:E21"/>
    <mergeCell ref="A22:E22"/>
  </mergeCells>
  <pageMargins left="0.7" right="0.7" top="0.75" bottom="0.75" header="0.3" footer="0.3"/>
  <ignoredErrors>
    <ignoredError sqref="O3:O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ნანეიშვილი</vt:lpstr>
      <vt:lpstr>#5</vt:lpstr>
      <vt:lpstr>ღუდუშაური</vt:lpstr>
      <vt:lpstr>ქუთაისი</vt:lpstr>
      <vt:lpstr>უნიმედი</vt:lpstr>
      <vt:lpstr>რუსთავი</vt:lpstr>
      <vt:lpstr>სენაკი</vt:lpstr>
      <vt:lpstr>სურამი</vt:lpstr>
      <vt:lpstr>ბედიანი</vt:lpstr>
      <vt:lpstr>ქავთარაძე</vt:lpstr>
      <vt:lpstr>გლდანი</vt:lpstr>
      <vt:lpstr>ბათუმი</vt:lpstr>
      <vt:lpstr>რეჰოსპიტალიზაცია</vt:lpstr>
      <vt:lpstr>ჯამური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2016-05-18T12:10:45Z</dcterms:modified>
</cp:coreProperties>
</file>