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h.chilashvili\Desktop\NCDC\გეგმები\2019\#1.1\"/>
    </mc:Choice>
  </mc:AlternateContent>
  <bookViews>
    <workbookView xWindow="0" yWindow="0" windowWidth="28800" windowHeight="12135" firstSheet="10" activeTab="19"/>
  </bookViews>
  <sheets>
    <sheet name="14.11.2018..." sheetId="180" r:id="rId1"/>
    <sheet name="05.12.2018..." sheetId="181" r:id="rId2"/>
    <sheet name="25.12.2018...." sheetId="182" r:id="rId3"/>
    <sheet name="27.12.2018..." sheetId="183" r:id="rId4"/>
    <sheet name="4.01.2019.." sheetId="184" r:id="rId5"/>
    <sheet name="11.01.2019..." sheetId="185" r:id="rId6"/>
    <sheet name="15.01.2019..." sheetId="186" r:id="rId7"/>
    <sheet name="21.01.2019..." sheetId="187" r:id="rId8"/>
    <sheet name="28.01.2019..." sheetId="188" r:id="rId9"/>
    <sheet name="04.02.2019.." sheetId="189" r:id="rId10"/>
    <sheet name="15.02.2019..." sheetId="190" r:id="rId11"/>
    <sheet name="22.02.2019.." sheetId="191" r:id="rId12"/>
    <sheet name="27.03.2019" sheetId="192" r:id="rId13"/>
    <sheet name="28.03.2019..." sheetId="193" r:id="rId14"/>
    <sheet name="03.04.2019..." sheetId="194" r:id="rId15"/>
    <sheet name="04.04.2019..." sheetId="195" r:id="rId16"/>
    <sheet name="08.04.2019.." sheetId="196" r:id="rId17"/>
    <sheet name="11.04.2019.." sheetId="197" r:id="rId18"/>
    <sheet name="15.04.2019" sheetId="198" r:id="rId19"/>
    <sheet name="17.04.2019 " sheetId="199" r:id="rId20"/>
  </sheets>
  <definedNames>
    <definedName name="_xlnm._FilterDatabase" localSheetId="14" hidden="1">'03.04.2019...'!$A$8:$H$120</definedName>
    <definedName name="_xlnm._FilterDatabase" localSheetId="9" hidden="1">'04.02.2019..'!$A$8:$H$110</definedName>
    <definedName name="_xlnm._FilterDatabase" localSheetId="15" hidden="1">'04.04.2019...'!$A$8:$H$121</definedName>
    <definedName name="_xlnm._FilterDatabase" localSheetId="1" hidden="1">'05.12.2018...'!$A$8:$H$99</definedName>
    <definedName name="_xlnm._FilterDatabase" localSheetId="16" hidden="1">'08.04.2019..'!$A$8:$H$121</definedName>
    <definedName name="_xlnm._FilterDatabase" localSheetId="5" hidden="1">'11.01.2019...'!$A$8:$H$105</definedName>
    <definedName name="_xlnm._FilterDatabase" localSheetId="17" hidden="1">'11.04.2019..'!$A$8:$H$123</definedName>
    <definedName name="_xlnm._FilterDatabase" localSheetId="0" hidden="1">'14.11.2018...'!$A$8:$H$98</definedName>
    <definedName name="_xlnm._FilterDatabase" localSheetId="6" hidden="1">'15.01.2019...'!$A$8:$H$107</definedName>
    <definedName name="_xlnm._FilterDatabase" localSheetId="10" hidden="1">'15.02.2019...'!$A$8:$H$115</definedName>
    <definedName name="_xlnm._FilterDatabase" localSheetId="18" hidden="1">'15.04.2019'!$A$8:$H$124</definedName>
    <definedName name="_xlnm._FilterDatabase" localSheetId="19" hidden="1">'17.04.2019 '!$A$8:$H$123</definedName>
    <definedName name="_xlnm._FilterDatabase" localSheetId="7" hidden="1">'21.01.2019...'!$A$8:$H$108</definedName>
    <definedName name="_xlnm._FilterDatabase" localSheetId="11" hidden="1">'22.02.2019..'!$A$8:$H$117</definedName>
    <definedName name="_xlnm._FilterDatabase" localSheetId="2" hidden="1">'25.12.2018....'!$A$8:$H$100</definedName>
    <definedName name="_xlnm._FilterDatabase" localSheetId="12" hidden="1">'27.03.2019'!$A$8:$H$117</definedName>
    <definedName name="_xlnm._FilterDatabase" localSheetId="3" hidden="1">'27.12.2018...'!$A$8:$H$100</definedName>
    <definedName name="_xlnm._FilterDatabase" localSheetId="8" hidden="1">'28.01.2019...'!$A$8:$H$109</definedName>
    <definedName name="_xlnm._FilterDatabase" localSheetId="13" hidden="1">'28.03.2019...'!$A$8:$H$119</definedName>
    <definedName name="_xlnm._FilterDatabase" localSheetId="4" hidden="1">'4.01.2019..'!$A$8:$H$105</definedName>
    <definedName name="_xlnm.Print_Area" localSheetId="14">'03.04.2019...'!$A$1:$J$119</definedName>
    <definedName name="_xlnm.Print_Area" localSheetId="9">'04.02.2019..'!$A$1:$J$109</definedName>
    <definedName name="_xlnm.Print_Area" localSheetId="15">'04.04.2019...'!$A$1:$J$120</definedName>
    <definedName name="_xlnm.Print_Area" localSheetId="1">'05.12.2018...'!$A$1:$J$99</definedName>
    <definedName name="_xlnm.Print_Area" localSheetId="16">'08.04.2019..'!$A$1:$J$120</definedName>
    <definedName name="_xlnm.Print_Area" localSheetId="5">'11.01.2019...'!$A$1:$J$104</definedName>
    <definedName name="_xlnm.Print_Area" localSheetId="17">'11.04.2019..'!$A$1:$J$122</definedName>
    <definedName name="_xlnm.Print_Area" localSheetId="0">'14.11.2018...'!$A$1:$J$98</definedName>
    <definedName name="_xlnm.Print_Area" localSheetId="6">'15.01.2019...'!$A$1:$J$106</definedName>
    <definedName name="_xlnm.Print_Area" localSheetId="10">'15.02.2019...'!$A$1:$J$114</definedName>
    <definedName name="_xlnm.Print_Area" localSheetId="18">'15.04.2019'!$A$1:$J$123</definedName>
    <definedName name="_xlnm.Print_Area" localSheetId="19">'17.04.2019 '!$A$1:$J$122</definedName>
    <definedName name="_xlnm.Print_Area" localSheetId="7">'21.01.2019...'!$A$1:$J$107</definedName>
    <definedName name="_xlnm.Print_Area" localSheetId="11">'22.02.2019..'!$A$1:$J$116</definedName>
    <definedName name="_xlnm.Print_Area" localSheetId="2">'25.12.2018....'!$A$1:$J$100</definedName>
    <definedName name="_xlnm.Print_Area" localSheetId="12">'27.03.2019'!$A$1:$J$116</definedName>
    <definedName name="_xlnm.Print_Area" localSheetId="3">'27.12.2018...'!$A$1:$J$100</definedName>
    <definedName name="_xlnm.Print_Area" localSheetId="8">'28.01.2019...'!$A$1:$J$108</definedName>
    <definedName name="_xlnm.Print_Area" localSheetId="13">'28.03.2019...'!$A$1:$J$118</definedName>
    <definedName name="_xlnm.Print_Area" localSheetId="4">'4.01.2019..'!$A$1:$J$104</definedName>
  </definedNames>
  <calcPr calcId="152511"/>
</workbook>
</file>

<file path=xl/calcChain.xml><?xml version="1.0" encoding="utf-8"?>
<calcChain xmlns="http://schemas.openxmlformats.org/spreadsheetml/2006/main">
  <c r="E9" i="199" l="1"/>
  <c r="E32" i="199" l="1"/>
  <c r="E33" i="199"/>
  <c r="E123" i="199"/>
  <c r="E120" i="199" s="1"/>
  <c r="E121" i="199"/>
  <c r="E119" i="199"/>
  <c r="E117" i="199"/>
  <c r="E116" i="199"/>
  <c r="E113" i="199"/>
  <c r="E111" i="199"/>
  <c r="E110" i="199"/>
  <c r="E107" i="199"/>
  <c r="E104" i="199"/>
  <c r="E102" i="199" s="1"/>
  <c r="J107" i="199" s="1"/>
  <c r="E100" i="199"/>
  <c r="E99" i="199"/>
  <c r="E96" i="199"/>
  <c r="E94" i="199"/>
  <c r="E91" i="199"/>
  <c r="E90" i="199"/>
  <c r="E88" i="199"/>
  <c r="E87" i="199" s="1"/>
  <c r="E81" i="199"/>
  <c r="E78" i="199"/>
  <c r="E75" i="199" s="1"/>
  <c r="E76" i="199"/>
  <c r="E71" i="199"/>
  <c r="E70" i="199" s="1"/>
  <c r="E67" i="199"/>
  <c r="E62" i="199"/>
  <c r="E58" i="199"/>
  <c r="E54" i="199"/>
  <c r="E53" i="199"/>
  <c r="E43" i="199"/>
  <c r="E42" i="199"/>
  <c r="E41" i="199"/>
  <c r="E39" i="199"/>
  <c r="E35" i="199"/>
  <c r="E34" i="199"/>
  <c r="E22" i="199"/>
  <c r="E18" i="199"/>
  <c r="E17" i="199"/>
  <c r="E16" i="199"/>
  <c r="C8" i="199"/>
  <c r="D8" i="199" s="1"/>
  <c r="E8" i="199" s="1"/>
  <c r="F8" i="199" s="1"/>
  <c r="G8" i="199" s="1"/>
  <c r="H8" i="199" s="1"/>
  <c r="E115" i="199" l="1"/>
  <c r="E109" i="199"/>
  <c r="G6" i="199"/>
  <c r="E39" i="198"/>
  <c r="E124" i="198"/>
  <c r="E122" i="198"/>
  <c r="E121" i="198" s="1"/>
  <c r="E120" i="198"/>
  <c r="E118" i="198"/>
  <c r="E117" i="198"/>
  <c r="E114" i="198"/>
  <c r="E112" i="198"/>
  <c r="E111" i="198"/>
  <c r="E108" i="198"/>
  <c r="E105" i="198"/>
  <c r="E103" i="198" s="1"/>
  <c r="J108" i="198" s="1"/>
  <c r="E101" i="198"/>
  <c r="E100" i="198"/>
  <c r="E97" i="198"/>
  <c r="E95" i="198" s="1"/>
  <c r="E92" i="198"/>
  <c r="E91" i="198"/>
  <c r="E89" i="198"/>
  <c r="E82" i="198"/>
  <c r="E79" i="198"/>
  <c r="E77" i="198"/>
  <c r="E76" i="198" s="1"/>
  <c r="E72" i="198"/>
  <c r="E71" i="198" s="1"/>
  <c r="E68" i="198"/>
  <c r="E63" i="198"/>
  <c r="E59" i="198"/>
  <c r="E55" i="198"/>
  <c r="E54" i="198"/>
  <c r="E44" i="198"/>
  <c r="E43" i="198"/>
  <c r="E41" i="198"/>
  <c r="E35" i="198"/>
  <c r="E34" i="198"/>
  <c r="E22" i="198"/>
  <c r="E18" i="198"/>
  <c r="E9" i="198" s="1"/>
  <c r="E17" i="198"/>
  <c r="E16" i="198"/>
  <c r="C8" i="198"/>
  <c r="D8" i="198" s="1"/>
  <c r="E8" i="198" s="1"/>
  <c r="F8" i="198" s="1"/>
  <c r="G8" i="198" s="1"/>
  <c r="H8" i="198" s="1"/>
  <c r="E116" i="198" l="1"/>
  <c r="E88" i="198"/>
  <c r="E110" i="198"/>
  <c r="G6" i="198"/>
  <c r="E123" i="197"/>
  <c r="E121" i="197"/>
  <c r="E120" i="197" s="1"/>
  <c r="E119" i="197"/>
  <c r="E117" i="197"/>
  <c r="E116" i="197"/>
  <c r="E115" i="197" s="1"/>
  <c r="E113" i="197"/>
  <c r="E111" i="197"/>
  <c r="E110" i="197"/>
  <c r="E109" i="197" s="1"/>
  <c r="E107" i="197"/>
  <c r="E104" i="197"/>
  <c r="E102" i="197" s="1"/>
  <c r="J107" i="197" s="1"/>
  <c r="E100" i="197"/>
  <c r="E99" i="197"/>
  <c r="E96" i="197"/>
  <c r="E94" i="197" s="1"/>
  <c r="E91" i="197"/>
  <c r="E90" i="197"/>
  <c r="E88" i="197"/>
  <c r="E87" i="197" s="1"/>
  <c r="E81" i="197"/>
  <c r="E78" i="197"/>
  <c r="E76" i="197"/>
  <c r="E75" i="197" s="1"/>
  <c r="E71" i="197"/>
  <c r="E70" i="197"/>
  <c r="E67" i="197"/>
  <c r="E62" i="197"/>
  <c r="E58" i="197"/>
  <c r="E54" i="197"/>
  <c r="E53" i="197"/>
  <c r="E43" i="197"/>
  <c r="E42" i="197"/>
  <c r="E41" i="197"/>
  <c r="E39" i="197"/>
  <c r="E35" i="197"/>
  <c r="E34" i="197"/>
  <c r="E22" i="197"/>
  <c r="E18" i="197"/>
  <c r="E9" i="197" s="1"/>
  <c r="G6" i="197" s="1"/>
  <c r="E17" i="197"/>
  <c r="E16" i="197"/>
  <c r="D8" i="197"/>
  <c r="E8" i="197" s="1"/>
  <c r="F8" i="197" s="1"/>
  <c r="G8" i="197" s="1"/>
  <c r="H8" i="197" s="1"/>
  <c r="C8" i="197"/>
  <c r="E22" i="196" l="1"/>
  <c r="E17" i="196"/>
  <c r="E16" i="196"/>
  <c r="E121" i="196"/>
  <c r="E119" i="196"/>
  <c r="E118" i="196"/>
  <c r="E117" i="196"/>
  <c r="E113" i="196" s="1"/>
  <c r="E115" i="196"/>
  <c r="E114" i="196"/>
  <c r="E111" i="196"/>
  <c r="E107" i="196" s="1"/>
  <c r="E109" i="196"/>
  <c r="E108" i="196"/>
  <c r="E105" i="196"/>
  <c r="E102" i="196"/>
  <c r="E100" i="196"/>
  <c r="J105" i="196" s="1"/>
  <c r="E98" i="196"/>
  <c r="E97" i="196"/>
  <c r="E94" i="196"/>
  <c r="E92" i="196"/>
  <c r="E89" i="196"/>
  <c r="E88" i="196"/>
  <c r="E86" i="196"/>
  <c r="E85" i="196"/>
  <c r="E79" i="196"/>
  <c r="E76" i="196"/>
  <c r="E74" i="196"/>
  <c r="E73" i="196"/>
  <c r="E69" i="196"/>
  <c r="E68" i="196" s="1"/>
  <c r="E65" i="196"/>
  <c r="E60" i="196"/>
  <c r="E56" i="196"/>
  <c r="E52" i="196"/>
  <c r="E51" i="196"/>
  <c r="E41" i="196"/>
  <c r="E40" i="196"/>
  <c r="E39" i="196"/>
  <c r="E37" i="196"/>
  <c r="E33" i="196"/>
  <c r="E32" i="196"/>
  <c r="E18" i="196"/>
  <c r="E9" i="196"/>
  <c r="C8" i="196"/>
  <c r="D8" i="196" s="1"/>
  <c r="E8" i="196" s="1"/>
  <c r="F8" i="196" s="1"/>
  <c r="G8" i="196" s="1"/>
  <c r="H8" i="196" s="1"/>
  <c r="G6" i="196" l="1"/>
  <c r="E114" i="195"/>
  <c r="E88" i="195"/>
  <c r="E85" i="195" s="1"/>
  <c r="E86" i="195"/>
  <c r="E22" i="195"/>
  <c r="E17" i="195"/>
  <c r="E16" i="195"/>
  <c r="E9" i="195" s="1"/>
  <c r="E121" i="195"/>
  <c r="E119" i="195"/>
  <c r="E118" i="195" s="1"/>
  <c r="E117" i="195"/>
  <c r="E115" i="195"/>
  <c r="E113" i="195"/>
  <c r="E111" i="195"/>
  <c r="E109" i="195"/>
  <c r="E108" i="195"/>
  <c r="E107" i="195" s="1"/>
  <c r="E105" i="195"/>
  <c r="E102" i="195"/>
  <c r="E100" i="195" s="1"/>
  <c r="J105" i="195" s="1"/>
  <c r="E98" i="195"/>
  <c r="E97" i="195"/>
  <c r="E94" i="195"/>
  <c r="E92" i="195" s="1"/>
  <c r="E89" i="195"/>
  <c r="E79" i="195"/>
  <c r="E76" i="195"/>
  <c r="E73" i="195" s="1"/>
  <c r="E74" i="195"/>
  <c r="E69" i="195"/>
  <c r="E68" i="195"/>
  <c r="E65" i="195"/>
  <c r="E60" i="195"/>
  <c r="E56" i="195"/>
  <c r="E52" i="195"/>
  <c r="E51" i="195"/>
  <c r="E41" i="195"/>
  <c r="E40" i="195"/>
  <c r="E39" i="195"/>
  <c r="E37" i="195"/>
  <c r="E33" i="195"/>
  <c r="E32" i="195"/>
  <c r="E18" i="195"/>
  <c r="C8" i="195"/>
  <c r="D8" i="195" s="1"/>
  <c r="E8" i="195" s="1"/>
  <c r="F8" i="195" s="1"/>
  <c r="G8" i="195" s="1"/>
  <c r="H8" i="195" s="1"/>
  <c r="G6" i="195" l="1"/>
  <c r="E120" i="194" l="1"/>
  <c r="E118" i="194"/>
  <c r="E117" i="194"/>
  <c r="E116" i="194"/>
  <c r="E115" i="194"/>
  <c r="E114" i="194"/>
  <c r="E113" i="194"/>
  <c r="E111" i="194"/>
  <c r="E109" i="194"/>
  <c r="E108" i="194"/>
  <c r="E107" i="194"/>
  <c r="E105" i="194"/>
  <c r="E102" i="194"/>
  <c r="E100" i="194"/>
  <c r="J105" i="194" s="1"/>
  <c r="E98" i="194"/>
  <c r="E97" i="194"/>
  <c r="E94" i="194"/>
  <c r="E92" i="194"/>
  <c r="E89" i="194"/>
  <c r="E88" i="194"/>
  <c r="E85" i="194"/>
  <c r="E79" i="194"/>
  <c r="E76" i="194"/>
  <c r="E74" i="194"/>
  <c r="E73" i="194"/>
  <c r="E69" i="194"/>
  <c r="E68" i="194" s="1"/>
  <c r="E65" i="194"/>
  <c r="E60" i="194"/>
  <c r="E56" i="194"/>
  <c r="E52" i="194"/>
  <c r="E51" i="194"/>
  <c r="E41" i="194"/>
  <c r="E40" i="194"/>
  <c r="E39" i="194"/>
  <c r="E37" i="194"/>
  <c r="E33" i="194"/>
  <c r="E32" i="194"/>
  <c r="E22" i="194"/>
  <c r="E18" i="194"/>
  <c r="E17" i="194"/>
  <c r="E16" i="194"/>
  <c r="E9" i="194" s="1"/>
  <c r="C8" i="194"/>
  <c r="D8" i="194" s="1"/>
  <c r="E8" i="194" s="1"/>
  <c r="F8" i="194" s="1"/>
  <c r="G8" i="194" s="1"/>
  <c r="H8" i="194" s="1"/>
  <c r="G6" i="194" l="1"/>
  <c r="E59" i="193"/>
  <c r="E51" i="193"/>
  <c r="E119" i="193"/>
  <c r="E117" i="193"/>
  <c r="E116" i="193" s="1"/>
  <c r="E115" i="193"/>
  <c r="E112" i="193" s="1"/>
  <c r="E114" i="193"/>
  <c r="E113" i="193"/>
  <c r="E110" i="193"/>
  <c r="E106" i="193" s="1"/>
  <c r="E108" i="193"/>
  <c r="E107" i="193"/>
  <c r="J104" i="193"/>
  <c r="E104" i="193"/>
  <c r="E101" i="193"/>
  <c r="E99" i="193"/>
  <c r="E97" i="193"/>
  <c r="E96" i="193"/>
  <c r="E93" i="193"/>
  <c r="E91" i="193"/>
  <c r="E88" i="193"/>
  <c r="E87" i="193"/>
  <c r="E84" i="193"/>
  <c r="E78" i="193"/>
  <c r="E75" i="193"/>
  <c r="E72" i="193" s="1"/>
  <c r="E73" i="193"/>
  <c r="E68" i="193"/>
  <c r="E67" i="193"/>
  <c r="E64" i="193"/>
  <c r="E55" i="193"/>
  <c r="E50" i="193"/>
  <c r="E40" i="193"/>
  <c r="E39" i="193"/>
  <c r="E38" i="193"/>
  <c r="E36" i="193"/>
  <c r="E32" i="193"/>
  <c r="E31" i="193"/>
  <c r="E22" i="193"/>
  <c r="E18" i="193"/>
  <c r="E17" i="193"/>
  <c r="E16" i="193"/>
  <c r="E9" i="193"/>
  <c r="C8" i="193"/>
  <c r="D8" i="193" s="1"/>
  <c r="E8" i="193" s="1"/>
  <c r="F8" i="193" s="1"/>
  <c r="G8" i="193" s="1"/>
  <c r="H8" i="193" s="1"/>
  <c r="G6" i="193" l="1"/>
  <c r="E50" i="192"/>
  <c r="E38" i="192"/>
  <c r="E21" i="192" l="1"/>
  <c r="E117" i="192" l="1"/>
  <c r="E115" i="192"/>
  <c r="E114" i="192"/>
  <c r="E113" i="192"/>
  <c r="E110" i="192" s="1"/>
  <c r="E112" i="192"/>
  <c r="E111" i="192"/>
  <c r="E108" i="192"/>
  <c r="E104" i="192" s="1"/>
  <c r="E106" i="192"/>
  <c r="E105" i="192"/>
  <c r="E102" i="192"/>
  <c r="E99" i="192"/>
  <c r="E97" i="192"/>
  <c r="J102" i="192" s="1"/>
  <c r="E95" i="192"/>
  <c r="E94" i="192"/>
  <c r="E91" i="192"/>
  <c r="E89" i="192"/>
  <c r="E86" i="192"/>
  <c r="E85" i="192"/>
  <c r="E82" i="192" s="1"/>
  <c r="E76" i="192"/>
  <c r="E73" i="192"/>
  <c r="E71" i="192"/>
  <c r="E70" i="192" s="1"/>
  <c r="E66" i="192"/>
  <c r="E65" i="192" s="1"/>
  <c r="E62" i="192"/>
  <c r="E58" i="192"/>
  <c r="E54" i="192"/>
  <c r="E49" i="192"/>
  <c r="E39" i="192"/>
  <c r="E37" i="192"/>
  <c r="E35" i="192"/>
  <c r="E31" i="192"/>
  <c r="E30" i="192"/>
  <c r="E18" i="192"/>
  <c r="E17" i="192"/>
  <c r="E9" i="192" s="1"/>
  <c r="E16" i="192"/>
  <c r="C8" i="192"/>
  <c r="D8" i="192" s="1"/>
  <c r="E8" i="192" s="1"/>
  <c r="F8" i="192" s="1"/>
  <c r="G8" i="192" s="1"/>
  <c r="H8" i="192" s="1"/>
  <c r="G6" i="192" l="1"/>
  <c r="E108" i="191"/>
  <c r="E73" i="191"/>
  <c r="E117" i="191"/>
  <c r="E114" i="191" l="1"/>
  <c r="E115" i="191"/>
  <c r="E113" i="191"/>
  <c r="E112" i="191"/>
  <c r="E110" i="191" s="1"/>
  <c r="E111" i="191"/>
  <c r="E106" i="191"/>
  <c r="E105" i="191"/>
  <c r="E104" i="191" s="1"/>
  <c r="E102" i="191"/>
  <c r="E99" i="191"/>
  <c r="E97" i="191" s="1"/>
  <c r="J102" i="191" s="1"/>
  <c r="E95" i="191"/>
  <c r="E94" i="191"/>
  <c r="E91" i="191"/>
  <c r="E89" i="191" s="1"/>
  <c r="E86" i="191"/>
  <c r="E85" i="191"/>
  <c r="E82" i="191"/>
  <c r="E76" i="191"/>
  <c r="E71" i="191"/>
  <c r="E70" i="191"/>
  <c r="E66" i="191"/>
  <c r="E65" i="191" s="1"/>
  <c r="E62" i="191"/>
  <c r="E58" i="191"/>
  <c r="E54" i="191"/>
  <c r="E50" i="191"/>
  <c r="E49" i="191"/>
  <c r="E39" i="191"/>
  <c r="E38" i="191"/>
  <c r="E37" i="191"/>
  <c r="E35" i="191"/>
  <c r="E31" i="191"/>
  <c r="E30" i="191"/>
  <c r="E18" i="191"/>
  <c r="E17" i="191"/>
  <c r="E16" i="191"/>
  <c r="E9" i="191"/>
  <c r="E8" i="191"/>
  <c r="F8" i="191" s="1"/>
  <c r="G8" i="191" s="1"/>
  <c r="H8" i="191" s="1"/>
  <c r="D8" i="191"/>
  <c r="C8" i="191"/>
  <c r="G6" i="191" l="1"/>
  <c r="E92" i="190"/>
  <c r="E115" i="190" l="1"/>
  <c r="E113" i="190"/>
  <c r="E112" i="190" s="1"/>
  <c r="E111" i="190"/>
  <c r="E110" i="190"/>
  <c r="E109" i="190"/>
  <c r="E108" i="190" s="1"/>
  <c r="E104" i="190"/>
  <c r="E103" i="190"/>
  <c r="E102" i="190"/>
  <c r="E100" i="190"/>
  <c r="E97" i="190"/>
  <c r="E95" i="190"/>
  <c r="J100" i="190" s="1"/>
  <c r="E93" i="190"/>
  <c r="E89" i="190"/>
  <c r="E87" i="190" s="1"/>
  <c r="E84" i="190"/>
  <c r="E83" i="190"/>
  <c r="E80" i="190"/>
  <c r="E74" i="190"/>
  <c r="E71" i="190"/>
  <c r="E69" i="190"/>
  <c r="E68" i="190"/>
  <c r="E64" i="190"/>
  <c r="E63" i="190" s="1"/>
  <c r="E60" i="190"/>
  <c r="E56" i="190"/>
  <c r="E52" i="190"/>
  <c r="E48" i="190"/>
  <c r="E47" i="190"/>
  <c r="E37" i="190"/>
  <c r="E36" i="190"/>
  <c r="E35" i="190"/>
  <c r="E33" i="190"/>
  <c r="E29" i="190"/>
  <c r="E28" i="190"/>
  <c r="E17" i="190"/>
  <c r="E16" i="190"/>
  <c r="E15" i="190"/>
  <c r="E9" i="190"/>
  <c r="C8" i="190"/>
  <c r="D8" i="190" s="1"/>
  <c r="E8" i="190" s="1"/>
  <c r="F8" i="190" s="1"/>
  <c r="G8" i="190" s="1"/>
  <c r="H8" i="190" s="1"/>
  <c r="G6" i="190" l="1"/>
  <c r="E87" i="189"/>
  <c r="E110" i="189" l="1"/>
  <c r="E108" i="189"/>
  <c r="E107" i="189"/>
  <c r="E106" i="189"/>
  <c r="E105" i="189"/>
  <c r="E104" i="189"/>
  <c r="E103" i="189"/>
  <c r="E99" i="189"/>
  <c r="E98" i="189"/>
  <c r="E97" i="189"/>
  <c r="J95" i="189"/>
  <c r="E95" i="189"/>
  <c r="E92" i="189"/>
  <c r="E90" i="189"/>
  <c r="E88" i="189"/>
  <c r="J86" i="189"/>
  <c r="E84" i="189"/>
  <c r="E82" i="189"/>
  <c r="E79" i="189"/>
  <c r="E78" i="189"/>
  <c r="E75" i="189"/>
  <c r="E74" i="189"/>
  <c r="E72" i="189"/>
  <c r="E71" i="189"/>
  <c r="E69" i="189"/>
  <c r="E66" i="189"/>
  <c r="E64" i="189"/>
  <c r="E63" i="189"/>
  <c r="E59" i="189"/>
  <c r="E58" i="189"/>
  <c r="E56" i="189"/>
  <c r="E52" i="189"/>
  <c r="E48" i="189"/>
  <c r="E45" i="189"/>
  <c r="E44" i="189"/>
  <c r="E34" i="189"/>
  <c r="E33" i="189"/>
  <c r="E32" i="189"/>
  <c r="E30" i="189"/>
  <c r="E26" i="189"/>
  <c r="E25" i="189"/>
  <c r="E17" i="189"/>
  <c r="E16" i="189"/>
  <c r="E15" i="189"/>
  <c r="E9" i="189"/>
  <c r="G6" i="189" s="1"/>
  <c r="F8" i="189"/>
  <c r="G8" i="189" s="1"/>
  <c r="H8" i="189" s="1"/>
  <c r="E8" i="189"/>
  <c r="D8" i="189"/>
  <c r="C8" i="189"/>
  <c r="E44" i="188" l="1"/>
  <c r="E109" i="188" l="1"/>
  <c r="E107" i="188"/>
  <c r="E106" i="188"/>
  <c r="E105" i="188"/>
  <c r="E104" i="188"/>
  <c r="E102" i="188" s="1"/>
  <c r="E103" i="188"/>
  <c r="E98" i="188"/>
  <c r="E97" i="188"/>
  <c r="E96" i="188" s="1"/>
  <c r="E94" i="188"/>
  <c r="E91" i="188"/>
  <c r="E89" i="188" s="1"/>
  <c r="J94" i="188" s="1"/>
  <c r="E87" i="188"/>
  <c r="E86" i="188"/>
  <c r="E81" i="188" s="1"/>
  <c r="J85" i="188" s="1"/>
  <c r="E83" i="188"/>
  <c r="E78" i="188"/>
  <c r="E77" i="188"/>
  <c r="E74" i="188" s="1"/>
  <c r="E73" i="188"/>
  <c r="E71" i="188"/>
  <c r="E70" i="188"/>
  <c r="E68" i="188" s="1"/>
  <c r="E65" i="188"/>
  <c r="E63" i="188"/>
  <c r="E62" i="188"/>
  <c r="E58" i="188"/>
  <c r="E57" i="188" s="1"/>
  <c r="E55" i="188"/>
  <c r="E51" i="188"/>
  <c r="E47" i="188"/>
  <c r="E43" i="188"/>
  <c r="E34" i="188"/>
  <c r="E33" i="188"/>
  <c r="E32" i="188"/>
  <c r="E30" i="188"/>
  <c r="E26" i="188"/>
  <c r="E25" i="188"/>
  <c r="E17" i="188"/>
  <c r="E16" i="188"/>
  <c r="E15" i="188"/>
  <c r="E9" i="188" s="1"/>
  <c r="C8" i="188"/>
  <c r="D8" i="188" s="1"/>
  <c r="E8" i="188" s="1"/>
  <c r="F8" i="188" s="1"/>
  <c r="G8" i="188" s="1"/>
  <c r="H8" i="188" s="1"/>
  <c r="G6" i="188" l="1"/>
  <c r="E26" i="187"/>
  <c r="E25" i="187" l="1"/>
  <c r="E9" i="187" l="1"/>
  <c r="E108" i="187"/>
  <c r="E106" i="187"/>
  <c r="E105" i="187" s="1"/>
  <c r="E104" i="187"/>
  <c r="E103" i="187"/>
  <c r="E102" i="187"/>
  <c r="E101" i="187"/>
  <c r="E97" i="187"/>
  <c r="E96" i="187"/>
  <c r="E95" i="187"/>
  <c r="E93" i="187"/>
  <c r="E90" i="187"/>
  <c r="E88" i="187"/>
  <c r="J93" i="187" s="1"/>
  <c r="E86" i="187"/>
  <c r="E85" i="187"/>
  <c r="E82" i="187"/>
  <c r="E80" i="187"/>
  <c r="J84" i="187" s="1"/>
  <c r="E77" i="187"/>
  <c r="E76" i="187"/>
  <c r="E73" i="187"/>
  <c r="E72" i="187"/>
  <c r="E67" i="187" s="1"/>
  <c r="E70" i="187"/>
  <c r="E69" i="187"/>
  <c r="E64" i="187"/>
  <c r="E61" i="187" s="1"/>
  <c r="E62" i="187"/>
  <c r="E57" i="187"/>
  <c r="E56" i="187" s="1"/>
  <c r="E54" i="187"/>
  <c r="E50" i="187"/>
  <c r="E46" i="187"/>
  <c r="E43" i="187"/>
  <c r="E42" i="187"/>
  <c r="E33" i="187"/>
  <c r="E32" i="187"/>
  <c r="E31" i="187"/>
  <c r="E29" i="187"/>
  <c r="E17" i="187"/>
  <c r="E16" i="187"/>
  <c r="E15" i="187"/>
  <c r="D8" i="187"/>
  <c r="E8" i="187" s="1"/>
  <c r="F8" i="187" s="1"/>
  <c r="G8" i="187" s="1"/>
  <c r="H8" i="187" s="1"/>
  <c r="C8" i="187"/>
  <c r="G6" i="187" l="1"/>
  <c r="E100" i="186" l="1"/>
  <c r="E104" i="186"/>
  <c r="E63" i="186"/>
  <c r="E103" i="186"/>
  <c r="E102" i="186"/>
  <c r="E107" i="186"/>
  <c r="E105" i="186"/>
  <c r="E101" i="186"/>
  <c r="E96" i="186"/>
  <c r="E95" i="186"/>
  <c r="E94" i="186" s="1"/>
  <c r="E92" i="186"/>
  <c r="E89" i="186"/>
  <c r="E87" i="186" s="1"/>
  <c r="J92" i="186" s="1"/>
  <c r="E85" i="186"/>
  <c r="E84" i="186"/>
  <c r="E81" i="186"/>
  <c r="E79" i="186"/>
  <c r="J83" i="186" s="1"/>
  <c r="E76" i="186"/>
  <c r="E75" i="186"/>
  <c r="E72" i="186" s="1"/>
  <c r="E71" i="186"/>
  <c r="E69" i="186"/>
  <c r="E68" i="186"/>
  <c r="E66" i="186"/>
  <c r="E61" i="186"/>
  <c r="E56" i="186"/>
  <c r="E55" i="186" s="1"/>
  <c r="E53" i="186"/>
  <c r="E49" i="186"/>
  <c r="E45" i="186"/>
  <c r="E42" i="186"/>
  <c r="E41" i="186"/>
  <c r="E32" i="186"/>
  <c r="E31" i="186"/>
  <c r="E30" i="186"/>
  <c r="E28" i="186"/>
  <c r="E25" i="186"/>
  <c r="E24" i="186"/>
  <c r="E16" i="186"/>
  <c r="E15" i="186"/>
  <c r="E14" i="186"/>
  <c r="E9" i="186"/>
  <c r="C8" i="186"/>
  <c r="D8" i="186" s="1"/>
  <c r="E8" i="186" s="1"/>
  <c r="F8" i="186" s="1"/>
  <c r="G8" i="186" s="1"/>
  <c r="H8" i="186" s="1"/>
  <c r="E60" i="186" l="1"/>
  <c r="G6" i="186" s="1"/>
  <c r="E105" i="185"/>
  <c r="E45" i="185"/>
  <c r="E28" i="185"/>
  <c r="E31" i="185"/>
  <c r="E103" i="185"/>
  <c r="E102" i="185"/>
  <c r="E100" i="185"/>
  <c r="E99" i="185"/>
  <c r="E95" i="185"/>
  <c r="E94" i="185"/>
  <c r="E93" i="185" s="1"/>
  <c r="E91" i="185"/>
  <c r="E88" i="185"/>
  <c r="E86" i="185" s="1"/>
  <c r="J91" i="185" s="1"/>
  <c r="E84" i="185"/>
  <c r="E83" i="185"/>
  <c r="E80" i="185"/>
  <c r="E78" i="185"/>
  <c r="J82" i="185" s="1"/>
  <c r="E75" i="185"/>
  <c r="E74" i="185"/>
  <c r="E71" i="185" s="1"/>
  <c r="E70" i="185"/>
  <c r="E68" i="185"/>
  <c r="E67" i="185"/>
  <c r="E65" i="185"/>
  <c r="J67" i="185" s="1"/>
  <c r="E63" i="185"/>
  <c r="E61" i="185"/>
  <c r="E60" i="185" s="1"/>
  <c r="E56" i="185"/>
  <c r="E55" i="185" s="1"/>
  <c r="E53" i="185"/>
  <c r="E49" i="185"/>
  <c r="E42" i="185"/>
  <c r="E41" i="185"/>
  <c r="E32" i="185"/>
  <c r="E30" i="185"/>
  <c r="E25" i="185"/>
  <c r="E24" i="185"/>
  <c r="E16" i="185"/>
  <c r="E15" i="185"/>
  <c r="E14" i="185"/>
  <c r="D8" i="185"/>
  <c r="E8" i="185" s="1"/>
  <c r="F8" i="185" s="1"/>
  <c r="G8" i="185" s="1"/>
  <c r="H8" i="185" s="1"/>
  <c r="C8" i="185"/>
  <c r="E9" i="185" l="1"/>
  <c r="G6" i="185"/>
  <c r="E102" i="184"/>
  <c r="E105" i="184"/>
  <c r="E9" i="184" l="1"/>
  <c r="E60" i="184"/>
  <c r="E65" i="184"/>
  <c r="E71" i="184"/>
  <c r="E99" i="184"/>
  <c r="E93" i="184"/>
  <c r="E91" i="184"/>
  <c r="E86" i="184"/>
  <c r="E100" i="184"/>
  <c r="E94" i="184"/>
  <c r="E95" i="184"/>
  <c r="E88" i="184"/>
  <c r="E80" i="184"/>
  <c r="E78" i="184" s="1"/>
  <c r="J82" i="184" s="1"/>
  <c r="E83" i="184"/>
  <c r="E75" i="184" l="1"/>
  <c r="E74" i="184"/>
  <c r="E67" i="184"/>
  <c r="E70" i="184"/>
  <c r="E61" i="184"/>
  <c r="E63" i="184"/>
  <c r="E56" i="184" l="1"/>
  <c r="E55" i="184" s="1"/>
  <c r="E103" i="184"/>
  <c r="J91" i="184"/>
  <c r="E84" i="184"/>
  <c r="E68" i="184"/>
  <c r="E53" i="184"/>
  <c r="E49" i="184"/>
  <c r="E42" i="184"/>
  <c r="E41" i="184"/>
  <c r="E32" i="184"/>
  <c r="E31" i="184"/>
  <c r="E30" i="184"/>
  <c r="E28" i="184"/>
  <c r="E25" i="184"/>
  <c r="E24" i="184"/>
  <c r="E16" i="184"/>
  <c r="E15" i="184"/>
  <c r="E14" i="184"/>
  <c r="C8" i="184"/>
  <c r="D8" i="184" s="1"/>
  <c r="E8" i="184" s="1"/>
  <c r="F8" i="184" s="1"/>
  <c r="G8" i="184" s="1"/>
  <c r="H8" i="184" s="1"/>
  <c r="J67" i="184" l="1"/>
  <c r="E24" i="183"/>
  <c r="E25" i="183"/>
  <c r="G6" i="184" l="1"/>
  <c r="E99" i="183"/>
  <c r="E98" i="183" s="1"/>
  <c r="E97" i="183"/>
  <c r="E96" i="183"/>
  <c r="E95" i="183"/>
  <c r="E91" i="183" s="1"/>
  <c r="E93" i="183"/>
  <c r="E90" i="183"/>
  <c r="E89" i="183" s="1"/>
  <c r="E88" i="183"/>
  <c r="E86" i="183"/>
  <c r="E84" i="183"/>
  <c r="E82" i="183"/>
  <c r="E81" i="183"/>
  <c r="E76" i="183"/>
  <c r="E75" i="183"/>
  <c r="E73" i="183"/>
  <c r="E72" i="183"/>
  <c r="E69" i="183"/>
  <c r="E68" i="183"/>
  <c r="E66" i="183"/>
  <c r="E63" i="183" s="1"/>
  <c r="E65" i="183"/>
  <c r="E59" i="183"/>
  <c r="E58" i="183"/>
  <c r="E56" i="183"/>
  <c r="E55" i="183"/>
  <c r="E53" i="183"/>
  <c r="E49" i="183"/>
  <c r="E42" i="183"/>
  <c r="E41" i="183"/>
  <c r="E32" i="183"/>
  <c r="E31" i="183"/>
  <c r="E30" i="183"/>
  <c r="E28" i="183"/>
  <c r="E16" i="183"/>
  <c r="E15" i="183"/>
  <c r="E9" i="183" s="1"/>
  <c r="E14" i="183"/>
  <c r="C8" i="183"/>
  <c r="D8" i="183" s="1"/>
  <c r="E8" i="183" s="1"/>
  <c r="F8" i="183" s="1"/>
  <c r="G8" i="183" s="1"/>
  <c r="H8" i="183" s="1"/>
  <c r="G6" i="183" l="1"/>
  <c r="E41" i="182"/>
  <c r="E42" i="182"/>
  <c r="E99" i="182"/>
  <c r="E98" i="182"/>
  <c r="E97" i="182"/>
  <c r="E96" i="182" s="1"/>
  <c r="E95" i="182"/>
  <c r="E93" i="182"/>
  <c r="E91" i="182" s="1"/>
  <c r="E90" i="182"/>
  <c r="E89" i="182" s="1"/>
  <c r="E88" i="182"/>
  <c r="E86" i="182"/>
  <c r="E82" i="182"/>
  <c r="E81" i="182"/>
  <c r="E76" i="182" s="1"/>
  <c r="E75" i="182"/>
  <c r="E73" i="182" s="1"/>
  <c r="E72" i="182"/>
  <c r="E69" i="182" s="1"/>
  <c r="E68" i="182"/>
  <c r="E66" i="182"/>
  <c r="E65" i="182"/>
  <c r="E59" i="182"/>
  <c r="E58" i="182" s="1"/>
  <c r="E56" i="182"/>
  <c r="E55" i="182" s="1"/>
  <c r="E53" i="182"/>
  <c r="E49" i="182"/>
  <c r="E32" i="182"/>
  <c r="E31" i="182"/>
  <c r="E30" i="182"/>
  <c r="E28" i="182"/>
  <c r="E16" i="182"/>
  <c r="E15" i="182"/>
  <c r="E14" i="182"/>
  <c r="C8" i="182"/>
  <c r="D8" i="182" s="1"/>
  <c r="E8" i="182" s="1"/>
  <c r="F8" i="182" s="1"/>
  <c r="G8" i="182" s="1"/>
  <c r="H8" i="182" s="1"/>
  <c r="E63" i="182" l="1"/>
  <c r="E84" i="182"/>
  <c r="E9" i="182"/>
  <c r="E94" i="181"/>
  <c r="G6" i="182" l="1"/>
  <c r="E31" i="181"/>
  <c r="E52" i="181" l="1"/>
  <c r="E58" i="181"/>
  <c r="E98" i="181" l="1"/>
  <c r="E97" i="181"/>
  <c r="E96" i="181"/>
  <c r="E95" i="181"/>
  <c r="E92" i="181"/>
  <c r="E90" i="181" s="1"/>
  <c r="E89" i="181"/>
  <c r="E88" i="181"/>
  <c r="E87" i="181"/>
  <c r="E85" i="181"/>
  <c r="E83" i="181"/>
  <c r="E81" i="181"/>
  <c r="E80" i="181"/>
  <c r="E75" i="181"/>
  <c r="E74" i="181"/>
  <c r="E72" i="181"/>
  <c r="E71" i="181"/>
  <c r="E68" i="181"/>
  <c r="E67" i="181"/>
  <c r="E65" i="181"/>
  <c r="E62" i="181" s="1"/>
  <c r="E64" i="181"/>
  <c r="E57" i="181"/>
  <c r="E55" i="181"/>
  <c r="E54" i="181"/>
  <c r="E48" i="181"/>
  <c r="E30" i="181"/>
  <c r="E29" i="181"/>
  <c r="E27" i="181"/>
  <c r="E16" i="181"/>
  <c r="E15" i="181"/>
  <c r="E9" i="181" s="1"/>
  <c r="E14" i="181"/>
  <c r="C8" i="181"/>
  <c r="D8" i="181" s="1"/>
  <c r="E8" i="181" s="1"/>
  <c r="F8" i="181" s="1"/>
  <c r="G8" i="181" s="1"/>
  <c r="H8" i="181" s="1"/>
  <c r="G6" i="181" l="1"/>
  <c r="E93" i="180"/>
  <c r="E86" i="180"/>
  <c r="E79" i="180"/>
  <c r="E70" i="180"/>
  <c r="E66" i="180"/>
  <c r="E55" i="180"/>
  <c r="E95" i="180" l="1"/>
  <c r="E90" i="180"/>
  <c r="E91" i="180"/>
  <c r="E15" i="180" l="1"/>
  <c r="E14" i="180"/>
  <c r="E58" i="180" l="1"/>
  <c r="E16" i="180" l="1"/>
  <c r="E48" i="180" l="1"/>
  <c r="E84" i="180" l="1"/>
  <c r="E97" i="180" l="1"/>
  <c r="E64" i="180" l="1"/>
  <c r="E88" i="180"/>
  <c r="E87" i="180" s="1"/>
  <c r="E73" i="180" l="1"/>
  <c r="E63" i="180" l="1"/>
  <c r="E94" i="180" l="1"/>
  <c r="E82" i="180" l="1"/>
  <c r="E27" i="180" l="1"/>
  <c r="E30" i="180"/>
  <c r="E29" i="180" l="1"/>
  <c r="E96" i="180" l="1"/>
  <c r="E57" i="180" l="1"/>
  <c r="E80" i="180" l="1"/>
  <c r="E71" i="180"/>
  <c r="E61" i="180"/>
  <c r="E54" i="180"/>
  <c r="E67" i="180"/>
  <c r="E74" i="180"/>
  <c r="E89" i="180"/>
  <c r="C8" i="180"/>
  <c r="D8" i="180" s="1"/>
  <c r="E8" i="180" s="1"/>
  <c r="F8" i="180" s="1"/>
  <c r="G8" i="180" s="1"/>
  <c r="H8" i="180" s="1"/>
  <c r="E9" i="180" l="1"/>
  <c r="G6" i="180" s="1"/>
</calcChain>
</file>

<file path=xl/sharedStrings.xml><?xml version="1.0" encoding="utf-8"?>
<sst xmlns="http://schemas.openxmlformats.org/spreadsheetml/2006/main" count="9785" uniqueCount="181">
  <si>
    <t>N</t>
  </si>
  <si>
    <t>შესყიდვის საშუალება</t>
  </si>
  <si>
    <t>დანაყოფის კოდი</t>
  </si>
  <si>
    <t>შენიშვნა</t>
  </si>
  <si>
    <t>სახელმწიფო შესყიდვების წლიური გეგმის ფორმა</t>
  </si>
  <si>
    <t>დანაყოფის დასახელება</t>
  </si>
  <si>
    <t>სავარაუდო ღირებულება</t>
  </si>
  <si>
    <t>33100000</t>
  </si>
  <si>
    <t xml:space="preserve">სამედიცინო მოწყობილობები    </t>
  </si>
  <si>
    <t xml:space="preserve">ფარმაცევტული პროდუქტები </t>
  </si>
  <si>
    <t>4. დაფინანსების წყარო:  სახელმწიფო  ბიუჯეტი</t>
  </si>
  <si>
    <t>აკუმულატორები, პირველადი ელემენტები და პირველადი ბატარეები</t>
  </si>
  <si>
    <t>90900000</t>
  </si>
  <si>
    <t>შენობის მოწყობილობების შეკეთება და ტექნიკური მომსახურება</t>
  </si>
  <si>
    <t>09100000</t>
  </si>
  <si>
    <t>საწვავი</t>
  </si>
  <si>
    <t xml:space="preserve">ინტერნეტ მომსახურებები </t>
  </si>
  <si>
    <t xml:space="preserve">72400000 </t>
  </si>
  <si>
    <t xml:space="preserve"> 64200000 </t>
  </si>
  <si>
    <t>დასუფთავება და სანიტარული ღონისძიებები</t>
  </si>
  <si>
    <t xml:space="preserve">3. შემსყიდველი ორგანიზაციის დასახელება: სსიპ ლ. საყვარელიძის სახ. დაავადებათა კონტროლისა და საზოგადოებრივი ჯანმრთელობის ეროვნული ცენტრი    </t>
  </si>
  <si>
    <t>2. შემსყიდველი ორგანიზაციის საიდენტიფიკაციო კოდი 211324351</t>
  </si>
  <si>
    <t>5. სახელმწიფო შესყიდვების გეგმით გათვალისწინებული ჯამური თანხა დაფინანსების წყაროს შესაბამისად</t>
  </si>
  <si>
    <t>ლარი</t>
  </si>
  <si>
    <t xml:space="preserve">85100000 </t>
  </si>
  <si>
    <t>79300000</t>
  </si>
  <si>
    <t>შესყიდვების ვადები</t>
  </si>
  <si>
    <t>გამოძიებასთან და უსაფრთხოებასთან დაკავშირებული მომსახურებები</t>
  </si>
  <si>
    <t> სამედიცინო მოწყობილობები</t>
  </si>
  <si>
    <t>ფარმაცევტული პროდუქტები</t>
  </si>
  <si>
    <t>დაავადებათა ადრეული გამოვლენა და სკრინინგი</t>
  </si>
  <si>
    <t>ეპიდზედამხედველობის პროგრამა</t>
  </si>
  <si>
    <t>33600000</t>
  </si>
  <si>
    <t>დაავადებათა კონტროლისა და ეპიდემიოლოგიური უსაფრთხოების პროგრამის მართვა</t>
  </si>
  <si>
    <t>იმუნიზაცია</t>
  </si>
  <si>
    <t>უსაფრთხო სისხლი</t>
  </si>
  <si>
    <t>ტუბერკულოზის მართვა</t>
  </si>
  <si>
    <t>აივ ინფექცია/შიდსი</t>
  </si>
  <si>
    <t>დედათა და ბავშვთა ჯანმრთელობა</t>
  </si>
  <si>
    <t>30100000</t>
  </si>
  <si>
    <t xml:space="preserve">საწვავი          </t>
  </si>
  <si>
    <t>დანართი N1.1</t>
  </si>
  <si>
    <t>ნაწილები და აქსესუარები სატრანსპორტო საშუალებებისა და მათი ძრავებისთვის</t>
  </si>
  <si>
    <t>34300000</t>
  </si>
  <si>
    <t xml:space="preserve">სატრანსპორტო საშუალებებისა და მათთან დაკავშირებული მოწყობილობების შეკეთება, ტექნიკური მომსახურება და მასთან დაკავშირებული მომსახურებები    </t>
  </si>
  <si>
    <t>79500000</t>
  </si>
  <si>
    <t xml:space="preserve">სატელეკომუნიკაციო მომსახურებები                  </t>
  </si>
  <si>
    <t>64100000</t>
  </si>
  <si>
    <t>საფოსტო და საკურიერო მომსახურებები</t>
  </si>
  <si>
    <t>03200000</t>
  </si>
  <si>
    <t>15700000</t>
  </si>
  <si>
    <t>ბურღულეული, კარტოფილი, ბოსტნეული, ხილი და თხილეული</t>
  </si>
  <si>
    <t>ცხოველის საკვები</t>
  </si>
  <si>
    <t>79900000</t>
  </si>
  <si>
    <t xml:space="preserve">1. შედგენის თარიღი </t>
  </si>
  <si>
    <t>72200000</t>
  </si>
  <si>
    <t xml:space="preserve">პროგრამული უზრუნველყოფის შემუშავება და საკონსულტაციო მომსახურებები </t>
  </si>
  <si>
    <t xml:space="preserve">სამედიცინო მოწყობილობები  </t>
  </si>
  <si>
    <t xml:space="preserve">საოფისე მანქანა-დანადგარები, აღჭურვილობა და საკანცელარიო ნივთები, კომპიუტერების, პრინტერებისა და ავეჯის გარდა </t>
  </si>
  <si>
    <t>50100000</t>
  </si>
  <si>
    <t>კტ</t>
  </si>
  <si>
    <t>გშ</t>
  </si>
  <si>
    <t xml:space="preserve">სატრანსპორტო საშუალებებისა და მათთან დაკავშირებული მოწყობილობების შეკეთება, ტექნიკური მომსახურება და მასთან დაკავშირებული მომსახურებები </t>
  </si>
  <si>
    <t xml:space="preserve">ოფისის მუშაობის უზრუნველყოფასთან დაკავშირებული მომსახურებები </t>
  </si>
  <si>
    <t>ეტ</t>
  </si>
  <si>
    <t>სხვადასხვა კომერციული მომსახურება და მასთან დაკავშირებული მომსახურებები</t>
  </si>
  <si>
    <t>სახელმწიფო შესყიდვების შესახებ საქართველოს კანონის 10(1) მუხლის, მე-3 პუნტქის ,,თ" ქვეპუნქტი</t>
  </si>
  <si>
    <t>სახელმწიფო შესყიდვების შესახებ საქართველოს კანონის 10(1) მუხლის, მე-3 პუნტქის ,,დ" ქვეპუნქტი</t>
  </si>
  <si>
    <t>სახელმწიფო შესყიდვების შესახებ საქართველოს კანონის 10(1) მუხლის, მე-3 პუნტქის ,,ვ" ქვეპუნქტი</t>
  </si>
  <si>
    <t xml:space="preserve"> ბაზრის კვლევა და ეკონომიკური კვლევა; გამოკითხვები და სტატისტიკა</t>
  </si>
  <si>
    <t xml:space="preserve">სახმელეთო, წყლისა და საჰაერო ტრანსპორტის დამხმარე მომსახურებები </t>
  </si>
  <si>
    <t>ჯანდაცვის სფეროს მომსახურებები</t>
  </si>
  <si>
    <t>პროფესიულ დაავადებათა პრევენცია</t>
  </si>
  <si>
    <t>ჯანმრთელობის ხელშეწყობის პროგრამა</t>
  </si>
  <si>
    <t>ყველა ფორმის ტუბერკულოზის ხარისხიან დიაგნოსტიკასა და მკურნალობაზე უნივერსალური ხელმისაწვდომობის პროგრამა</t>
  </si>
  <si>
    <t>საქართველოში აივ ინფექცია/შიდსის პრევენციის მიზნით არსებული ეროვნული რეაგირების მხარდაჭერა, აივ ინფექცია/შიდსით დაავადებულთა სიცოცხლის მაჩვენებლების გაუმჯობესება მკურნალობისა და მოვლის ღონისძიებების გაძლიერების გზით</t>
  </si>
  <si>
    <t xml:space="preserve">"სახელმწიფო შესყიდვების შესახებ" საქართველოს კანონის  მე-10(1)მუხლის მე-3 პუნქტის "დ"  ქვეპუნქტი </t>
  </si>
  <si>
    <t>75100000</t>
  </si>
  <si>
    <t>ადმინისტრაციული მომსახურება</t>
  </si>
  <si>
    <t xml:space="preserve">"სახელმწიფო შესყიდვების შესახებ" საქართველოს კანონის  მე-10(1) მუხლის მე-3 პუნქტის "ზ"  ქვეპუნქტი  </t>
  </si>
  <si>
    <t xml:space="preserve">"სახელმწიფო შესყიდვების შესახებ" საქართველოს კანონის  მე-10(1) მუხლის მე-3 პუნქტის "ა"  ქვეპუნქტი  </t>
  </si>
  <si>
    <t>ბეჭდვა და მასთან დაკავშირებული მომსახურებები</t>
  </si>
  <si>
    <t>90500000</t>
  </si>
  <si>
    <t>ნარჩენებსა და ნაგავთან დაკავშირებული მომსახურებები</t>
  </si>
  <si>
    <t>საწმენდი და საპრიალებელი პროდუქცია</t>
  </si>
  <si>
    <t>სახელმწიფო შესყიდვების შესახებ საქართველოს კანონის 10(1) მუხლის, მე-3 პუნტქის ,,ზ" ქვეპუნქტი</t>
  </si>
  <si>
    <t>50600000</t>
  </si>
  <si>
    <t>უსაფრთხოებისა და თავდაცვის მასალების შეკეთება და ტექნიკური მომსახურება</t>
  </si>
  <si>
    <t xml:space="preserve">C ჰეპატიტის მართვა </t>
  </si>
  <si>
    <t>24400000</t>
  </si>
  <si>
    <t>სასუქები და ნიტროგენული ნაერთები</t>
  </si>
  <si>
    <t xml:space="preserve">გშ </t>
  </si>
  <si>
    <t>39200000</t>
  </si>
  <si>
    <t>ავეჯის აქსესუარები</t>
  </si>
  <si>
    <t>39500000</t>
  </si>
  <si>
    <t>ქსოვილის ნივთები</t>
  </si>
  <si>
    <t>სახელმწიფო შესყიდვების შესახებ საქართველოს კანონის 10(1) მუხლის, მე-3 პუნტქის ,,დ " ქვეპუნქტი</t>
  </si>
  <si>
    <t xml:space="preserve">"სახელმწიფო შესყიდვების შესახებ" საქართველოს კანონის  მე-10(1)მუხლის მე-3 პუნქტის  "დ"  ქვეპუნქტები </t>
  </si>
  <si>
    <t xml:space="preserve">"სახელმწიფო შესყიდვების შესახებ" საქართველოს კანონის  მე-10(1)მუხლის მე-3 პუნქტის   "დ"  ქვეპუნქტები </t>
  </si>
  <si>
    <t>სახელმწიფო შესყიდვების შესახებ საქართველოს კანონის 10(1) მუხლის, მე-3 პუნტქის ,,დ" ქვეპუნქტი (მრავალწლიანი)</t>
  </si>
  <si>
    <t>15600000</t>
  </si>
  <si>
    <t>დაფქული მარცვლეული პროდუქტები, სახამებელი და სახამებლის პროდუქტები</t>
  </si>
  <si>
    <t xml:space="preserve">შენობის მოწყობის  სამუშაოები </t>
  </si>
  <si>
    <t>85100000</t>
  </si>
  <si>
    <t xml:space="preserve">პროგრამული პაკეტების მომსახურე პროგრამები </t>
  </si>
  <si>
    <t>50400000</t>
  </si>
  <si>
    <t>სამედიცინო და ზუსტი საზომი აპარატურის შეკეთება და ტექნიკური მომსახურება</t>
  </si>
  <si>
    <t>50300000</t>
  </si>
  <si>
    <t>პერსონალური კომპიუტერების, საოფისე აპარატურის, სატელეკომუნიკაციო და აუდიოვიზუალური მოწყობილობების შეკეთება, ტექნიკური მომსახურება და მათთან დაკავშირებული მომსახურებები</t>
  </si>
  <si>
    <t>50500000</t>
  </si>
  <si>
    <t>ტუმბოების, სარქველების, ონკანებისა და ლითონის კონტეინერების, ასევე, მანქანა-დანადგარების შეკეთება და ტექნიკური მომსახურება</t>
  </si>
  <si>
    <t>63100000</t>
  </si>
  <si>
    <t>ტვირთის გადაზიდვისა და შენახვის მომსახურებები</t>
  </si>
  <si>
    <t> სადაზღვევო და საპენსიო მომსახურებები</t>
  </si>
  <si>
    <t>66500000</t>
  </si>
  <si>
    <t>92500000</t>
  </si>
  <si>
    <t> ბიბლიოთეკების, არქივების, მუზეუმებისა და სხვა კულტურული დაწესებულებების მომსახურებები</t>
  </si>
  <si>
    <t>60100000</t>
  </si>
  <si>
    <t xml:space="preserve">ავტობუსის დაქირავება </t>
  </si>
  <si>
    <t>ბაზრის კვლევა და ეკონომიკური კვლევა; გამოკითხვები და სტატისტიკა</t>
  </si>
  <si>
    <t>79600000</t>
  </si>
  <si>
    <t>პერსონალის დაქირავებასთან დაკავშირებული მომსახურებები</t>
  </si>
  <si>
    <t>90400000</t>
  </si>
  <si>
    <t>ჩამდინარე წყლებთან დაკავშირებული მომსახურებები</t>
  </si>
  <si>
    <t xml:space="preserve">სახელმწიფო შესყიდვების შესახებ საქართველოს კანონის  მე-10(1)მუხლის მე-3 პუნქტის "დ"  ქვეპუნქტი2018 წლის დეკემბერი  </t>
  </si>
  <si>
    <t>2018 წლის IV-2019წლის IV კვარტალი</t>
  </si>
  <si>
    <t xml:space="preserve">"სახელმწიფო შესყიდვების შესახებ" საქართველოს კანონის  მე-10(1)მუხლის მე-3 პუნქტის "დ"  ქვეპუნქტი.2018წელი </t>
  </si>
  <si>
    <t xml:space="preserve">სახელმწიფო შესყიდვების შესახებ საქართველოს კანონის  მე-10(1)მუხლის მე-3 პუნქტის "დ"  ქვეპუნქტი 2018 წელი </t>
  </si>
  <si>
    <t xml:space="preserve">"სახელმწიფო შესყიდვების შესახებ" საქართველოს კანონის  მე-10(1)მუხლის მე-3 პუნქტის "დ"  ქვეპუნქტი2018 წლის დეკემბერი </t>
  </si>
  <si>
    <t xml:space="preserve">"სახელმწიფო შესყიდვების შესახებ" საქართველოს კანონის  მე-10(1)მუხლის მე-3 პუნქტის "დ"  ქვეპუნქტი2018 წლის დეკემბერი  </t>
  </si>
  <si>
    <t xml:space="preserve">სახელმწიფო შესყიდვების შესახებ საქართველოს კანონის  მე-10(1)მუხლის მე-3 პუნქტის "დ"  ქვეპუნქტი2018 წლის დეკემბერი </t>
  </si>
  <si>
    <t>27 01 03 დაავადებათა კონტროლისა და ეპიდემიოლოგიური უსაფრთხოების პროგრამის მართვა</t>
  </si>
  <si>
    <t xml:space="preserve"> საქონელი და მომსახურება</t>
  </si>
  <si>
    <t>არაფინანსური აქტივების ზრდა</t>
  </si>
  <si>
    <t xml:space="preserve">სხვა ხარჯები </t>
  </si>
  <si>
    <t>27 03 02 01 დაავადებათა ადრეული გამოვლენა და სკრინინგი</t>
  </si>
  <si>
    <t>27 03 02 02 იმუნიზაცია</t>
  </si>
  <si>
    <t>27 03 02 03 ეპიდზედამხედველობის პროგრამა</t>
  </si>
  <si>
    <t>27 03 02 04უსაფრთხო სისხლი</t>
  </si>
  <si>
    <t>27 03 02 05 საზოგადოებრივი ჯანდაცვის, გარემოსა და პროფესიულ დაავადებათა ჯანმრთელობისსფეროში არსებული ვალდებულებების ხელშეწყობა</t>
  </si>
  <si>
    <t>27 03 02 06 02ტუბერკულოზის მართვა</t>
  </si>
  <si>
    <t>27 03 02 06 03 ყველა ფორმის ტუბერკულოზის ხარისხიან დიაგნოსტიკასა და მკურნალობაზე უნივერსალური ხელმისაწვდომობის პროგრამა</t>
  </si>
  <si>
    <t>27 03 02 07 02 აივ ინფექცია/შიდსი</t>
  </si>
  <si>
    <t>27 03 02 07 03 საქართველოში აივ ინფექცია/შიდსის პრევენციის მიზნით არსებული ეროვნული რეაგირების მხარდაჭერა, აივ ინფექცია/შიდსით დაავადებულთა სიცოცხლის მაჩვენებლების გაუმჯობესება მკურნალობისა და მოვლის ღონისძიებების გაძლიერების გზით</t>
  </si>
  <si>
    <t>27 03 02 08 02 დედათა და ბავშვთა ჯანმრთელობა</t>
  </si>
  <si>
    <t>27 03 02 10 ჯანმრთელობის ხელშეწყობის პროგრამა</t>
  </si>
  <si>
    <t xml:space="preserve">27 03 02 11 02  C ჰეპატიტის მართვა </t>
  </si>
  <si>
    <t xml:space="preserve">საქონელი და მომსახურება </t>
  </si>
  <si>
    <t>სოციალური უზრუნველყოფა</t>
  </si>
  <si>
    <t>ბუნებრივი წყალი</t>
  </si>
  <si>
    <t>2019 წლის I კვარტალი</t>
  </si>
  <si>
    <t>201- წლის I-IV კვარტალი</t>
  </si>
  <si>
    <t>2019 წლის I- IV კვარტალი</t>
  </si>
  <si>
    <t>2019წლის I- IV კვარტალი</t>
  </si>
  <si>
    <t>92200000</t>
  </si>
  <si>
    <t>სატელევიზიო და რადიო მომსახურებები</t>
  </si>
  <si>
    <t>79300001</t>
  </si>
  <si>
    <t xml:space="preserve">"სახელმწიფო შესყიდვების შესახებ" საქართველოს კანონის  მე-10(1)მუხლის მე-3 პუნქტის   "ბ"  ქვეპუნქტები </t>
  </si>
  <si>
    <t>გაზეთები, სამეცნიერო ჟურნალები, პერიოდიკა და ჟურნალები</t>
  </si>
  <si>
    <t>22200000</t>
  </si>
  <si>
    <t>2019 წლის I-IV კვარტალი</t>
  </si>
  <si>
    <t xml:space="preserve"> 64200000</t>
  </si>
  <si>
    <t>სახელმწიფო შესყიდვების შესახებ საქართველოს კანონის 10(1) მუხლის, მე-3 პუნტქის ,ზ" ქვეპუნქტი</t>
  </si>
  <si>
    <t>79200000</t>
  </si>
  <si>
    <t>საბუღალტრო , აუდიტორული და ფისკალური მომსახურებები</t>
  </si>
  <si>
    <t>98100000</t>
  </si>
  <si>
    <t>საწევრო ორგანიზაციების მომსახურებები</t>
  </si>
  <si>
    <t>სხვადასხვა ქარხნული წარმოების მასალა და მათთან დაკავშირებული საგნები</t>
  </si>
  <si>
    <t>სხვადასხვა ზოგადი და სპეციალური დანიშნულების მანქანა-დანადგარები</t>
  </si>
  <si>
    <t>09200000</t>
  </si>
  <si>
    <t>ნავთობი, ქვანახშირი და ნავთობპროდუქტები</t>
  </si>
  <si>
    <t>ინდივიდუალური და დამხმარე მოწყობილობები</t>
  </si>
  <si>
    <t>2019 წლის I I-IV კვარტალი</t>
  </si>
  <si>
    <t>2019 წლის II-IV კვარტალი</t>
  </si>
  <si>
    <t>38100000</t>
  </si>
  <si>
    <t>სანავიგაციო და მეტეოროლოგიური ხელსაწყოები</t>
  </si>
  <si>
    <t>80500000</t>
  </si>
  <si>
    <t>სატრენინგო მომსახურებები</t>
  </si>
  <si>
    <t>2019 წლის II -IV კვარტალი</t>
  </si>
  <si>
    <t>საინფორმაციო სისტემები და სერვერები</t>
  </si>
  <si>
    <t>სახელმწიფო შესყიდვების შესახებ საქართველოს კანონის 10(1) მუხლის, მე-3 პუნტქის ,,ა" ქვეპუნქტი (მრავალწლიანი)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</si>
</sst>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4" x14ac:knownFonts="1">
    <font>
      <sz val="11"/>
      <color theme="1"/>
      <name val="Calibri"/>
      <family val="2"/>
      <scheme val="minor"/>
    </font>
    <font>
      <sz val="8"/>
      <name val="Sylfaen"/>
      <family val="1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0"/>
      <name val="GEO DUMBADZE"/>
      <family val="2"/>
    </font>
    <font>
      <b/>
      <sz val="10"/>
      <name val="Calibri"/>
      <family val="2"/>
      <charset val="204"/>
      <scheme val="minor"/>
    </font>
    <font>
      <sz val="10"/>
      <name val="Sylfaen"/>
      <family val="1"/>
      <charset val="204"/>
    </font>
    <font>
      <sz val="1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name val="Sylfaen"/>
      <family val="2"/>
    </font>
    <font>
      <b/>
      <sz val="11"/>
      <name val="Calibri"/>
      <family val="2"/>
      <scheme val="minor"/>
    </font>
    <font>
      <sz val="8"/>
      <color theme="1"/>
      <name val="Sylfaen"/>
      <family val="1"/>
      <charset val="204"/>
    </font>
    <font>
      <sz val="8"/>
      <color theme="1"/>
      <name val="Sylfaen"/>
      <family val="2"/>
    </font>
    <font>
      <sz val="8"/>
      <color theme="1"/>
      <name val="Calibri"/>
      <family val="2"/>
      <charset val="204"/>
      <scheme val="minor"/>
    </font>
    <font>
      <sz val="11"/>
      <color rgb="FF222222"/>
      <name val="Verdana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222222"/>
      <name val="DejaVu Sans"/>
      <family val="2"/>
    </font>
  </fonts>
  <fills count="9">
    <fill>
      <patternFill patternType="none"/>
    </fill>
    <fill>
      <patternFill patternType="gray125"/>
    </fill>
    <fill>
      <patternFill patternType="solid">
        <fgColor rgb="FF0000FF"/>
        <bgColor indexed="64"/>
      </patternFill>
    </fill>
    <fill>
      <patternFill patternType="solid">
        <fgColor rgb="FF00CCFF"/>
        <bgColor indexed="64"/>
      </patternFill>
    </fill>
    <fill>
      <patternFill patternType="solid">
        <fgColor rgb="FF05C5E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5B4EB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</cellStyleXfs>
  <cellXfs count="128">
    <xf numFmtId="0" fontId="0" fillId="0" borderId="0" xfId="0"/>
    <xf numFmtId="0" fontId="0" fillId="0" borderId="0" xfId="0" applyFill="1"/>
    <xf numFmtId="43" fontId="3" fillId="0" borderId="2" xfId="1" applyNumberFormat="1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2" fontId="8" fillId="0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 applyProtection="1">
      <alignment horizontal="center" vertical="center"/>
    </xf>
    <xf numFmtId="0" fontId="9" fillId="3" borderId="2" xfId="0" applyFont="1" applyFill="1" applyBorder="1" applyAlignment="1">
      <alignment vertical="center" wrapText="1"/>
    </xf>
    <xf numFmtId="0" fontId="9" fillId="3" borderId="3" xfId="0" applyFont="1" applyFill="1" applyBorder="1" applyAlignment="1">
      <alignment vertical="center" wrapText="1"/>
    </xf>
    <xf numFmtId="0" fontId="15" fillId="3" borderId="2" xfId="0" applyFont="1" applyFill="1" applyBorder="1" applyAlignment="1">
      <alignment vertical="center" wrapText="1"/>
    </xf>
    <xf numFmtId="0" fontId="7" fillId="0" borderId="0" xfId="0" applyFont="1"/>
    <xf numFmtId="0" fontId="17" fillId="4" borderId="2" xfId="0" applyFont="1" applyFill="1" applyBorder="1" applyAlignment="1">
      <alignment vertical="center" wrapText="1"/>
    </xf>
    <xf numFmtId="0" fontId="9" fillId="4" borderId="2" xfId="0" applyFont="1" applyFill="1" applyBorder="1" applyAlignment="1">
      <alignment vertical="center" wrapText="1"/>
    </xf>
    <xf numFmtId="43" fontId="9" fillId="3" borderId="2" xfId="4" applyFont="1" applyFill="1" applyBorder="1" applyAlignment="1">
      <alignment horizontal="center" vertical="center" wrapText="1"/>
    </xf>
    <xf numFmtId="43" fontId="9" fillId="4" borderId="2" xfId="4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5" borderId="0" xfId="0" applyFill="1"/>
    <xf numFmtId="0" fontId="0" fillId="5" borderId="0" xfId="0" applyFont="1" applyFill="1"/>
    <xf numFmtId="0" fontId="21" fillId="5" borderId="0" xfId="0" applyFont="1" applyFill="1" applyAlignment="1">
      <alignment wrapText="1"/>
    </xf>
    <xf numFmtId="43" fontId="0" fillId="5" borderId="0" xfId="0" applyNumberFormat="1" applyFill="1"/>
    <xf numFmtId="0" fontId="3" fillId="0" borderId="1" xfId="0" applyFont="1" applyFill="1" applyBorder="1"/>
    <xf numFmtId="49" fontId="1" fillId="0" borderId="1" xfId="0" applyNumberFormat="1" applyFont="1" applyFill="1" applyBorder="1" applyAlignment="1">
      <alignment horizontal="center" vertical="center" wrapText="1"/>
    </xf>
    <xf numFmtId="43" fontId="1" fillId="0" borderId="1" xfId="4" applyFont="1" applyFill="1" applyBorder="1" applyAlignment="1">
      <alignment horizontal="center" vertical="center" wrapText="1"/>
    </xf>
    <xf numFmtId="49" fontId="16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/>
    <xf numFmtId="49" fontId="18" fillId="0" borderId="1" xfId="0" applyNumberFormat="1" applyFont="1" applyFill="1" applyBorder="1" applyAlignment="1">
      <alignment horizontal="center" vertical="center" wrapText="1"/>
    </xf>
    <xf numFmtId="49" fontId="19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/>
    <xf numFmtId="0" fontId="10" fillId="0" borderId="1" xfId="0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49" fontId="1" fillId="0" borderId="7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/>
    <xf numFmtId="49" fontId="1" fillId="0" borderId="1" xfId="0" applyNumberFormat="1" applyFont="1" applyFill="1" applyBorder="1" applyAlignment="1">
      <alignment horizontal="center" vertical="center"/>
    </xf>
    <xf numFmtId="49" fontId="1" fillId="0" borderId="4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/>
    <xf numFmtId="49" fontId="16" fillId="0" borderId="7" xfId="0" applyNumberFormat="1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center" vertical="center" wrapText="1"/>
    </xf>
    <xf numFmtId="0" fontId="3" fillId="0" borderId="4" xfId="0" applyFont="1" applyFill="1" applyBorder="1"/>
    <xf numFmtId="0" fontId="10" fillId="0" borderId="8" xfId="0" applyFont="1" applyFill="1" applyBorder="1" applyAlignment="1">
      <alignment horizontal="center" vertical="center" wrapText="1"/>
    </xf>
    <xf numFmtId="0" fontId="7" fillId="0" borderId="7" xfId="0" applyFont="1" applyFill="1" applyBorder="1"/>
    <xf numFmtId="0" fontId="7" fillId="0" borderId="1" xfId="0" applyFont="1" applyFill="1" applyBorder="1"/>
    <xf numFmtId="0" fontId="0" fillId="0" borderId="1" xfId="0" applyFill="1" applyBorder="1"/>
    <xf numFmtId="0" fontId="0" fillId="0" borderId="4" xfId="0" applyFill="1" applyBorder="1"/>
    <xf numFmtId="0" fontId="5" fillId="0" borderId="1" xfId="0" applyFont="1" applyFill="1" applyBorder="1"/>
    <xf numFmtId="0" fontId="0" fillId="0" borderId="4" xfId="0" applyFont="1" applyFill="1" applyBorder="1"/>
    <xf numFmtId="0" fontId="0" fillId="0" borderId="3" xfId="0" applyFont="1" applyFill="1" applyBorder="1"/>
    <xf numFmtId="43" fontId="1" fillId="5" borderId="1" xfId="4" applyFont="1" applyFill="1" applyBorder="1" applyAlignment="1">
      <alignment horizontal="center" vertical="center" wrapText="1"/>
    </xf>
    <xf numFmtId="43" fontId="22" fillId="6" borderId="2" xfId="4" applyFont="1" applyFill="1" applyBorder="1" applyAlignment="1">
      <alignment horizontal="center" vertical="center" wrapText="1"/>
    </xf>
    <xf numFmtId="0" fontId="22" fillId="6" borderId="2" xfId="0" applyFont="1" applyFill="1" applyBorder="1" applyAlignment="1">
      <alignment vertical="center" wrapText="1"/>
    </xf>
    <xf numFmtId="0" fontId="22" fillId="6" borderId="3" xfId="0" applyFont="1" applyFill="1" applyBorder="1" applyAlignment="1">
      <alignment vertical="center" wrapText="1"/>
    </xf>
    <xf numFmtId="0" fontId="9" fillId="4" borderId="3" xfId="0" applyFont="1" applyFill="1" applyBorder="1" applyAlignment="1">
      <alignment vertical="center" wrapText="1"/>
    </xf>
    <xf numFmtId="43" fontId="0" fillId="0" borderId="0" xfId="4" applyFont="1" applyFill="1"/>
    <xf numFmtId="43" fontId="0" fillId="0" borderId="0" xfId="0" applyNumberFormat="1" applyFill="1"/>
    <xf numFmtId="43" fontId="0" fillId="0" borderId="0" xfId="0" applyNumberFormat="1"/>
    <xf numFmtId="43" fontId="1" fillId="7" borderId="1" xfId="4" applyFont="1" applyFill="1" applyBorder="1" applyAlignment="1">
      <alignment horizontal="center" vertical="center" wrapText="1"/>
    </xf>
    <xf numFmtId="0" fontId="12" fillId="5" borderId="2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wrapText="1"/>
    </xf>
    <xf numFmtId="0" fontId="12" fillId="8" borderId="2" xfId="0" applyFont="1" applyFill="1" applyBorder="1" applyAlignment="1">
      <alignment horizontal="center" vertical="center" wrapText="1"/>
    </xf>
    <xf numFmtId="49" fontId="1" fillId="8" borderId="1" xfId="0" applyNumberFormat="1" applyFont="1" applyFill="1" applyBorder="1" applyAlignment="1">
      <alignment horizontal="center" vertical="center" wrapText="1"/>
    </xf>
    <xf numFmtId="43" fontId="1" fillId="8" borderId="1" xfId="4" applyFont="1" applyFill="1" applyBorder="1" applyAlignment="1">
      <alignment horizontal="center" vertical="center" wrapText="1"/>
    </xf>
    <xf numFmtId="49" fontId="16" fillId="8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 wrapText="1"/>
    </xf>
    <xf numFmtId="0" fontId="6" fillId="8" borderId="1" xfId="0" applyFont="1" applyFill="1" applyBorder="1"/>
    <xf numFmtId="0" fontId="10" fillId="8" borderId="6" xfId="0" applyFont="1" applyFill="1" applyBorder="1" applyAlignment="1">
      <alignment horizontal="center" vertical="center" wrapText="1"/>
    </xf>
    <xf numFmtId="49" fontId="1" fillId="7" borderId="1" xfId="0" applyNumberFormat="1" applyFont="1" applyFill="1" applyBorder="1" applyAlignment="1">
      <alignment horizontal="center" vertical="center"/>
    </xf>
    <xf numFmtId="49" fontId="1" fillId="7" borderId="1" xfId="0" applyNumberFormat="1" applyFont="1" applyFill="1" applyBorder="1" applyAlignment="1">
      <alignment horizontal="center" vertical="center" wrapText="1"/>
    </xf>
    <xf numFmtId="49" fontId="1" fillId="8" borderId="1" xfId="0" applyNumberFormat="1" applyFont="1" applyFill="1" applyBorder="1" applyAlignment="1">
      <alignment horizontal="center" vertical="center"/>
    </xf>
    <xf numFmtId="49" fontId="1" fillId="5" borderId="1" xfId="0" applyNumberFormat="1" applyFont="1" applyFill="1" applyBorder="1" applyAlignment="1">
      <alignment horizontal="center" vertical="center"/>
    </xf>
    <xf numFmtId="49" fontId="1" fillId="5" borderId="1" xfId="0" applyNumberFormat="1" applyFont="1" applyFill="1" applyBorder="1" applyAlignment="1">
      <alignment horizontal="center" vertical="center" wrapText="1"/>
    </xf>
    <xf numFmtId="49" fontId="16" fillId="5" borderId="1" xfId="0" applyNumberFormat="1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6" fillId="5" borderId="1" xfId="0" applyFont="1" applyFill="1" applyBorder="1"/>
    <xf numFmtId="0" fontId="1" fillId="8" borderId="1" xfId="0" applyNumberFormat="1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 wrapText="1"/>
    </xf>
    <xf numFmtId="0" fontId="1" fillId="5" borderId="1" xfId="0" applyNumberFormat="1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10" fillId="5" borderId="6" xfId="0" applyFont="1" applyFill="1" applyBorder="1" applyAlignment="1">
      <alignment horizontal="center" vertical="center" wrapText="1"/>
    </xf>
    <xf numFmtId="49" fontId="18" fillId="8" borderId="1" xfId="0" applyNumberFormat="1" applyFont="1" applyFill="1" applyBorder="1" applyAlignment="1">
      <alignment horizontal="center" vertical="center" wrapText="1"/>
    </xf>
    <xf numFmtId="49" fontId="19" fillId="8" borderId="1" xfId="0" applyNumberFormat="1" applyFont="1" applyFill="1" applyBorder="1" applyAlignment="1">
      <alignment horizontal="center" vertical="center" wrapText="1"/>
    </xf>
    <xf numFmtId="0" fontId="0" fillId="8" borderId="1" xfId="0" applyFont="1" applyFill="1" applyBorder="1"/>
    <xf numFmtId="2" fontId="1" fillId="8" borderId="1" xfId="0" applyNumberFormat="1" applyFont="1" applyFill="1" applyBorder="1" applyAlignment="1">
      <alignment horizontal="center" vertical="center" wrapText="1"/>
    </xf>
    <xf numFmtId="49" fontId="1" fillId="8" borderId="7" xfId="0" applyNumberFormat="1" applyFont="1" applyFill="1" applyBorder="1" applyAlignment="1">
      <alignment horizontal="center" vertical="center" wrapText="1"/>
    </xf>
    <xf numFmtId="0" fontId="10" fillId="8" borderId="8" xfId="0" applyFont="1" applyFill="1" applyBorder="1" applyAlignment="1">
      <alignment horizontal="center" vertical="center" wrapText="1"/>
    </xf>
    <xf numFmtId="0" fontId="17" fillId="8" borderId="1" xfId="0" applyFont="1" applyFill="1" applyBorder="1" applyAlignment="1">
      <alignment wrapText="1"/>
    </xf>
    <xf numFmtId="49" fontId="16" fillId="8" borderId="7" xfId="0" applyNumberFormat="1" applyFont="1" applyFill="1" applyBorder="1" applyAlignment="1">
      <alignment horizontal="center" vertical="center" wrapText="1"/>
    </xf>
    <xf numFmtId="0" fontId="10" fillId="8" borderId="7" xfId="0" applyFont="1" applyFill="1" applyBorder="1" applyAlignment="1">
      <alignment horizontal="center" vertical="center" wrapText="1"/>
    </xf>
    <xf numFmtId="0" fontId="20" fillId="8" borderId="6" xfId="0" applyFont="1" applyFill="1" applyBorder="1" applyAlignment="1">
      <alignment horizontal="center" vertical="center" wrapText="1"/>
    </xf>
    <xf numFmtId="0" fontId="10" fillId="8" borderId="1" xfId="0" applyFont="1" applyFill="1" applyBorder="1" applyAlignment="1">
      <alignment horizontal="center" vertical="center" wrapText="1"/>
    </xf>
    <xf numFmtId="0" fontId="6" fillId="8" borderId="1" xfId="0" applyFont="1" applyFill="1" applyBorder="1" applyAlignment="1">
      <alignment horizontal="center" vertical="center" wrapText="1"/>
    </xf>
    <xf numFmtId="49" fontId="18" fillId="5" borderId="1" xfId="0" applyNumberFormat="1" applyFont="1" applyFill="1" applyBorder="1" applyAlignment="1">
      <alignment horizontal="center" vertical="center" wrapText="1"/>
    </xf>
    <xf numFmtId="49" fontId="19" fillId="5" borderId="1" xfId="0" applyNumberFormat="1" applyFont="1" applyFill="1" applyBorder="1" applyAlignment="1">
      <alignment horizontal="center" vertical="center" wrapText="1"/>
    </xf>
    <xf numFmtId="0" fontId="0" fillId="5" borderId="1" xfId="0" applyFont="1" applyFill="1" applyBorder="1"/>
    <xf numFmtId="2" fontId="1" fillId="5" borderId="1" xfId="0" applyNumberFormat="1" applyFont="1" applyFill="1" applyBorder="1" applyAlignment="1">
      <alignment horizontal="center" vertical="center" wrapText="1"/>
    </xf>
    <xf numFmtId="49" fontId="1" fillId="5" borderId="7" xfId="0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23" fillId="0" borderId="0" xfId="0" applyFont="1"/>
    <xf numFmtId="0" fontId="0" fillId="0" borderId="0" xfId="0" applyFont="1" applyFill="1"/>
    <xf numFmtId="0" fontId="12" fillId="8" borderId="1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 wrapText="1"/>
    </xf>
    <xf numFmtId="39" fontId="0" fillId="0" borderId="0" xfId="0" applyNumberFormat="1"/>
    <xf numFmtId="0" fontId="10" fillId="5" borderId="1" xfId="0" applyFont="1" applyFill="1" applyBorder="1" applyAlignment="1">
      <alignment horizontal="center" vertical="center" wrapText="1"/>
    </xf>
    <xf numFmtId="0" fontId="10" fillId="5" borderId="8" xfId="0" applyFont="1" applyFill="1" applyBorder="1" applyAlignment="1">
      <alignment horizontal="center" vertical="center" wrapText="1"/>
    </xf>
    <xf numFmtId="0" fontId="5" fillId="8" borderId="1" xfId="0" applyFont="1" applyFill="1" applyBorder="1"/>
    <xf numFmtId="0" fontId="6" fillId="8" borderId="1" xfId="0" applyFont="1" applyFill="1" applyBorder="1" applyAlignment="1">
      <alignment wrapText="1"/>
    </xf>
    <xf numFmtId="0" fontId="6" fillId="0" borderId="1" xfId="0" applyFont="1" applyFill="1" applyBorder="1" applyAlignment="1">
      <alignment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12" fillId="3" borderId="4" xfId="0" applyFont="1" applyFill="1" applyBorder="1" applyAlignment="1">
      <alignment horizontal="left" vertical="center" wrapText="1" indent="2"/>
    </xf>
    <xf numFmtId="0" fontId="12" fillId="3" borderId="2" xfId="0" applyFont="1" applyFill="1" applyBorder="1" applyAlignment="1">
      <alignment horizontal="left" vertical="center" wrapText="1" indent="2"/>
    </xf>
    <xf numFmtId="0" fontId="22" fillId="6" borderId="4" xfId="0" applyFont="1" applyFill="1" applyBorder="1" applyAlignment="1">
      <alignment horizontal="left" vertical="center" wrapText="1" indent="2"/>
    </xf>
    <xf numFmtId="0" fontId="22" fillId="6" borderId="2" xfId="0" applyFont="1" applyFill="1" applyBorder="1" applyAlignment="1">
      <alignment horizontal="left" vertical="center" wrapText="1" indent="2"/>
    </xf>
    <xf numFmtId="0" fontId="9" fillId="4" borderId="4" xfId="0" applyFont="1" applyFill="1" applyBorder="1" applyAlignment="1">
      <alignment horizontal="left" vertical="center" wrapText="1" indent="2"/>
    </xf>
    <xf numFmtId="0" fontId="9" fillId="4" borderId="2" xfId="0" applyFont="1" applyFill="1" applyBorder="1" applyAlignment="1">
      <alignment horizontal="left" vertical="center" wrapText="1" indent="2"/>
    </xf>
    <xf numFmtId="0" fontId="4" fillId="0" borderId="0" xfId="0" applyFont="1" applyFill="1" applyAlignment="1">
      <alignment horizontal="right" vertical="center" wrapText="1"/>
    </xf>
    <xf numFmtId="0" fontId="4" fillId="0" borderId="5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left" vertical="center" wrapText="1"/>
    </xf>
    <xf numFmtId="0" fontId="9" fillId="3" borderId="4" xfId="0" applyFont="1" applyFill="1" applyBorder="1" applyAlignment="1">
      <alignment horizontal="left" vertical="center" wrapText="1" indent="2"/>
    </xf>
    <xf numFmtId="0" fontId="9" fillId="3" borderId="2" xfId="0" applyFont="1" applyFill="1" applyBorder="1" applyAlignment="1">
      <alignment horizontal="left" vertical="center" wrapText="1" indent="2"/>
    </xf>
  </cellXfs>
  <cellStyles count="5">
    <cellStyle name="Comma" xfId="4" builtinId="3"/>
    <cellStyle name="Comma 2" xfId="1"/>
    <cellStyle name="Normal" xfId="0" builtinId="0"/>
    <cellStyle name="Normal 2" xfId="3"/>
    <cellStyle name="Normal 3" xfId="2"/>
  </cellStyles>
  <dxfs count="0"/>
  <tableStyles count="0" defaultTableStyle="TableStyleMedium2" defaultPivotStyle="PivotStyleLight16"/>
  <colors>
    <mruColors>
      <color rgb="FFFFFFCC"/>
      <color rgb="FF00CCFF"/>
      <color rgb="FF05B4EB"/>
      <color rgb="FF05C5EB"/>
      <color rgb="FF00FFFF"/>
      <color rgb="FF0000FF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98"/>
  <sheetViews>
    <sheetView topLeftCell="B43" zoomScaleNormal="100" zoomScaleSheetLayoutView="80" workbookViewId="0">
      <selection activeCell="E53" sqref="E53"/>
    </sheetView>
  </sheetViews>
  <sheetFormatPr defaultRowHeight="15" x14ac:dyDescent="0.25"/>
  <cols>
    <col min="1" max="1" width="9.140625" hidden="1" customWidth="1"/>
    <col min="2" max="2" width="4.425781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3" width="11.5703125" bestFit="1" customWidth="1"/>
  </cols>
  <sheetData>
    <row r="2" spans="2:8" ht="18.75" x14ac:dyDescent="0.25">
      <c r="B2" s="123" t="s">
        <v>41</v>
      </c>
      <c r="C2" s="123"/>
      <c r="D2" s="123"/>
      <c r="E2" s="123"/>
      <c r="F2" s="123"/>
      <c r="G2" s="123"/>
      <c r="H2" s="123"/>
    </row>
    <row r="3" spans="2:8" ht="18.75" x14ac:dyDescent="0.3">
      <c r="B3" s="124" t="s">
        <v>4</v>
      </c>
      <c r="C3" s="124"/>
      <c r="D3" s="124"/>
      <c r="E3" s="124"/>
      <c r="F3" s="124"/>
      <c r="G3" s="124"/>
      <c r="H3" s="124"/>
    </row>
    <row r="4" spans="2:8" x14ac:dyDescent="0.25">
      <c r="B4" s="125" t="s">
        <v>54</v>
      </c>
      <c r="C4" s="125"/>
      <c r="D4" s="125"/>
      <c r="E4" s="125"/>
      <c r="F4" s="125" t="s">
        <v>21</v>
      </c>
      <c r="G4" s="125"/>
      <c r="H4" s="125"/>
    </row>
    <row r="5" spans="2:8" x14ac:dyDescent="0.25">
      <c r="B5" s="125" t="s">
        <v>20</v>
      </c>
      <c r="C5" s="125"/>
      <c r="D5" s="125"/>
      <c r="E5" s="125"/>
      <c r="F5" s="125" t="s">
        <v>10</v>
      </c>
      <c r="G5" s="125"/>
      <c r="H5" s="125"/>
    </row>
    <row r="6" spans="2:8" ht="24.75" customHeight="1" x14ac:dyDescent="0.25">
      <c r="B6" s="115" t="s">
        <v>22</v>
      </c>
      <c r="C6" s="116"/>
      <c r="D6" s="116"/>
      <c r="E6" s="116"/>
      <c r="F6" s="116"/>
      <c r="G6" s="2">
        <f>E9+E54+E57+E61+E67+E71+E74+E80+E82+E87+E89+E94+E96</f>
        <v>43146145.719999999</v>
      </c>
      <c r="H6" s="3" t="s">
        <v>23</v>
      </c>
    </row>
    <row r="7" spans="2:8" ht="25.5" x14ac:dyDescent="0.2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 x14ac:dyDescent="0.25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customHeight="1" x14ac:dyDescent="0.25">
      <c r="B9" s="117" t="s">
        <v>33</v>
      </c>
      <c r="C9" s="118"/>
      <c r="D9" s="118"/>
      <c r="E9" s="15">
        <f>SUM(E10:E53)</f>
        <v>3942680</v>
      </c>
      <c r="F9" s="11"/>
      <c r="G9" s="9"/>
      <c r="H9" s="10"/>
    </row>
    <row r="10" spans="2:8" s="18" customFormat="1" ht="33.75" x14ac:dyDescent="0.25">
      <c r="B10" s="22"/>
      <c r="C10" s="23" t="s">
        <v>49</v>
      </c>
      <c r="D10" s="23" t="s">
        <v>51</v>
      </c>
      <c r="E10" s="64">
        <v>2700</v>
      </c>
      <c r="F10" s="25" t="s">
        <v>61</v>
      </c>
      <c r="G10" s="26" t="s">
        <v>125</v>
      </c>
      <c r="H10" s="23"/>
    </row>
    <row r="11" spans="2:8" s="18" customFormat="1" ht="33.75" x14ac:dyDescent="0.25">
      <c r="B11" s="22"/>
      <c r="C11" s="23" t="s">
        <v>14</v>
      </c>
      <c r="D11" s="23" t="s">
        <v>40</v>
      </c>
      <c r="E11" s="64">
        <v>223000</v>
      </c>
      <c r="F11" s="25" t="s">
        <v>60</v>
      </c>
      <c r="G11" s="26" t="s">
        <v>125</v>
      </c>
      <c r="H11" s="23"/>
    </row>
    <row r="12" spans="2:8" s="18" customFormat="1" ht="33.75" x14ac:dyDescent="0.25">
      <c r="B12" s="22"/>
      <c r="C12" s="23" t="s">
        <v>100</v>
      </c>
      <c r="D12" s="23" t="s">
        <v>101</v>
      </c>
      <c r="E12" s="64">
        <v>500</v>
      </c>
      <c r="F12" s="25" t="s">
        <v>61</v>
      </c>
      <c r="G12" s="26" t="s">
        <v>125</v>
      </c>
      <c r="H12" s="23"/>
    </row>
    <row r="13" spans="2:8" s="19" customFormat="1" ht="33.75" x14ac:dyDescent="0.25">
      <c r="B13" s="27"/>
      <c r="C13" s="28" t="s">
        <v>50</v>
      </c>
      <c r="D13" s="28" t="s">
        <v>52</v>
      </c>
      <c r="E13" s="64">
        <v>1600</v>
      </c>
      <c r="F13" s="29" t="s">
        <v>61</v>
      </c>
      <c r="G13" s="26" t="s">
        <v>125</v>
      </c>
      <c r="H13" s="28"/>
    </row>
    <row r="14" spans="2:8" s="18" customFormat="1" ht="49.5" customHeight="1" x14ac:dyDescent="0.25">
      <c r="B14" s="22"/>
      <c r="C14" s="23" t="s">
        <v>39</v>
      </c>
      <c r="D14" s="23" t="s">
        <v>58</v>
      </c>
      <c r="E14" s="64">
        <f>23100</f>
        <v>23100</v>
      </c>
      <c r="F14" s="25" t="s">
        <v>60</v>
      </c>
      <c r="G14" s="26" t="s">
        <v>125</v>
      </c>
      <c r="H14" s="23"/>
    </row>
    <row r="15" spans="2:8" s="18" customFormat="1" ht="49.5" customHeight="1" x14ac:dyDescent="0.25">
      <c r="B15" s="22"/>
      <c r="C15" s="23" t="s">
        <v>39</v>
      </c>
      <c r="D15" s="23" t="s">
        <v>58</v>
      </c>
      <c r="E15" s="64">
        <f>60000+9000</f>
        <v>69000</v>
      </c>
      <c r="F15" s="25" t="s">
        <v>64</v>
      </c>
      <c r="G15" s="26" t="s">
        <v>125</v>
      </c>
      <c r="H15" s="23"/>
    </row>
    <row r="16" spans="2:8" s="18" customFormat="1" ht="38.25" customHeight="1" x14ac:dyDescent="0.25">
      <c r="B16" s="22"/>
      <c r="C16" s="30">
        <v>31400000</v>
      </c>
      <c r="D16" s="23" t="s">
        <v>11</v>
      </c>
      <c r="E16" s="64">
        <f>3000+1800</f>
        <v>4800</v>
      </c>
      <c r="F16" s="25" t="s">
        <v>61</v>
      </c>
      <c r="G16" s="26" t="s">
        <v>125</v>
      </c>
      <c r="H16" s="31"/>
    </row>
    <row r="17" spans="2:8" s="18" customFormat="1" ht="38.25" customHeight="1" x14ac:dyDescent="0.25">
      <c r="B17" s="22"/>
      <c r="C17" s="23" t="s">
        <v>43</v>
      </c>
      <c r="D17" s="23" t="s">
        <v>42</v>
      </c>
      <c r="E17" s="64">
        <v>10000</v>
      </c>
      <c r="F17" s="25" t="s">
        <v>60</v>
      </c>
      <c r="G17" s="26" t="s">
        <v>125</v>
      </c>
      <c r="H17" s="32"/>
    </row>
    <row r="18" spans="2:8" s="18" customFormat="1" ht="33.75" x14ac:dyDescent="0.25">
      <c r="B18" s="33"/>
      <c r="C18" s="23" t="s">
        <v>92</v>
      </c>
      <c r="D18" s="23" t="s">
        <v>93</v>
      </c>
      <c r="E18" s="64">
        <v>4800</v>
      </c>
      <c r="F18" s="25" t="s">
        <v>91</v>
      </c>
      <c r="G18" s="26" t="s">
        <v>125</v>
      </c>
      <c r="H18" s="31"/>
    </row>
    <row r="19" spans="2:8" s="18" customFormat="1" ht="33.75" x14ac:dyDescent="0.25">
      <c r="B19" s="33"/>
      <c r="C19" s="23" t="s">
        <v>94</v>
      </c>
      <c r="D19" s="23" t="s">
        <v>95</v>
      </c>
      <c r="E19" s="64">
        <v>4800</v>
      </c>
      <c r="F19" s="25" t="s">
        <v>91</v>
      </c>
      <c r="G19" s="26" t="s">
        <v>125</v>
      </c>
      <c r="H19" s="31"/>
    </row>
    <row r="20" spans="2:8" s="18" customFormat="1" ht="33.75" x14ac:dyDescent="0.25">
      <c r="B20" s="23"/>
      <c r="C20" s="34">
        <v>39800000</v>
      </c>
      <c r="D20" s="34" t="s">
        <v>84</v>
      </c>
      <c r="E20" s="64">
        <v>4800</v>
      </c>
      <c r="F20" s="25" t="s">
        <v>91</v>
      </c>
      <c r="G20" s="26" t="s">
        <v>125</v>
      </c>
      <c r="H20" s="31"/>
    </row>
    <row r="21" spans="2:8" s="18" customFormat="1" ht="51.75" customHeight="1" x14ac:dyDescent="0.25">
      <c r="B21" s="22"/>
      <c r="C21" s="30">
        <v>45400000</v>
      </c>
      <c r="D21" s="34" t="s">
        <v>102</v>
      </c>
      <c r="E21" s="64">
        <v>40000</v>
      </c>
      <c r="F21" s="25" t="s">
        <v>64</v>
      </c>
      <c r="G21" s="26" t="s">
        <v>125</v>
      </c>
      <c r="H21" s="31"/>
    </row>
    <row r="22" spans="2:8" s="18" customFormat="1" ht="37.5" customHeight="1" x14ac:dyDescent="0.25">
      <c r="B22" s="22"/>
      <c r="C22" s="30">
        <v>48700000</v>
      </c>
      <c r="D22" s="23" t="s">
        <v>104</v>
      </c>
      <c r="E22" s="64">
        <v>38000</v>
      </c>
      <c r="F22" s="25" t="s">
        <v>64</v>
      </c>
      <c r="G22" s="26" t="s">
        <v>125</v>
      </c>
      <c r="H22" s="31"/>
    </row>
    <row r="23" spans="2:8" s="18" customFormat="1" ht="56.25" x14ac:dyDescent="0.25">
      <c r="B23" s="22"/>
      <c r="C23" s="23">
        <v>50100000</v>
      </c>
      <c r="D23" s="23" t="s">
        <v>44</v>
      </c>
      <c r="E23" s="64">
        <v>10000</v>
      </c>
      <c r="F23" s="25" t="s">
        <v>61</v>
      </c>
      <c r="G23" s="26" t="s">
        <v>125</v>
      </c>
      <c r="H23" s="35" t="s">
        <v>66</v>
      </c>
    </row>
    <row r="24" spans="2:8" s="18" customFormat="1" ht="92.25" customHeight="1" x14ac:dyDescent="0.25">
      <c r="B24" s="22"/>
      <c r="C24" s="23" t="s">
        <v>59</v>
      </c>
      <c r="D24" s="23" t="s">
        <v>62</v>
      </c>
      <c r="E24" s="64">
        <v>120000</v>
      </c>
      <c r="F24" s="25" t="s">
        <v>64</v>
      </c>
      <c r="G24" s="26" t="s">
        <v>125</v>
      </c>
      <c r="H24" s="36"/>
    </row>
    <row r="25" spans="2:8" s="18" customFormat="1" ht="92.25" customHeight="1" x14ac:dyDescent="0.25">
      <c r="B25" s="22"/>
      <c r="C25" s="23" t="s">
        <v>107</v>
      </c>
      <c r="D25" s="23" t="s">
        <v>108</v>
      </c>
      <c r="E25" s="64">
        <v>50000</v>
      </c>
      <c r="F25" s="25" t="s">
        <v>64</v>
      </c>
      <c r="G25" s="26" t="s">
        <v>125</v>
      </c>
      <c r="H25" s="31"/>
    </row>
    <row r="26" spans="2:8" s="18" customFormat="1" ht="92.25" customHeight="1" x14ac:dyDescent="0.25">
      <c r="B26" s="22"/>
      <c r="C26" s="23" t="s">
        <v>105</v>
      </c>
      <c r="D26" s="23" t="s">
        <v>106</v>
      </c>
      <c r="E26" s="64">
        <v>310000</v>
      </c>
      <c r="F26" s="25" t="s">
        <v>64</v>
      </c>
      <c r="G26" s="26" t="s">
        <v>125</v>
      </c>
      <c r="H26" s="36"/>
    </row>
    <row r="27" spans="2:8" s="18" customFormat="1" ht="92.25" customHeight="1" x14ac:dyDescent="0.25">
      <c r="B27" s="22"/>
      <c r="C27" s="23" t="s">
        <v>109</v>
      </c>
      <c r="D27" s="23" t="s">
        <v>110</v>
      </c>
      <c r="E27" s="64">
        <f>60000+45000</f>
        <v>105000</v>
      </c>
      <c r="F27" s="25" t="s">
        <v>64</v>
      </c>
      <c r="G27" s="26" t="s">
        <v>125</v>
      </c>
      <c r="H27" s="36"/>
    </row>
    <row r="28" spans="2:8" s="18" customFormat="1" ht="102.75" customHeight="1" x14ac:dyDescent="0.25">
      <c r="B28" s="22"/>
      <c r="C28" s="23" t="s">
        <v>86</v>
      </c>
      <c r="D28" s="23" t="s">
        <v>87</v>
      </c>
      <c r="E28" s="64">
        <v>8000</v>
      </c>
      <c r="F28" s="25" t="s">
        <v>64</v>
      </c>
      <c r="G28" s="26" t="s">
        <v>125</v>
      </c>
      <c r="H28" s="23"/>
    </row>
    <row r="29" spans="2:8" s="18" customFormat="1" ht="115.5" customHeight="1" x14ac:dyDescent="0.25">
      <c r="B29" s="37"/>
      <c r="C29" s="23">
        <v>50700000</v>
      </c>
      <c r="D29" s="23" t="s">
        <v>13</v>
      </c>
      <c r="E29" s="64">
        <f>1600000-59200</f>
        <v>1540800</v>
      </c>
      <c r="F29" s="23" t="s">
        <v>61</v>
      </c>
      <c r="G29" s="26" t="s">
        <v>125</v>
      </c>
      <c r="H29" s="23" t="s">
        <v>99</v>
      </c>
    </row>
    <row r="30" spans="2:8" s="18" customFormat="1" ht="115.5" customHeight="1" x14ac:dyDescent="0.25">
      <c r="B30" s="37"/>
      <c r="C30" s="23">
        <v>50700000</v>
      </c>
      <c r="D30" s="23" t="s">
        <v>13</v>
      </c>
      <c r="E30" s="64">
        <f>93000-45000</f>
        <v>48000</v>
      </c>
      <c r="F30" s="23" t="s">
        <v>64</v>
      </c>
      <c r="G30" s="26" t="s">
        <v>125</v>
      </c>
      <c r="H30" s="23"/>
    </row>
    <row r="31" spans="2:8" s="18" customFormat="1" ht="115.5" customHeight="1" x14ac:dyDescent="0.25">
      <c r="B31" s="37"/>
      <c r="C31" s="23" t="s">
        <v>117</v>
      </c>
      <c r="D31" s="23" t="s">
        <v>118</v>
      </c>
      <c r="E31" s="64">
        <v>120000</v>
      </c>
      <c r="F31" s="23" t="s">
        <v>64</v>
      </c>
      <c r="G31" s="26" t="s">
        <v>125</v>
      </c>
      <c r="H31" s="23"/>
    </row>
    <row r="32" spans="2:8" s="18" customFormat="1" ht="115.5" customHeight="1" x14ac:dyDescent="0.25">
      <c r="B32" s="37"/>
      <c r="C32" s="23" t="s">
        <v>111</v>
      </c>
      <c r="D32" s="23" t="s">
        <v>112</v>
      </c>
      <c r="E32" s="64">
        <v>120000</v>
      </c>
      <c r="F32" s="23" t="s">
        <v>64</v>
      </c>
      <c r="G32" s="26" t="s">
        <v>125</v>
      </c>
      <c r="H32" s="23"/>
    </row>
    <row r="33" spans="2:10" s="18" customFormat="1" ht="58.5" customHeight="1" x14ac:dyDescent="0.25">
      <c r="B33" s="22"/>
      <c r="C33" s="30">
        <v>63700000</v>
      </c>
      <c r="D33" s="23" t="s">
        <v>70</v>
      </c>
      <c r="E33" s="64">
        <v>2000</v>
      </c>
      <c r="F33" s="25" t="s">
        <v>61</v>
      </c>
      <c r="G33" s="26" t="s">
        <v>125</v>
      </c>
      <c r="H33" s="26" t="s">
        <v>85</v>
      </c>
    </row>
    <row r="34" spans="2:10" s="18" customFormat="1" ht="63.75" customHeight="1" x14ac:dyDescent="0.25">
      <c r="B34" s="23"/>
      <c r="C34" s="23" t="s">
        <v>47</v>
      </c>
      <c r="D34" s="23" t="s">
        <v>48</v>
      </c>
      <c r="E34" s="64">
        <v>6000</v>
      </c>
      <c r="F34" s="25" t="s">
        <v>64</v>
      </c>
      <c r="G34" s="26" t="s">
        <v>125</v>
      </c>
      <c r="H34" s="23"/>
    </row>
    <row r="35" spans="2:10" s="18" customFormat="1" ht="33.75" x14ac:dyDescent="0.25">
      <c r="B35" s="33"/>
      <c r="C35" s="38" t="s">
        <v>18</v>
      </c>
      <c r="D35" s="23" t="s">
        <v>46</v>
      </c>
      <c r="E35" s="64">
        <v>25000</v>
      </c>
      <c r="F35" s="25" t="s">
        <v>64</v>
      </c>
      <c r="G35" s="26" t="s">
        <v>125</v>
      </c>
      <c r="H35" s="33"/>
    </row>
    <row r="36" spans="2:10" s="18" customFormat="1" ht="56.25" x14ac:dyDescent="0.25">
      <c r="B36" s="33"/>
      <c r="C36" s="38" t="s">
        <v>18</v>
      </c>
      <c r="D36" s="23" t="s">
        <v>46</v>
      </c>
      <c r="E36" s="64">
        <v>25500</v>
      </c>
      <c r="F36" s="25" t="s">
        <v>61</v>
      </c>
      <c r="G36" s="26" t="s">
        <v>125</v>
      </c>
      <c r="H36" s="26" t="s">
        <v>96</v>
      </c>
    </row>
    <row r="37" spans="2:10" s="18" customFormat="1" ht="33.75" x14ac:dyDescent="0.25">
      <c r="B37" s="33"/>
      <c r="C37" s="38" t="s">
        <v>18</v>
      </c>
      <c r="D37" s="23" t="s">
        <v>46</v>
      </c>
      <c r="E37" s="64">
        <v>24000</v>
      </c>
      <c r="F37" s="25" t="s">
        <v>60</v>
      </c>
      <c r="G37" s="26" t="s">
        <v>125</v>
      </c>
      <c r="H37" s="33"/>
    </row>
    <row r="38" spans="2:10" s="18" customFormat="1" ht="50.25" customHeight="1" x14ac:dyDescent="0.25">
      <c r="B38" s="33"/>
      <c r="C38" s="38" t="s">
        <v>114</v>
      </c>
      <c r="D38" s="23" t="s">
        <v>113</v>
      </c>
      <c r="E38" s="64">
        <v>30000</v>
      </c>
      <c r="F38" s="25" t="s">
        <v>64</v>
      </c>
      <c r="G38" s="26" t="s">
        <v>125</v>
      </c>
      <c r="H38" s="26"/>
    </row>
    <row r="39" spans="2:10" s="18" customFormat="1" ht="33.75" x14ac:dyDescent="0.25">
      <c r="B39" s="33"/>
      <c r="C39" s="38" t="s">
        <v>55</v>
      </c>
      <c r="D39" s="23" t="s">
        <v>56</v>
      </c>
      <c r="E39" s="64">
        <v>1680</v>
      </c>
      <c r="F39" s="25" t="s">
        <v>91</v>
      </c>
      <c r="G39" s="26" t="s">
        <v>125</v>
      </c>
      <c r="H39" s="33"/>
    </row>
    <row r="40" spans="2:10" s="18" customFormat="1" ht="57" customHeight="1" x14ac:dyDescent="0.25">
      <c r="B40" s="23"/>
      <c r="C40" s="38" t="s">
        <v>17</v>
      </c>
      <c r="D40" s="23" t="s">
        <v>16</v>
      </c>
      <c r="E40" s="64">
        <v>90000</v>
      </c>
      <c r="F40" s="25" t="s">
        <v>61</v>
      </c>
      <c r="G40" s="26" t="s">
        <v>125</v>
      </c>
      <c r="H40" s="26" t="s">
        <v>67</v>
      </c>
    </row>
    <row r="41" spans="2:10" s="18" customFormat="1" ht="65.25" customHeight="1" x14ac:dyDescent="0.25">
      <c r="B41" s="23"/>
      <c r="C41" s="38" t="s">
        <v>17</v>
      </c>
      <c r="D41" s="23" t="s">
        <v>16</v>
      </c>
      <c r="E41" s="64">
        <v>150</v>
      </c>
      <c r="F41" s="25" t="s">
        <v>61</v>
      </c>
      <c r="G41" s="26" t="s">
        <v>125</v>
      </c>
      <c r="H41" s="26"/>
      <c r="J41" s="20"/>
    </row>
    <row r="42" spans="2:10" s="18" customFormat="1" ht="56.25" x14ac:dyDescent="0.25">
      <c r="B42" s="23"/>
      <c r="C42" s="38" t="s">
        <v>77</v>
      </c>
      <c r="D42" s="23" t="s">
        <v>78</v>
      </c>
      <c r="E42" s="64">
        <v>3000</v>
      </c>
      <c r="F42" s="25" t="s">
        <v>61</v>
      </c>
      <c r="G42" s="26" t="s">
        <v>125</v>
      </c>
      <c r="H42" s="26" t="s">
        <v>79</v>
      </c>
    </row>
    <row r="43" spans="2:10" s="18" customFormat="1" ht="75" customHeight="1" x14ac:dyDescent="0.25">
      <c r="B43" s="39"/>
      <c r="C43" s="38" t="s">
        <v>25</v>
      </c>
      <c r="D43" s="23" t="s">
        <v>119</v>
      </c>
      <c r="E43" s="64">
        <v>100000</v>
      </c>
      <c r="F43" s="25" t="s">
        <v>64</v>
      </c>
      <c r="G43" s="26" t="s">
        <v>125</v>
      </c>
      <c r="H43" s="26"/>
    </row>
    <row r="44" spans="2:10" s="18" customFormat="1" ht="63.75" customHeight="1" x14ac:dyDescent="0.25">
      <c r="B44" s="39"/>
      <c r="C44" s="23" t="s">
        <v>45</v>
      </c>
      <c r="D44" s="23" t="s">
        <v>63</v>
      </c>
      <c r="E44" s="64">
        <v>6000</v>
      </c>
      <c r="F44" s="25" t="s">
        <v>64</v>
      </c>
      <c r="G44" s="26" t="s">
        <v>125</v>
      </c>
      <c r="H44" s="26"/>
    </row>
    <row r="45" spans="2:10" s="18" customFormat="1" ht="63.75" customHeight="1" x14ac:dyDescent="0.25">
      <c r="B45" s="39"/>
      <c r="C45" s="23" t="s">
        <v>120</v>
      </c>
      <c r="D45" s="23" t="s">
        <v>121</v>
      </c>
      <c r="E45" s="64">
        <v>450</v>
      </c>
      <c r="F45" s="25" t="s">
        <v>61</v>
      </c>
      <c r="G45" s="26" t="s">
        <v>125</v>
      </c>
      <c r="H45" s="26"/>
    </row>
    <row r="46" spans="2:10" s="18" customFormat="1" ht="77.25" customHeight="1" x14ac:dyDescent="0.25">
      <c r="B46" s="22"/>
      <c r="C46" s="30">
        <v>79700000</v>
      </c>
      <c r="D46" s="23" t="s">
        <v>27</v>
      </c>
      <c r="E46" s="64">
        <v>600000</v>
      </c>
      <c r="F46" s="25" t="s">
        <v>61</v>
      </c>
      <c r="G46" s="26" t="s">
        <v>125</v>
      </c>
      <c r="H46" s="26" t="s">
        <v>80</v>
      </c>
    </row>
    <row r="47" spans="2:10" s="18" customFormat="1" ht="62.25" customHeight="1" x14ac:dyDescent="0.25">
      <c r="B47" s="22"/>
      <c r="C47" s="30">
        <v>79800000</v>
      </c>
      <c r="D47" s="23" t="s">
        <v>81</v>
      </c>
      <c r="E47" s="64">
        <v>10000</v>
      </c>
      <c r="F47" s="25" t="s">
        <v>64</v>
      </c>
      <c r="G47" s="26" t="s">
        <v>125</v>
      </c>
      <c r="H47" s="26"/>
    </row>
    <row r="48" spans="2:10" s="18" customFormat="1" ht="62.25" customHeight="1" x14ac:dyDescent="0.25">
      <c r="B48" s="23"/>
      <c r="C48" s="23" t="s">
        <v>53</v>
      </c>
      <c r="D48" s="23" t="s">
        <v>65</v>
      </c>
      <c r="E48" s="64">
        <f>20000+12000</f>
        <v>32000</v>
      </c>
      <c r="F48" s="25" t="s">
        <v>61</v>
      </c>
      <c r="G48" s="26" t="s">
        <v>125</v>
      </c>
      <c r="H48" s="23" t="s">
        <v>68</v>
      </c>
    </row>
    <row r="49" spans="2:13" s="18" customFormat="1" ht="62.25" customHeight="1" x14ac:dyDescent="0.25">
      <c r="B49" s="23"/>
      <c r="C49" s="38" t="s">
        <v>24</v>
      </c>
      <c r="D49" s="23" t="s">
        <v>71</v>
      </c>
      <c r="E49" s="64">
        <v>12000</v>
      </c>
      <c r="F49" s="25" t="s">
        <v>64</v>
      </c>
      <c r="G49" s="26" t="s">
        <v>125</v>
      </c>
      <c r="H49" s="23"/>
    </row>
    <row r="50" spans="2:13" s="18" customFormat="1" ht="62.25" customHeight="1" x14ac:dyDescent="0.25">
      <c r="B50" s="23"/>
      <c r="C50" s="38" t="s">
        <v>122</v>
      </c>
      <c r="D50" s="23" t="s">
        <v>123</v>
      </c>
      <c r="E50" s="64">
        <v>1000</v>
      </c>
      <c r="F50" s="25" t="s">
        <v>61</v>
      </c>
      <c r="G50" s="26" t="s">
        <v>125</v>
      </c>
      <c r="H50" s="23"/>
    </row>
    <row r="51" spans="2:13" s="18" customFormat="1" ht="60.75" customHeight="1" x14ac:dyDescent="0.25">
      <c r="B51" s="23"/>
      <c r="C51" s="23" t="s">
        <v>82</v>
      </c>
      <c r="D51" s="23" t="s">
        <v>83</v>
      </c>
      <c r="E51" s="64">
        <v>20000</v>
      </c>
      <c r="F51" s="25" t="s">
        <v>64</v>
      </c>
      <c r="G51" s="26" t="s">
        <v>125</v>
      </c>
      <c r="H51" s="31"/>
    </row>
    <row r="52" spans="2:13" s="18" customFormat="1" ht="36.75" customHeight="1" x14ac:dyDescent="0.25">
      <c r="B52" s="22"/>
      <c r="C52" s="23" t="s">
        <v>12</v>
      </c>
      <c r="D52" s="23" t="s">
        <v>19</v>
      </c>
      <c r="E52" s="64">
        <v>80000</v>
      </c>
      <c r="F52" s="25" t="s">
        <v>64</v>
      </c>
      <c r="G52" s="26" t="s">
        <v>125</v>
      </c>
      <c r="H52" s="31"/>
    </row>
    <row r="53" spans="2:13" s="18" customFormat="1" ht="54.75" customHeight="1" x14ac:dyDescent="0.25">
      <c r="B53" s="22"/>
      <c r="C53" s="23" t="s">
        <v>115</v>
      </c>
      <c r="D53" s="23" t="s">
        <v>116</v>
      </c>
      <c r="E53" s="64">
        <v>15000</v>
      </c>
      <c r="F53" s="25" t="s">
        <v>61</v>
      </c>
      <c r="G53" s="26" t="s">
        <v>125</v>
      </c>
      <c r="H53" s="26" t="s">
        <v>79</v>
      </c>
    </row>
    <row r="54" spans="2:13" s="1" customFormat="1" ht="75" customHeight="1" x14ac:dyDescent="0.25">
      <c r="B54" s="126" t="s">
        <v>30</v>
      </c>
      <c r="C54" s="127"/>
      <c r="D54" s="127"/>
      <c r="E54" s="16">
        <f>SUM(E55:E56)</f>
        <v>1710000</v>
      </c>
      <c r="F54" s="13"/>
      <c r="G54" s="14"/>
      <c r="H54" s="10"/>
      <c r="I54" s="61"/>
      <c r="J54" s="62"/>
    </row>
    <row r="55" spans="2:13" s="18" customFormat="1" ht="59.25" customHeight="1" x14ac:dyDescent="0.25">
      <c r="B55" s="22"/>
      <c r="C55" s="23" t="s">
        <v>24</v>
      </c>
      <c r="D55" s="23" t="s">
        <v>71</v>
      </c>
      <c r="E55" s="64">
        <f>1710000-142500</f>
        <v>1567500</v>
      </c>
      <c r="F55" s="25" t="s">
        <v>64</v>
      </c>
      <c r="G55" s="26" t="s">
        <v>125</v>
      </c>
      <c r="H55" s="41"/>
    </row>
    <row r="56" spans="2:13" s="18" customFormat="1" ht="98.25" customHeight="1" x14ac:dyDescent="0.25">
      <c r="B56" s="47"/>
      <c r="C56" s="23" t="s">
        <v>24</v>
      </c>
      <c r="D56" s="23" t="s">
        <v>71</v>
      </c>
      <c r="E56" s="64">
        <v>142500</v>
      </c>
      <c r="F56" s="25" t="s">
        <v>61</v>
      </c>
      <c r="G56" s="26" t="s">
        <v>125</v>
      </c>
      <c r="H56" s="48" t="s">
        <v>128</v>
      </c>
      <c r="J56" s="21"/>
    </row>
    <row r="57" spans="2:13" s="1" customFormat="1" ht="31.5" customHeight="1" x14ac:dyDescent="0.25">
      <c r="B57" s="126" t="s">
        <v>34</v>
      </c>
      <c r="C57" s="127"/>
      <c r="D57" s="127"/>
      <c r="E57" s="16">
        <f>SUM(E58:E60)</f>
        <v>22370000</v>
      </c>
      <c r="F57" s="13"/>
      <c r="G57" s="9"/>
      <c r="H57" s="10"/>
      <c r="I57" s="61"/>
      <c r="J57" s="62"/>
    </row>
    <row r="58" spans="2:13" s="18" customFormat="1" ht="75.75" customHeight="1" x14ac:dyDescent="0.25">
      <c r="B58" s="22"/>
      <c r="C58" s="23" t="s">
        <v>7</v>
      </c>
      <c r="D58" s="23" t="s">
        <v>57</v>
      </c>
      <c r="E58" s="64">
        <f>123443.2+100000</f>
        <v>223443.20000000001</v>
      </c>
      <c r="F58" s="25" t="s">
        <v>61</v>
      </c>
      <c r="G58" s="26" t="s">
        <v>125</v>
      </c>
      <c r="H58" s="48" t="s">
        <v>97</v>
      </c>
    </row>
    <row r="59" spans="2:13" s="18" customFormat="1" ht="121.5" customHeight="1" x14ac:dyDescent="0.25">
      <c r="B59" s="22"/>
      <c r="C59" s="23">
        <v>33600000</v>
      </c>
      <c r="D59" s="23" t="s">
        <v>29</v>
      </c>
      <c r="E59" s="64">
        <v>663000</v>
      </c>
      <c r="F59" s="25" t="s">
        <v>64</v>
      </c>
      <c r="G59" s="26" t="s">
        <v>125</v>
      </c>
      <c r="H59" s="41"/>
      <c r="J59" s="21"/>
      <c r="L59" s="21"/>
      <c r="M59" s="21"/>
    </row>
    <row r="60" spans="2:13" s="18" customFormat="1" ht="87.75" customHeight="1" x14ac:dyDescent="0.25">
      <c r="B60" s="47"/>
      <c r="C60" s="23" t="s">
        <v>32</v>
      </c>
      <c r="D60" s="23" t="s">
        <v>29</v>
      </c>
      <c r="E60" s="64">
        <v>21483556.800000001</v>
      </c>
      <c r="F60" s="25" t="s">
        <v>61</v>
      </c>
      <c r="G60" s="26" t="s">
        <v>125</v>
      </c>
      <c r="H60" s="48" t="s">
        <v>98</v>
      </c>
      <c r="J60" s="21"/>
      <c r="K60" s="21"/>
    </row>
    <row r="61" spans="2:13" s="1" customFormat="1" ht="60" customHeight="1" x14ac:dyDescent="0.25">
      <c r="B61" s="126" t="s">
        <v>31</v>
      </c>
      <c r="C61" s="127"/>
      <c r="D61" s="127"/>
      <c r="E61" s="16">
        <f>SUM(E62:E66)</f>
        <v>1700000</v>
      </c>
      <c r="F61" s="13"/>
      <c r="G61" s="14"/>
      <c r="H61" s="10"/>
      <c r="I61" s="61"/>
      <c r="J61" s="62"/>
    </row>
    <row r="62" spans="2:13" s="18" customFormat="1" ht="36.75" customHeight="1" x14ac:dyDescent="0.25">
      <c r="B62" s="22"/>
      <c r="C62" s="23" t="s">
        <v>7</v>
      </c>
      <c r="D62" s="23" t="s">
        <v>28</v>
      </c>
      <c r="E62" s="64">
        <v>52272.9</v>
      </c>
      <c r="F62" s="25" t="s">
        <v>64</v>
      </c>
      <c r="G62" s="26" t="s">
        <v>125</v>
      </c>
      <c r="H62" s="41"/>
    </row>
    <row r="63" spans="2:13" s="18" customFormat="1" ht="30.75" customHeight="1" x14ac:dyDescent="0.25">
      <c r="B63" s="22"/>
      <c r="C63" s="23" t="s">
        <v>32</v>
      </c>
      <c r="D63" s="23" t="s">
        <v>29</v>
      </c>
      <c r="E63" s="64">
        <f>200847.5</f>
        <v>200847.5</v>
      </c>
      <c r="F63" s="25" t="s">
        <v>64</v>
      </c>
      <c r="G63" s="26" t="s">
        <v>125</v>
      </c>
      <c r="H63" s="41"/>
    </row>
    <row r="64" spans="2:13" s="18" customFormat="1" ht="45" customHeight="1" x14ac:dyDescent="0.25">
      <c r="B64" s="47"/>
      <c r="C64" s="23" t="s">
        <v>89</v>
      </c>
      <c r="D64" s="23" t="s">
        <v>90</v>
      </c>
      <c r="E64" s="64">
        <f>816000-200000</f>
        <v>616000</v>
      </c>
      <c r="F64" s="25" t="s">
        <v>64</v>
      </c>
      <c r="G64" s="26" t="s">
        <v>125</v>
      </c>
      <c r="H64" s="48"/>
    </row>
    <row r="65" spans="2:10" s="18" customFormat="1" ht="78.75" x14ac:dyDescent="0.25">
      <c r="B65" s="47"/>
      <c r="C65" s="23" t="s">
        <v>24</v>
      </c>
      <c r="D65" s="23" t="s">
        <v>71</v>
      </c>
      <c r="E65" s="64">
        <v>69239.960000000006</v>
      </c>
      <c r="F65" s="25" t="s">
        <v>61</v>
      </c>
      <c r="G65" s="26" t="s">
        <v>125</v>
      </c>
      <c r="H65" s="48" t="s">
        <v>129</v>
      </c>
      <c r="J65" s="21"/>
    </row>
    <row r="66" spans="2:10" s="18" customFormat="1" ht="60" customHeight="1" x14ac:dyDescent="0.25">
      <c r="B66" s="51"/>
      <c r="C66" s="23" t="s">
        <v>24</v>
      </c>
      <c r="D66" s="23" t="s">
        <v>71</v>
      </c>
      <c r="E66" s="64">
        <f>830879.6-69239.96</f>
        <v>761639.64</v>
      </c>
      <c r="F66" s="25" t="s">
        <v>64</v>
      </c>
      <c r="G66" s="26" t="s">
        <v>125</v>
      </c>
      <c r="H66" s="48"/>
    </row>
    <row r="67" spans="2:10" s="1" customFormat="1" ht="65.25" customHeight="1" x14ac:dyDescent="0.25">
      <c r="B67" s="126" t="s">
        <v>35</v>
      </c>
      <c r="C67" s="127"/>
      <c r="D67" s="127"/>
      <c r="E67" s="16">
        <f>SUM(E68:E70)</f>
        <v>1630006</v>
      </c>
      <c r="F67" s="13"/>
      <c r="G67" s="14"/>
      <c r="H67" s="10"/>
      <c r="I67" s="61"/>
      <c r="J67" s="62"/>
    </row>
    <row r="68" spans="2:10" s="18" customFormat="1" ht="33.75" x14ac:dyDescent="0.25">
      <c r="B68" s="49"/>
      <c r="C68" s="36" t="s">
        <v>25</v>
      </c>
      <c r="D68" s="36" t="s">
        <v>69</v>
      </c>
      <c r="E68" s="64">
        <v>100000</v>
      </c>
      <c r="F68" s="43" t="s">
        <v>64</v>
      </c>
      <c r="G68" s="26" t="s">
        <v>125</v>
      </c>
      <c r="H68" s="44"/>
    </row>
    <row r="69" spans="2:10" s="18" customFormat="1" ht="78.75" x14ac:dyDescent="0.25">
      <c r="B69" s="22"/>
      <c r="C69" s="23">
        <v>85100000</v>
      </c>
      <c r="D69" s="23" t="s">
        <v>71</v>
      </c>
      <c r="E69" s="64">
        <v>127500.5</v>
      </c>
      <c r="F69" s="25" t="s">
        <v>61</v>
      </c>
      <c r="G69" s="26" t="s">
        <v>125</v>
      </c>
      <c r="H69" s="45" t="s">
        <v>124</v>
      </c>
    </row>
    <row r="70" spans="2:10" s="18" customFormat="1" ht="60.75" customHeight="1" x14ac:dyDescent="0.25">
      <c r="B70" s="50"/>
      <c r="C70" s="23">
        <v>85100000</v>
      </c>
      <c r="D70" s="23" t="s">
        <v>71</v>
      </c>
      <c r="E70" s="64">
        <f>1530006-127500.5</f>
        <v>1402505.5</v>
      </c>
      <c r="F70" s="25" t="s">
        <v>64</v>
      </c>
      <c r="G70" s="26" t="s">
        <v>125</v>
      </c>
      <c r="H70" s="45"/>
    </row>
    <row r="71" spans="2:10" s="1" customFormat="1" ht="61.5" customHeight="1" x14ac:dyDescent="0.25">
      <c r="B71" s="126" t="s">
        <v>72</v>
      </c>
      <c r="C71" s="127"/>
      <c r="D71" s="127"/>
      <c r="E71" s="16">
        <f>SUM(E72:E73)</f>
        <v>170000</v>
      </c>
      <c r="F71" s="13"/>
      <c r="G71" s="14"/>
      <c r="H71" s="10"/>
      <c r="I71" s="61"/>
      <c r="J71" s="62"/>
    </row>
    <row r="72" spans="2:10" s="18" customFormat="1" ht="70.5" customHeight="1" x14ac:dyDescent="0.25">
      <c r="B72" s="47"/>
      <c r="C72" s="23" t="s">
        <v>24</v>
      </c>
      <c r="D72" s="23" t="s">
        <v>71</v>
      </c>
      <c r="E72" s="64">
        <v>14166.6</v>
      </c>
      <c r="F72" s="25" t="s">
        <v>61</v>
      </c>
      <c r="G72" s="26" t="s">
        <v>125</v>
      </c>
      <c r="H72" s="48" t="s">
        <v>76</v>
      </c>
    </row>
    <row r="73" spans="2:10" s="18" customFormat="1" ht="75" customHeight="1" x14ac:dyDescent="0.25">
      <c r="B73" s="52"/>
      <c r="C73" s="23" t="s">
        <v>24</v>
      </c>
      <c r="D73" s="23" t="s">
        <v>71</v>
      </c>
      <c r="E73" s="64">
        <f>170000-14166.6</f>
        <v>155833.4</v>
      </c>
      <c r="F73" s="25" t="s">
        <v>64</v>
      </c>
      <c r="G73" s="26" t="s">
        <v>125</v>
      </c>
      <c r="H73" s="48"/>
    </row>
    <row r="74" spans="2:10" s="1" customFormat="1" ht="65.25" customHeight="1" x14ac:dyDescent="0.25">
      <c r="B74" s="121" t="s">
        <v>36</v>
      </c>
      <c r="C74" s="122"/>
      <c r="D74" s="122"/>
      <c r="E74" s="16">
        <f>SUM(E75:E79)</f>
        <v>1033769.8999999999</v>
      </c>
      <c r="F74" s="13"/>
      <c r="G74" s="14"/>
      <c r="H74" s="60"/>
      <c r="I74" s="61"/>
      <c r="J74" s="62"/>
    </row>
    <row r="75" spans="2:10" s="18" customFormat="1" ht="49.5" customHeight="1" x14ac:dyDescent="0.25">
      <c r="B75" s="22"/>
      <c r="C75" s="23" t="s">
        <v>14</v>
      </c>
      <c r="D75" s="23" t="s">
        <v>15</v>
      </c>
      <c r="E75" s="64">
        <v>24200</v>
      </c>
      <c r="F75" s="25" t="s">
        <v>60</v>
      </c>
      <c r="G75" s="26" t="s">
        <v>125</v>
      </c>
      <c r="H75" s="41"/>
    </row>
    <row r="76" spans="2:10" s="18" customFormat="1" ht="33.75" x14ac:dyDescent="0.25">
      <c r="B76" s="27"/>
      <c r="C76" s="28">
        <v>33100000</v>
      </c>
      <c r="D76" s="28" t="s">
        <v>28</v>
      </c>
      <c r="E76" s="64">
        <v>406770.2</v>
      </c>
      <c r="F76" s="29" t="s">
        <v>64</v>
      </c>
      <c r="G76" s="26" t="s">
        <v>125</v>
      </c>
      <c r="H76" s="46"/>
    </row>
    <row r="77" spans="2:10" s="18" customFormat="1" ht="60.75" customHeight="1" x14ac:dyDescent="0.25">
      <c r="B77" s="47"/>
      <c r="C77" s="23" t="s">
        <v>59</v>
      </c>
      <c r="D77" s="23" t="s">
        <v>44</v>
      </c>
      <c r="E77" s="64">
        <v>15000</v>
      </c>
      <c r="F77" s="25" t="s">
        <v>64</v>
      </c>
      <c r="G77" s="26" t="s">
        <v>125</v>
      </c>
      <c r="H77" s="41"/>
    </row>
    <row r="78" spans="2:10" s="18" customFormat="1" ht="75" customHeight="1" x14ac:dyDescent="0.25">
      <c r="B78" s="47"/>
      <c r="C78" s="23">
        <v>85100000</v>
      </c>
      <c r="D78" s="23" t="s">
        <v>71</v>
      </c>
      <c r="E78" s="64">
        <v>48983</v>
      </c>
      <c r="F78" s="25" t="s">
        <v>61</v>
      </c>
      <c r="G78" s="26" t="s">
        <v>125</v>
      </c>
      <c r="H78" s="48" t="s">
        <v>126</v>
      </c>
    </row>
    <row r="79" spans="2:10" s="18" customFormat="1" ht="65.25" customHeight="1" x14ac:dyDescent="0.25">
      <c r="B79" s="47"/>
      <c r="C79" s="23">
        <v>85100000</v>
      </c>
      <c r="D79" s="23" t="s">
        <v>71</v>
      </c>
      <c r="E79" s="64">
        <f>587800-48983.3</f>
        <v>538816.69999999995</v>
      </c>
      <c r="F79" s="25" t="s">
        <v>64</v>
      </c>
      <c r="G79" s="26" t="s">
        <v>125</v>
      </c>
      <c r="H79" s="48"/>
    </row>
    <row r="80" spans="2:10" s="1" customFormat="1" ht="80.25" customHeight="1" x14ac:dyDescent="0.25">
      <c r="B80" s="126" t="s">
        <v>74</v>
      </c>
      <c r="C80" s="127"/>
      <c r="D80" s="127"/>
      <c r="E80" s="16">
        <f>SUM(E81:E81)</f>
        <v>1250000</v>
      </c>
      <c r="F80" s="13"/>
      <c r="G80" s="14"/>
      <c r="H80" s="10"/>
      <c r="I80" s="61"/>
      <c r="J80" s="62"/>
    </row>
    <row r="81" spans="2:10" s="18" customFormat="1" ht="84.75" customHeight="1" x14ac:dyDescent="0.25">
      <c r="B81" s="51"/>
      <c r="C81" s="23" t="s">
        <v>32</v>
      </c>
      <c r="D81" s="23" t="s">
        <v>29</v>
      </c>
      <c r="E81" s="64">
        <v>1250000</v>
      </c>
      <c r="F81" s="25" t="s">
        <v>64</v>
      </c>
      <c r="G81" s="26" t="s">
        <v>125</v>
      </c>
      <c r="H81" s="32"/>
    </row>
    <row r="82" spans="2:10" s="1" customFormat="1" ht="57.75" customHeight="1" x14ac:dyDescent="0.25">
      <c r="B82" s="119" t="s">
        <v>37</v>
      </c>
      <c r="C82" s="120"/>
      <c r="D82" s="120"/>
      <c r="E82" s="57">
        <f>SUM(E83:E86)</f>
        <v>4000000.0000000005</v>
      </c>
      <c r="F82" s="58"/>
      <c r="G82" s="58"/>
      <c r="H82" s="59"/>
      <c r="I82" s="61"/>
      <c r="J82" s="62"/>
    </row>
    <row r="83" spans="2:10" s="18" customFormat="1" ht="29.25" customHeight="1" x14ac:dyDescent="0.25">
      <c r="B83" s="23"/>
      <c r="C83" s="38">
        <v>33100000</v>
      </c>
      <c r="D83" s="23" t="s">
        <v>8</v>
      </c>
      <c r="E83" s="64">
        <v>124876.2</v>
      </c>
      <c r="F83" s="25" t="s">
        <v>64</v>
      </c>
      <c r="G83" s="26" t="s">
        <v>125</v>
      </c>
      <c r="H83" s="26"/>
    </row>
    <row r="84" spans="2:10" s="18" customFormat="1" ht="33.75" x14ac:dyDescent="0.25">
      <c r="B84" s="23"/>
      <c r="C84" s="38" t="s">
        <v>32</v>
      </c>
      <c r="D84" s="23" t="s">
        <v>9</v>
      </c>
      <c r="E84" s="64">
        <f>2995349.4-3495.8</f>
        <v>2991853.6</v>
      </c>
      <c r="F84" s="25" t="s">
        <v>64</v>
      </c>
      <c r="G84" s="26" t="s">
        <v>125</v>
      </c>
      <c r="H84" s="26"/>
    </row>
    <row r="85" spans="2:10" s="18" customFormat="1" ht="67.5" x14ac:dyDescent="0.25">
      <c r="B85" s="22"/>
      <c r="C85" s="38" t="s">
        <v>24</v>
      </c>
      <c r="D85" s="23" t="s">
        <v>71</v>
      </c>
      <c r="E85" s="64">
        <v>73605.850000000006</v>
      </c>
      <c r="F85" s="25" t="s">
        <v>61</v>
      </c>
      <c r="G85" s="26" t="s">
        <v>125</v>
      </c>
      <c r="H85" s="40" t="s">
        <v>127</v>
      </c>
    </row>
    <row r="86" spans="2:10" s="18" customFormat="1" ht="42.75" customHeight="1" x14ac:dyDescent="0.25">
      <c r="B86" s="39"/>
      <c r="C86" s="23" t="s">
        <v>24</v>
      </c>
      <c r="D86" s="23" t="s">
        <v>71</v>
      </c>
      <c r="E86" s="64">
        <f>883270.2-73605.85</f>
        <v>809664.35</v>
      </c>
      <c r="F86" s="25" t="s">
        <v>64</v>
      </c>
      <c r="G86" s="26" t="s">
        <v>125</v>
      </c>
      <c r="H86" s="40"/>
    </row>
    <row r="87" spans="2:10" ht="81.75" customHeight="1" x14ac:dyDescent="0.25">
      <c r="B87" s="126" t="s">
        <v>75</v>
      </c>
      <c r="C87" s="127"/>
      <c r="D87" s="127"/>
      <c r="E87" s="16">
        <f>SUM(E88)</f>
        <v>2412977.7999999998</v>
      </c>
      <c r="F87" s="13"/>
      <c r="G87" s="14"/>
      <c r="H87" s="10"/>
      <c r="I87" s="61"/>
      <c r="J87" s="63"/>
    </row>
    <row r="88" spans="2:10" s="18" customFormat="1" ht="117.75" customHeight="1" x14ac:dyDescent="0.25">
      <c r="B88" s="51"/>
      <c r="C88" s="23" t="s">
        <v>32</v>
      </c>
      <c r="D88" s="23" t="s">
        <v>29</v>
      </c>
      <c r="E88" s="64">
        <f>1240900.7+1172077.1</f>
        <v>2412977.7999999998</v>
      </c>
      <c r="F88" s="25" t="s">
        <v>64</v>
      </c>
      <c r="G88" s="26" t="s">
        <v>125</v>
      </c>
      <c r="H88" s="48"/>
    </row>
    <row r="89" spans="2:10" s="1" customFormat="1" ht="57" customHeight="1" x14ac:dyDescent="0.25">
      <c r="B89" s="121" t="s">
        <v>38</v>
      </c>
      <c r="C89" s="122"/>
      <c r="D89" s="122"/>
      <c r="E89" s="16">
        <f>SUM(E90:E93)</f>
        <v>430712.02</v>
      </c>
      <c r="F89" s="13"/>
      <c r="G89" s="60"/>
      <c r="H89" s="60"/>
      <c r="I89" s="61"/>
      <c r="J89" s="62"/>
    </row>
    <row r="90" spans="2:10" s="18" customFormat="1" ht="59.25" customHeight="1" x14ac:dyDescent="0.25">
      <c r="B90" s="22"/>
      <c r="C90" s="23">
        <v>33100000</v>
      </c>
      <c r="D90" s="23" t="s">
        <v>28</v>
      </c>
      <c r="E90" s="56">
        <f>38962-29054.28</f>
        <v>9907.7200000000012</v>
      </c>
      <c r="F90" s="25" t="s">
        <v>64</v>
      </c>
      <c r="G90" s="26" t="s">
        <v>125</v>
      </c>
      <c r="H90" s="41"/>
    </row>
    <row r="91" spans="2:10" s="18" customFormat="1" ht="33.75" x14ac:dyDescent="0.25">
      <c r="B91" s="42"/>
      <c r="C91" s="36">
        <v>33600000</v>
      </c>
      <c r="D91" s="36" t="s">
        <v>29</v>
      </c>
      <c r="E91" s="56">
        <f>266824.3+68000-17770</f>
        <v>317054.3</v>
      </c>
      <c r="F91" s="43" t="s">
        <v>64</v>
      </c>
      <c r="G91" s="26" t="s">
        <v>125</v>
      </c>
      <c r="H91" s="44"/>
    </row>
    <row r="92" spans="2:10" s="18" customFormat="1" ht="78.75" x14ac:dyDescent="0.25">
      <c r="B92" s="22"/>
      <c r="C92" s="38" t="s">
        <v>103</v>
      </c>
      <c r="D92" s="23" t="s">
        <v>71</v>
      </c>
      <c r="E92" s="56">
        <v>8645.83</v>
      </c>
      <c r="F92" s="25" t="s">
        <v>61</v>
      </c>
      <c r="G92" s="26" t="s">
        <v>125</v>
      </c>
      <c r="H92" s="45" t="s">
        <v>130</v>
      </c>
    </row>
    <row r="93" spans="2:10" s="18" customFormat="1" ht="51" customHeight="1" x14ac:dyDescent="0.25">
      <c r="B93" s="22"/>
      <c r="C93" s="38" t="s">
        <v>24</v>
      </c>
      <c r="D93" s="23" t="s">
        <v>71</v>
      </c>
      <c r="E93" s="56">
        <f>103750-8645.83</f>
        <v>95104.17</v>
      </c>
      <c r="F93" s="25" t="s">
        <v>64</v>
      </c>
      <c r="G93" s="26" t="s">
        <v>125</v>
      </c>
      <c r="H93" s="45"/>
    </row>
    <row r="94" spans="2:10" ht="59.25" customHeight="1" x14ac:dyDescent="0.25">
      <c r="B94" s="126" t="s">
        <v>73</v>
      </c>
      <c r="C94" s="127"/>
      <c r="D94" s="127"/>
      <c r="E94" s="16">
        <f>SUM(E95:E95)</f>
        <v>2100000</v>
      </c>
      <c r="F94" s="13"/>
      <c r="G94" s="14"/>
      <c r="H94" s="10"/>
      <c r="I94" s="61"/>
      <c r="J94" s="63"/>
    </row>
    <row r="95" spans="2:10" s="18" customFormat="1" ht="42.75" customHeight="1" x14ac:dyDescent="0.25">
      <c r="B95" s="53"/>
      <c r="C95" s="23" t="s">
        <v>25</v>
      </c>
      <c r="D95" s="23" t="s">
        <v>69</v>
      </c>
      <c r="E95" s="56">
        <f>2100000</f>
        <v>2100000</v>
      </c>
      <c r="F95" s="25" t="s">
        <v>64</v>
      </c>
      <c r="G95" s="26" t="s">
        <v>125</v>
      </c>
      <c r="H95" s="53"/>
    </row>
    <row r="96" spans="2:10" ht="70.5" customHeight="1" x14ac:dyDescent="0.25">
      <c r="B96" s="126" t="s">
        <v>88</v>
      </c>
      <c r="C96" s="127"/>
      <c r="D96" s="127"/>
      <c r="E96" s="16">
        <f>SUM(E97:E98)</f>
        <v>396000</v>
      </c>
      <c r="F96" s="13"/>
      <c r="G96" s="14"/>
      <c r="H96" s="10"/>
      <c r="I96" s="61"/>
      <c r="J96" s="63"/>
    </row>
    <row r="97" spans="2:8" s="18" customFormat="1" ht="33.75" x14ac:dyDescent="0.25">
      <c r="B97" s="27"/>
      <c r="C97" s="28" t="s">
        <v>32</v>
      </c>
      <c r="D97" s="28" t="s">
        <v>29</v>
      </c>
      <c r="E97" s="24">
        <f>264000</f>
        <v>264000</v>
      </c>
      <c r="F97" s="29" t="s">
        <v>64</v>
      </c>
      <c r="G97" s="26" t="s">
        <v>125</v>
      </c>
      <c r="H97" s="27"/>
    </row>
    <row r="98" spans="2:8" s="18" customFormat="1" ht="33.75" x14ac:dyDescent="0.25">
      <c r="B98" s="54"/>
      <c r="C98" s="28" t="s">
        <v>7</v>
      </c>
      <c r="D98" s="28" t="s">
        <v>28</v>
      </c>
      <c r="E98" s="24">
        <v>132000</v>
      </c>
      <c r="F98" s="29" t="s">
        <v>64</v>
      </c>
      <c r="G98" s="26" t="s">
        <v>125</v>
      </c>
      <c r="H98" s="55"/>
    </row>
  </sheetData>
  <autoFilter ref="A8:H98"/>
  <mergeCells count="20">
    <mergeCell ref="B96:D96"/>
    <mergeCell ref="B57:D57"/>
    <mergeCell ref="B54:D54"/>
    <mergeCell ref="B61:D61"/>
    <mergeCell ref="B71:D71"/>
    <mergeCell ref="B94:D94"/>
    <mergeCell ref="B80:D80"/>
    <mergeCell ref="B87:D87"/>
    <mergeCell ref="B67:D67"/>
    <mergeCell ref="B2:H2"/>
    <mergeCell ref="B3:H3"/>
    <mergeCell ref="B4:E4"/>
    <mergeCell ref="F4:H4"/>
    <mergeCell ref="B5:E5"/>
    <mergeCell ref="F5:H5"/>
    <mergeCell ref="B6:F6"/>
    <mergeCell ref="B9:D9"/>
    <mergeCell ref="B82:D82"/>
    <mergeCell ref="B89:D89"/>
    <mergeCell ref="B74:D74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10"/>
  <sheetViews>
    <sheetView topLeftCell="B67" zoomScaleNormal="100" zoomScaleSheetLayoutView="80" workbookViewId="0">
      <selection activeCell="L47" sqref="L47"/>
    </sheetView>
  </sheetViews>
  <sheetFormatPr defaultRowHeight="15" x14ac:dyDescent="0.2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1.5703125" bestFit="1" customWidth="1"/>
    <col min="12" max="12" width="14.28515625" bestFit="1" customWidth="1"/>
    <col min="13" max="13" width="11.5703125" bestFit="1" customWidth="1"/>
  </cols>
  <sheetData>
    <row r="2" spans="2:8" ht="18.75" x14ac:dyDescent="0.25">
      <c r="B2" s="123" t="s">
        <v>41</v>
      </c>
      <c r="C2" s="123"/>
      <c r="D2" s="123"/>
      <c r="E2" s="123"/>
      <c r="F2" s="123"/>
      <c r="G2" s="123"/>
      <c r="H2" s="123"/>
    </row>
    <row r="3" spans="2:8" ht="18.75" x14ac:dyDescent="0.3">
      <c r="B3" s="124" t="s">
        <v>4</v>
      </c>
      <c r="C3" s="124"/>
      <c r="D3" s="124"/>
      <c r="E3" s="124"/>
      <c r="F3" s="124"/>
      <c r="G3" s="124"/>
      <c r="H3" s="124"/>
    </row>
    <row r="4" spans="2:8" x14ac:dyDescent="0.25">
      <c r="B4" s="125" t="s">
        <v>54</v>
      </c>
      <c r="C4" s="125"/>
      <c r="D4" s="125"/>
      <c r="E4" s="125"/>
      <c r="F4" s="125" t="s">
        <v>21</v>
      </c>
      <c r="G4" s="125"/>
      <c r="H4" s="125"/>
    </row>
    <row r="5" spans="2:8" x14ac:dyDescent="0.25">
      <c r="B5" s="125" t="s">
        <v>20</v>
      </c>
      <c r="C5" s="125"/>
      <c r="D5" s="125"/>
      <c r="E5" s="125"/>
      <c r="F5" s="125" t="s">
        <v>10</v>
      </c>
      <c r="G5" s="125"/>
      <c r="H5" s="125"/>
    </row>
    <row r="6" spans="2:8" ht="24.75" customHeight="1" x14ac:dyDescent="0.25">
      <c r="B6" s="115" t="s">
        <v>22</v>
      </c>
      <c r="C6" s="116"/>
      <c r="D6" s="116"/>
      <c r="E6" s="116"/>
      <c r="F6" s="116"/>
      <c r="G6" s="2">
        <f>E9+E58+E63+E69+E75+E79+E82+E88+E90+E95+E97+E103+E107</f>
        <v>43710916.100000001</v>
      </c>
      <c r="H6" s="3" t="s">
        <v>23</v>
      </c>
    </row>
    <row r="7" spans="2:8" ht="25.5" x14ac:dyDescent="0.2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 x14ac:dyDescent="0.25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customHeight="1" x14ac:dyDescent="0.25">
      <c r="B9" s="117" t="s">
        <v>131</v>
      </c>
      <c r="C9" s="118"/>
      <c r="D9" s="118"/>
      <c r="E9" s="15">
        <f>SUM(E10:E57)</f>
        <v>4186249</v>
      </c>
      <c r="F9" s="11"/>
      <c r="G9" s="9"/>
      <c r="H9" s="10"/>
    </row>
    <row r="10" spans="2:8" s="18" customFormat="1" ht="33.75" x14ac:dyDescent="0.2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8" s="18" customFormat="1" ht="33.75" x14ac:dyDescent="0.2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8" s="18" customFormat="1" ht="33.75" x14ac:dyDescent="0.25">
      <c r="B12" s="65" t="s">
        <v>132</v>
      </c>
      <c r="C12" s="23" t="s">
        <v>100</v>
      </c>
      <c r="D12" s="23" t="s">
        <v>101</v>
      </c>
      <c r="E12" s="56">
        <v>500</v>
      </c>
      <c r="F12" s="25" t="s">
        <v>61</v>
      </c>
      <c r="G12" s="26" t="s">
        <v>125</v>
      </c>
      <c r="H12" s="23"/>
    </row>
    <row r="13" spans="2:8" s="19" customFormat="1" ht="33.75" x14ac:dyDescent="0.25">
      <c r="B13" s="65" t="s">
        <v>132</v>
      </c>
      <c r="C13" s="28" t="s">
        <v>50</v>
      </c>
      <c r="D13" s="28" t="s">
        <v>52</v>
      </c>
      <c r="E13" s="56">
        <v>1600</v>
      </c>
      <c r="F13" s="29" t="s">
        <v>61</v>
      </c>
      <c r="G13" s="26" t="s">
        <v>125</v>
      </c>
      <c r="H13" s="28"/>
    </row>
    <row r="14" spans="2:8" s="106" customFormat="1" ht="38.25" customHeight="1" x14ac:dyDescent="0.25">
      <c r="B14" s="104" t="s">
        <v>132</v>
      </c>
      <c r="C14" s="28" t="s">
        <v>159</v>
      </c>
      <c r="D14" s="28" t="s">
        <v>158</v>
      </c>
      <c r="E14" s="24">
        <v>1973</v>
      </c>
      <c r="F14" s="29" t="s">
        <v>61</v>
      </c>
      <c r="G14" s="26" t="s">
        <v>152</v>
      </c>
      <c r="H14" s="28"/>
    </row>
    <row r="15" spans="2:8" s="18" customFormat="1" ht="49.5" customHeight="1" x14ac:dyDescent="0.25">
      <c r="B15" s="65" t="s">
        <v>132</v>
      </c>
      <c r="C15" s="23" t="s">
        <v>39</v>
      </c>
      <c r="D15" s="23" t="s">
        <v>58</v>
      </c>
      <c r="E15" s="56">
        <f>23100</f>
        <v>23100</v>
      </c>
      <c r="F15" s="25" t="s">
        <v>60</v>
      </c>
      <c r="G15" s="26" t="s">
        <v>125</v>
      </c>
      <c r="H15" s="23"/>
    </row>
    <row r="16" spans="2:8" s="18" customFormat="1" ht="49.5" customHeight="1" x14ac:dyDescent="0.25">
      <c r="B16" s="65" t="s">
        <v>132</v>
      </c>
      <c r="C16" s="23" t="s">
        <v>39</v>
      </c>
      <c r="D16" s="23" t="s">
        <v>58</v>
      </c>
      <c r="E16" s="56">
        <f>60000+9000</f>
        <v>69000</v>
      </c>
      <c r="F16" s="25" t="s">
        <v>64</v>
      </c>
      <c r="G16" s="26" t="s">
        <v>125</v>
      </c>
      <c r="H16" s="23"/>
    </row>
    <row r="17" spans="2:8" s="18" customFormat="1" ht="38.25" customHeight="1" x14ac:dyDescent="0.25">
      <c r="B17" s="65" t="s">
        <v>147</v>
      </c>
      <c r="C17" s="30">
        <v>31400000</v>
      </c>
      <c r="D17" s="23" t="s">
        <v>11</v>
      </c>
      <c r="E17" s="56">
        <f>3000+1800</f>
        <v>4800</v>
      </c>
      <c r="F17" s="25" t="s">
        <v>61</v>
      </c>
      <c r="G17" s="26" t="s">
        <v>125</v>
      </c>
      <c r="H17" s="31"/>
    </row>
    <row r="18" spans="2:8" s="18" customFormat="1" ht="38.25" customHeight="1" x14ac:dyDescent="0.25">
      <c r="B18" s="65" t="s">
        <v>147</v>
      </c>
      <c r="C18" s="23" t="s">
        <v>43</v>
      </c>
      <c r="D18" s="23" t="s">
        <v>42</v>
      </c>
      <c r="E18" s="56">
        <v>10000</v>
      </c>
      <c r="F18" s="25" t="s">
        <v>60</v>
      </c>
      <c r="G18" s="26" t="s">
        <v>125</v>
      </c>
      <c r="H18" s="32"/>
    </row>
    <row r="19" spans="2:8" s="18" customFormat="1" ht="33.75" x14ac:dyDescent="0.25">
      <c r="B19" s="65" t="s">
        <v>132</v>
      </c>
      <c r="C19" s="23" t="s">
        <v>92</v>
      </c>
      <c r="D19" s="23" t="s">
        <v>93</v>
      </c>
      <c r="E19" s="56">
        <v>4800</v>
      </c>
      <c r="F19" s="25" t="s">
        <v>91</v>
      </c>
      <c r="G19" s="26" t="s">
        <v>125</v>
      </c>
      <c r="H19" s="31"/>
    </row>
    <row r="20" spans="2:8" s="18" customFormat="1" ht="33.75" x14ac:dyDescent="0.25">
      <c r="B20" s="65" t="s">
        <v>132</v>
      </c>
      <c r="C20" s="23" t="s">
        <v>94</v>
      </c>
      <c r="D20" s="23" t="s">
        <v>95</v>
      </c>
      <c r="E20" s="56">
        <v>4800</v>
      </c>
      <c r="F20" s="25" t="s">
        <v>91</v>
      </c>
      <c r="G20" s="26" t="s">
        <v>125</v>
      </c>
      <c r="H20" s="31"/>
    </row>
    <row r="21" spans="2:8" s="18" customFormat="1" ht="33.75" x14ac:dyDescent="0.25">
      <c r="B21" s="65" t="s">
        <v>132</v>
      </c>
      <c r="C21" s="34">
        <v>39800000</v>
      </c>
      <c r="D21" s="34" t="s">
        <v>84</v>
      </c>
      <c r="E21" s="56">
        <v>4800</v>
      </c>
      <c r="F21" s="25" t="s">
        <v>91</v>
      </c>
      <c r="G21" s="26" t="s">
        <v>125</v>
      </c>
      <c r="H21" s="31"/>
    </row>
    <row r="22" spans="2:8" s="18" customFormat="1" ht="51.75" customHeight="1" x14ac:dyDescent="0.25">
      <c r="B22" s="65" t="s">
        <v>132</v>
      </c>
      <c r="C22" s="84">
        <v>41100000</v>
      </c>
      <c r="D22" s="85" t="s">
        <v>149</v>
      </c>
      <c r="E22" s="56">
        <v>6750</v>
      </c>
      <c r="F22" s="79" t="s">
        <v>64</v>
      </c>
      <c r="G22" s="80" t="s">
        <v>125</v>
      </c>
      <c r="H22" s="81"/>
    </row>
    <row r="23" spans="2:8" s="18" customFormat="1" ht="51.75" customHeight="1" x14ac:dyDescent="0.25">
      <c r="B23" s="65" t="s">
        <v>132</v>
      </c>
      <c r="C23" s="30">
        <v>45400000</v>
      </c>
      <c r="D23" s="34" t="s">
        <v>102</v>
      </c>
      <c r="E23" s="56">
        <v>40000</v>
      </c>
      <c r="F23" s="25" t="s">
        <v>64</v>
      </c>
      <c r="G23" s="26" t="s">
        <v>125</v>
      </c>
      <c r="H23" s="31"/>
    </row>
    <row r="24" spans="2:8" s="18" customFormat="1" ht="37.5" customHeight="1" x14ac:dyDescent="0.25">
      <c r="B24" s="65" t="s">
        <v>133</v>
      </c>
      <c r="C24" s="30">
        <v>48700000</v>
      </c>
      <c r="D24" s="23" t="s">
        <v>104</v>
      </c>
      <c r="E24" s="56">
        <v>30000</v>
      </c>
      <c r="F24" s="25" t="s">
        <v>64</v>
      </c>
      <c r="G24" s="26" t="s">
        <v>125</v>
      </c>
      <c r="H24" s="31"/>
    </row>
    <row r="25" spans="2:8" s="18" customFormat="1" ht="56.25" x14ac:dyDescent="0.25">
      <c r="B25" s="65" t="s">
        <v>132</v>
      </c>
      <c r="C25" s="78">
        <v>50100000</v>
      </c>
      <c r="D25" s="78" t="s">
        <v>44</v>
      </c>
      <c r="E25" s="56">
        <f>10000+30000</f>
        <v>40000</v>
      </c>
      <c r="F25" s="79" t="s">
        <v>61</v>
      </c>
      <c r="G25" s="80" t="s">
        <v>125</v>
      </c>
      <c r="H25" s="102" t="s">
        <v>66</v>
      </c>
    </row>
    <row r="26" spans="2:8" s="1" customFormat="1" ht="92.25" customHeight="1" x14ac:dyDescent="0.25">
      <c r="B26" s="104" t="s">
        <v>132</v>
      </c>
      <c r="C26" s="23" t="s">
        <v>59</v>
      </c>
      <c r="D26" s="23" t="s">
        <v>62</v>
      </c>
      <c r="E26" s="24">
        <f>120000-30000+15000</f>
        <v>105000</v>
      </c>
      <c r="F26" s="25" t="s">
        <v>64</v>
      </c>
      <c r="G26" s="26" t="s">
        <v>125</v>
      </c>
      <c r="H26" s="36"/>
    </row>
    <row r="27" spans="2:8" s="18" customFormat="1" ht="56.25" x14ac:dyDescent="0.25">
      <c r="B27" s="65" t="s">
        <v>132</v>
      </c>
      <c r="C27" s="78">
        <v>50100000</v>
      </c>
      <c r="D27" s="78" t="s">
        <v>44</v>
      </c>
      <c r="E27" s="56">
        <v>2080</v>
      </c>
      <c r="F27" s="79" t="s">
        <v>61</v>
      </c>
      <c r="G27" s="80" t="s">
        <v>160</v>
      </c>
      <c r="H27" s="102" t="s">
        <v>85</v>
      </c>
    </row>
    <row r="28" spans="2:8" s="18" customFormat="1" ht="92.25" customHeight="1" x14ac:dyDescent="0.25">
      <c r="B28" s="65" t="s">
        <v>132</v>
      </c>
      <c r="C28" s="23" t="s">
        <v>107</v>
      </c>
      <c r="D28" s="23" t="s">
        <v>108</v>
      </c>
      <c r="E28" s="56">
        <v>50000</v>
      </c>
      <c r="F28" s="25" t="s">
        <v>64</v>
      </c>
      <c r="G28" s="26" t="s">
        <v>125</v>
      </c>
      <c r="H28" s="31"/>
    </row>
    <row r="29" spans="2:8" s="18" customFormat="1" ht="92.25" customHeight="1" x14ac:dyDescent="0.25">
      <c r="B29" s="65" t="s">
        <v>132</v>
      </c>
      <c r="C29" s="23" t="s">
        <v>105</v>
      </c>
      <c r="D29" s="23" t="s">
        <v>106</v>
      </c>
      <c r="E29" s="56">
        <v>310000</v>
      </c>
      <c r="F29" s="25" t="s">
        <v>64</v>
      </c>
      <c r="G29" s="26" t="s">
        <v>125</v>
      </c>
      <c r="H29" s="36"/>
    </row>
    <row r="30" spans="2:8" s="18" customFormat="1" ht="92.25" customHeight="1" x14ac:dyDescent="0.25">
      <c r="B30" s="65" t="s">
        <v>147</v>
      </c>
      <c r="C30" s="23" t="s">
        <v>109</v>
      </c>
      <c r="D30" s="23" t="s">
        <v>110</v>
      </c>
      <c r="E30" s="56">
        <f>60000+45000-20000</f>
        <v>85000</v>
      </c>
      <c r="F30" s="25" t="s">
        <v>64</v>
      </c>
      <c r="G30" s="26" t="s">
        <v>125</v>
      </c>
      <c r="H30" s="36"/>
    </row>
    <row r="31" spans="2:8" s="18" customFormat="1" ht="102.75" customHeight="1" x14ac:dyDescent="0.25">
      <c r="B31" s="65" t="s">
        <v>132</v>
      </c>
      <c r="C31" s="23" t="s">
        <v>86</v>
      </c>
      <c r="D31" s="23" t="s">
        <v>87</v>
      </c>
      <c r="E31" s="56">
        <v>8000</v>
      </c>
      <c r="F31" s="25" t="s">
        <v>64</v>
      </c>
      <c r="G31" s="26" t="s">
        <v>125</v>
      </c>
      <c r="H31" s="23"/>
    </row>
    <row r="32" spans="2:8" s="18" customFormat="1" ht="115.5" customHeight="1" x14ac:dyDescent="0.25">
      <c r="B32" s="65" t="s">
        <v>132</v>
      </c>
      <c r="C32" s="23">
        <v>50700000</v>
      </c>
      <c r="D32" s="23" t="s">
        <v>13</v>
      </c>
      <c r="E32" s="56">
        <f>1600000-59200</f>
        <v>1540800</v>
      </c>
      <c r="F32" s="23" t="s">
        <v>61</v>
      </c>
      <c r="G32" s="26" t="s">
        <v>125</v>
      </c>
      <c r="H32" s="23" t="s">
        <v>99</v>
      </c>
    </row>
    <row r="33" spans="2:10" s="18" customFormat="1" ht="115.5" customHeight="1" x14ac:dyDescent="0.25">
      <c r="B33" s="65" t="s">
        <v>132</v>
      </c>
      <c r="C33" s="23">
        <v>50700000</v>
      </c>
      <c r="D33" s="23" t="s">
        <v>13</v>
      </c>
      <c r="E33" s="56">
        <f>93000-45000+20000</f>
        <v>68000</v>
      </c>
      <c r="F33" s="23" t="s">
        <v>64</v>
      </c>
      <c r="G33" s="26" t="s">
        <v>125</v>
      </c>
      <c r="H33" s="23"/>
    </row>
    <row r="34" spans="2:10" s="18" customFormat="1" ht="115.5" customHeight="1" x14ac:dyDescent="0.25">
      <c r="B34" s="65" t="s">
        <v>132</v>
      </c>
      <c r="C34" s="78" t="s">
        <v>117</v>
      </c>
      <c r="D34" s="78" t="s">
        <v>118</v>
      </c>
      <c r="E34" s="56">
        <f>120000+68250</f>
        <v>188250</v>
      </c>
      <c r="F34" s="78" t="s">
        <v>64</v>
      </c>
      <c r="G34" s="80" t="s">
        <v>125</v>
      </c>
      <c r="H34" s="78"/>
    </row>
    <row r="35" spans="2:10" s="18" customFormat="1" ht="115.5" customHeight="1" x14ac:dyDescent="0.25">
      <c r="B35" s="65" t="s">
        <v>132</v>
      </c>
      <c r="C35" s="23" t="s">
        <v>111</v>
      </c>
      <c r="D35" s="23" t="s">
        <v>112</v>
      </c>
      <c r="E35" s="56">
        <v>120000</v>
      </c>
      <c r="F35" s="23" t="s">
        <v>64</v>
      </c>
      <c r="G35" s="26" t="s">
        <v>125</v>
      </c>
      <c r="H35" s="23"/>
    </row>
    <row r="36" spans="2:10" s="18" customFormat="1" ht="58.5" customHeight="1" x14ac:dyDescent="0.25">
      <c r="B36" s="65" t="s">
        <v>132</v>
      </c>
      <c r="C36" s="30">
        <v>63700000</v>
      </c>
      <c r="D36" s="23" t="s">
        <v>70</v>
      </c>
      <c r="E36" s="56">
        <v>2000</v>
      </c>
      <c r="F36" s="25" t="s">
        <v>61</v>
      </c>
      <c r="G36" s="26" t="s">
        <v>125</v>
      </c>
      <c r="H36" s="26" t="s">
        <v>85</v>
      </c>
    </row>
    <row r="37" spans="2:10" s="18" customFormat="1" ht="63.75" customHeight="1" x14ac:dyDescent="0.25">
      <c r="B37" s="65" t="s">
        <v>132</v>
      </c>
      <c r="C37" s="23" t="s">
        <v>47</v>
      </c>
      <c r="D37" s="23" t="s">
        <v>48</v>
      </c>
      <c r="E37" s="56">
        <v>6000</v>
      </c>
      <c r="F37" s="25" t="s">
        <v>64</v>
      </c>
      <c r="G37" s="26" t="s">
        <v>125</v>
      </c>
      <c r="H37" s="23"/>
    </row>
    <row r="38" spans="2:10" s="18" customFormat="1" ht="33.75" x14ac:dyDescent="0.25">
      <c r="B38" s="65" t="s">
        <v>132</v>
      </c>
      <c r="C38" s="38" t="s">
        <v>18</v>
      </c>
      <c r="D38" s="23" t="s">
        <v>46</v>
      </c>
      <c r="E38" s="56">
        <v>25000</v>
      </c>
      <c r="F38" s="25" t="s">
        <v>64</v>
      </c>
      <c r="G38" s="26" t="s">
        <v>125</v>
      </c>
      <c r="H38" s="33"/>
    </row>
    <row r="39" spans="2:10" s="18" customFormat="1" ht="56.25" x14ac:dyDescent="0.25">
      <c r="B39" s="65" t="s">
        <v>132</v>
      </c>
      <c r="C39" s="38" t="s">
        <v>18</v>
      </c>
      <c r="D39" s="23" t="s">
        <v>46</v>
      </c>
      <c r="E39" s="56">
        <v>25500</v>
      </c>
      <c r="F39" s="25" t="s">
        <v>61</v>
      </c>
      <c r="G39" s="26" t="s">
        <v>125</v>
      </c>
      <c r="H39" s="26" t="s">
        <v>96</v>
      </c>
    </row>
    <row r="40" spans="2:10" s="18" customFormat="1" ht="56.25" x14ac:dyDescent="0.25">
      <c r="B40" s="67" t="s">
        <v>132</v>
      </c>
      <c r="C40" s="76" t="s">
        <v>161</v>
      </c>
      <c r="D40" s="68" t="s">
        <v>46</v>
      </c>
      <c r="E40" s="69">
        <v>9000</v>
      </c>
      <c r="F40" s="70" t="s">
        <v>61</v>
      </c>
      <c r="G40" s="71" t="s">
        <v>152</v>
      </c>
      <c r="H40" s="71" t="s">
        <v>162</v>
      </c>
    </row>
    <row r="41" spans="2:10" s="18" customFormat="1" ht="33.75" x14ac:dyDescent="0.25">
      <c r="B41" s="65" t="s">
        <v>132</v>
      </c>
      <c r="C41" s="38" t="s">
        <v>18</v>
      </c>
      <c r="D41" s="23" t="s">
        <v>46</v>
      </c>
      <c r="E41" s="56">
        <v>24000</v>
      </c>
      <c r="F41" s="25" t="s">
        <v>60</v>
      </c>
      <c r="G41" s="26" t="s">
        <v>125</v>
      </c>
      <c r="H41" s="33"/>
    </row>
    <row r="42" spans="2:10" s="18" customFormat="1" ht="33.75" x14ac:dyDescent="0.25">
      <c r="B42" s="65" t="s">
        <v>134</v>
      </c>
      <c r="C42" s="38" t="s">
        <v>114</v>
      </c>
      <c r="D42" s="23" t="s">
        <v>113</v>
      </c>
      <c r="E42" s="56">
        <v>30000</v>
      </c>
      <c r="F42" s="25" t="s">
        <v>64</v>
      </c>
      <c r="G42" s="26" t="s">
        <v>125</v>
      </c>
      <c r="H42" s="26"/>
    </row>
    <row r="43" spans="2:10" s="18" customFormat="1" ht="33.75" x14ac:dyDescent="0.25">
      <c r="B43" s="65" t="s">
        <v>132</v>
      </c>
      <c r="C43" s="38" t="s">
        <v>55</v>
      </c>
      <c r="D43" s="23" t="s">
        <v>56</v>
      </c>
      <c r="E43" s="56">
        <v>1680</v>
      </c>
      <c r="F43" s="25" t="s">
        <v>91</v>
      </c>
      <c r="G43" s="26" t="s">
        <v>125</v>
      </c>
      <c r="H43" s="33"/>
    </row>
    <row r="44" spans="2:10" s="18" customFormat="1" ht="57" customHeight="1" x14ac:dyDescent="0.25">
      <c r="B44" s="65" t="s">
        <v>132</v>
      </c>
      <c r="C44" s="77" t="s">
        <v>17</v>
      </c>
      <c r="D44" s="78" t="s">
        <v>16</v>
      </c>
      <c r="E44" s="56">
        <f>90000+34000</f>
        <v>124000</v>
      </c>
      <c r="F44" s="79" t="s">
        <v>61</v>
      </c>
      <c r="G44" s="80" t="s">
        <v>125</v>
      </c>
      <c r="H44" s="80" t="s">
        <v>67</v>
      </c>
    </row>
    <row r="45" spans="2:10" s="18" customFormat="1" ht="65.25" customHeight="1" x14ac:dyDescent="0.25">
      <c r="B45" s="65" t="s">
        <v>132</v>
      </c>
      <c r="C45" s="77" t="s">
        <v>17</v>
      </c>
      <c r="D45" s="78" t="s">
        <v>16</v>
      </c>
      <c r="E45" s="56">
        <f>150+400+266</f>
        <v>816</v>
      </c>
      <c r="F45" s="79" t="s">
        <v>61</v>
      </c>
      <c r="G45" s="80" t="s">
        <v>125</v>
      </c>
      <c r="H45" s="80"/>
      <c r="J45" s="20"/>
    </row>
    <row r="46" spans="2:10" s="18" customFormat="1" ht="56.25" x14ac:dyDescent="0.25">
      <c r="B46" s="65" t="s">
        <v>132</v>
      </c>
      <c r="C46" s="38" t="s">
        <v>77</v>
      </c>
      <c r="D46" s="23" t="s">
        <v>78</v>
      </c>
      <c r="E46" s="56">
        <v>3000</v>
      </c>
      <c r="F46" s="25" t="s">
        <v>61</v>
      </c>
      <c r="G46" s="26" t="s">
        <v>125</v>
      </c>
      <c r="H46" s="26" t="s">
        <v>79</v>
      </c>
    </row>
    <row r="47" spans="2:10" s="18" customFormat="1" ht="75" customHeight="1" x14ac:dyDescent="0.25">
      <c r="B47" s="65" t="s">
        <v>132</v>
      </c>
      <c r="C47" s="77" t="s">
        <v>25</v>
      </c>
      <c r="D47" s="78" t="s">
        <v>119</v>
      </c>
      <c r="E47" s="56">
        <v>100000</v>
      </c>
      <c r="F47" s="79" t="s">
        <v>64</v>
      </c>
      <c r="G47" s="80" t="s">
        <v>125</v>
      </c>
      <c r="H47" s="80"/>
    </row>
    <row r="48" spans="2:10" s="1" customFormat="1" ht="63.75" customHeight="1" x14ac:dyDescent="0.25">
      <c r="B48" s="104" t="s">
        <v>132</v>
      </c>
      <c r="C48" s="23" t="s">
        <v>45</v>
      </c>
      <c r="D48" s="23" t="s">
        <v>63</v>
      </c>
      <c r="E48" s="24">
        <f>6000+3850</f>
        <v>9850</v>
      </c>
      <c r="F48" s="25" t="s">
        <v>64</v>
      </c>
      <c r="G48" s="26" t="s">
        <v>125</v>
      </c>
      <c r="H48" s="26"/>
    </row>
    <row r="49" spans="2:10" s="18" customFormat="1" ht="63.75" customHeight="1" x14ac:dyDescent="0.25">
      <c r="B49" s="65" t="s">
        <v>132</v>
      </c>
      <c r="C49" s="78" t="s">
        <v>120</v>
      </c>
      <c r="D49" s="78" t="s">
        <v>121</v>
      </c>
      <c r="E49" s="56">
        <v>450</v>
      </c>
      <c r="F49" s="79" t="s">
        <v>61</v>
      </c>
      <c r="G49" s="80" t="s">
        <v>125</v>
      </c>
      <c r="H49" s="80"/>
    </row>
    <row r="50" spans="2:10" s="18" customFormat="1" ht="77.25" customHeight="1" x14ac:dyDescent="0.25">
      <c r="B50" s="65" t="s">
        <v>132</v>
      </c>
      <c r="C50" s="30">
        <v>79700000</v>
      </c>
      <c r="D50" s="23" t="s">
        <v>27</v>
      </c>
      <c r="E50" s="56">
        <v>600000</v>
      </c>
      <c r="F50" s="25" t="s">
        <v>61</v>
      </c>
      <c r="G50" s="26" t="s">
        <v>125</v>
      </c>
      <c r="H50" s="26" t="s">
        <v>80</v>
      </c>
    </row>
    <row r="51" spans="2:10" s="18" customFormat="1" ht="62.25" customHeight="1" x14ac:dyDescent="0.25">
      <c r="B51" s="65" t="s">
        <v>132</v>
      </c>
      <c r="C51" s="30">
        <v>79800000</v>
      </c>
      <c r="D51" s="23" t="s">
        <v>81</v>
      </c>
      <c r="E51" s="56">
        <v>10000</v>
      </c>
      <c r="F51" s="25" t="s">
        <v>64</v>
      </c>
      <c r="G51" s="26" t="s">
        <v>125</v>
      </c>
      <c r="H51" s="26"/>
    </row>
    <row r="52" spans="2:10" s="18" customFormat="1" ht="62.25" customHeight="1" x14ac:dyDescent="0.25">
      <c r="B52" s="65" t="s">
        <v>132</v>
      </c>
      <c r="C52" s="23" t="s">
        <v>53</v>
      </c>
      <c r="D52" s="23" t="s">
        <v>65</v>
      </c>
      <c r="E52" s="56">
        <f>20000+12000</f>
        <v>32000</v>
      </c>
      <c r="F52" s="25" t="s">
        <v>61</v>
      </c>
      <c r="G52" s="26" t="s">
        <v>125</v>
      </c>
      <c r="H52" s="23" t="s">
        <v>68</v>
      </c>
    </row>
    <row r="53" spans="2:10" s="18" customFormat="1" ht="62.25" customHeight="1" x14ac:dyDescent="0.25">
      <c r="B53" s="65" t="s">
        <v>132</v>
      </c>
      <c r="C53" s="38" t="s">
        <v>24</v>
      </c>
      <c r="D53" s="23" t="s">
        <v>71</v>
      </c>
      <c r="E53" s="56">
        <v>12000</v>
      </c>
      <c r="F53" s="25" t="s">
        <v>64</v>
      </c>
      <c r="G53" s="26" t="s">
        <v>125</v>
      </c>
      <c r="H53" s="23"/>
    </row>
    <row r="54" spans="2:10" s="18" customFormat="1" ht="62.25" customHeight="1" x14ac:dyDescent="0.25">
      <c r="B54" s="65" t="s">
        <v>132</v>
      </c>
      <c r="C54" s="38" t="s">
        <v>122</v>
      </c>
      <c r="D54" s="23" t="s">
        <v>123</v>
      </c>
      <c r="E54" s="56">
        <v>1000</v>
      </c>
      <c r="F54" s="25" t="s">
        <v>61</v>
      </c>
      <c r="G54" s="26" t="s">
        <v>125</v>
      </c>
      <c r="H54" s="23"/>
    </row>
    <row r="55" spans="2:10" s="18" customFormat="1" ht="60.75" customHeight="1" x14ac:dyDescent="0.25">
      <c r="B55" s="65" t="s">
        <v>132</v>
      </c>
      <c r="C55" s="23" t="s">
        <v>82</v>
      </c>
      <c r="D55" s="23" t="s">
        <v>83</v>
      </c>
      <c r="E55" s="56">
        <v>20000</v>
      </c>
      <c r="F55" s="25" t="s">
        <v>64</v>
      </c>
      <c r="G55" s="26" t="s">
        <v>125</v>
      </c>
      <c r="H55" s="31"/>
    </row>
    <row r="56" spans="2:10" s="18" customFormat="1" ht="36.75" customHeight="1" x14ac:dyDescent="0.25">
      <c r="B56" s="65" t="s">
        <v>132</v>
      </c>
      <c r="C56" s="78" t="s">
        <v>12</v>
      </c>
      <c r="D56" s="78" t="s">
        <v>19</v>
      </c>
      <c r="E56" s="56">
        <f>80000+110000</f>
        <v>190000</v>
      </c>
      <c r="F56" s="79" t="s">
        <v>64</v>
      </c>
      <c r="G56" s="80" t="s">
        <v>125</v>
      </c>
      <c r="H56" s="81"/>
    </row>
    <row r="57" spans="2:10" s="18" customFormat="1" ht="54.75" customHeight="1" x14ac:dyDescent="0.25">
      <c r="B57" s="65" t="s">
        <v>132</v>
      </c>
      <c r="C57" s="23" t="s">
        <v>115</v>
      </c>
      <c r="D57" s="23" t="s">
        <v>116</v>
      </c>
      <c r="E57" s="56">
        <v>15000</v>
      </c>
      <c r="F57" s="25" t="s">
        <v>61</v>
      </c>
      <c r="G57" s="26" t="s">
        <v>125</v>
      </c>
      <c r="H57" s="26" t="s">
        <v>79</v>
      </c>
    </row>
    <row r="58" spans="2:10" s="1" customFormat="1" ht="75" customHeight="1" x14ac:dyDescent="0.25">
      <c r="B58" s="126" t="s">
        <v>135</v>
      </c>
      <c r="C58" s="127"/>
      <c r="D58" s="127"/>
      <c r="E58" s="16">
        <f>SUM(E59:E62)</f>
        <v>1710000</v>
      </c>
      <c r="F58" s="13"/>
      <c r="G58" s="14"/>
      <c r="H58" s="10"/>
      <c r="I58" s="61"/>
      <c r="J58" s="62"/>
    </row>
    <row r="59" spans="2:10" s="1" customFormat="1" ht="59.25" customHeight="1" x14ac:dyDescent="0.25">
      <c r="B59" s="104" t="s">
        <v>132</v>
      </c>
      <c r="C59" s="23" t="s">
        <v>24</v>
      </c>
      <c r="D59" s="23" t="s">
        <v>71</v>
      </c>
      <c r="E59" s="24">
        <f>1710000-142500-E61-E60</f>
        <v>1314302.3999999999</v>
      </c>
      <c r="F59" s="25" t="s">
        <v>64</v>
      </c>
      <c r="G59" s="26" t="s">
        <v>125</v>
      </c>
      <c r="H59" s="41"/>
      <c r="J59" s="62"/>
    </row>
    <row r="60" spans="2:10" s="1" customFormat="1" ht="67.5" x14ac:dyDescent="0.25">
      <c r="B60" s="104" t="s">
        <v>132</v>
      </c>
      <c r="C60" s="23" t="s">
        <v>103</v>
      </c>
      <c r="D60" s="23" t="s">
        <v>71</v>
      </c>
      <c r="E60" s="24">
        <v>33000</v>
      </c>
      <c r="F60" s="25" t="s">
        <v>61</v>
      </c>
      <c r="G60" s="26" t="s">
        <v>151</v>
      </c>
      <c r="H60" s="48" t="s">
        <v>98</v>
      </c>
      <c r="J60" s="62"/>
    </row>
    <row r="61" spans="2:10" s="1" customFormat="1" ht="67.5" x14ac:dyDescent="0.25">
      <c r="B61" s="104" t="s">
        <v>132</v>
      </c>
      <c r="C61" s="23" t="s">
        <v>103</v>
      </c>
      <c r="D61" s="23" t="s">
        <v>71</v>
      </c>
      <c r="E61" s="24">
        <v>220197.6</v>
      </c>
      <c r="F61" s="25" t="s">
        <v>61</v>
      </c>
      <c r="G61" s="26" t="s">
        <v>150</v>
      </c>
      <c r="H61" s="48" t="s">
        <v>98</v>
      </c>
    </row>
    <row r="62" spans="2:10" s="1" customFormat="1" ht="98.25" customHeight="1" x14ac:dyDescent="0.25">
      <c r="B62" s="104" t="s">
        <v>132</v>
      </c>
      <c r="C62" s="23" t="s">
        <v>24</v>
      </c>
      <c r="D62" s="23" t="s">
        <v>71</v>
      </c>
      <c r="E62" s="24">
        <v>142500</v>
      </c>
      <c r="F62" s="25" t="s">
        <v>61</v>
      </c>
      <c r="G62" s="26" t="s">
        <v>125</v>
      </c>
      <c r="H62" s="48" t="s">
        <v>128</v>
      </c>
      <c r="J62" s="62"/>
    </row>
    <row r="63" spans="2:10" s="1" customFormat="1" ht="31.5" customHeight="1" x14ac:dyDescent="0.25">
      <c r="B63" s="126" t="s">
        <v>136</v>
      </c>
      <c r="C63" s="127"/>
      <c r="D63" s="127"/>
      <c r="E63" s="16">
        <f>SUM(E64:E68)</f>
        <v>22370000</v>
      </c>
      <c r="F63" s="13"/>
      <c r="G63" s="9"/>
      <c r="H63" s="10"/>
      <c r="I63" s="61"/>
      <c r="J63" s="62"/>
    </row>
    <row r="64" spans="2:10" s="1" customFormat="1" ht="75.75" customHeight="1" x14ac:dyDescent="0.25">
      <c r="B64" s="104" t="s">
        <v>132</v>
      </c>
      <c r="C64" s="23" t="s">
        <v>7</v>
      </c>
      <c r="D64" s="23" t="s">
        <v>57</v>
      </c>
      <c r="E64" s="24">
        <f>3750000+400000</f>
        <v>4150000</v>
      </c>
      <c r="F64" s="25" t="s">
        <v>61</v>
      </c>
      <c r="G64" s="26" t="s">
        <v>125</v>
      </c>
      <c r="H64" s="48" t="s">
        <v>97</v>
      </c>
    </row>
    <row r="65" spans="2:13" s="1" customFormat="1" ht="75.75" customHeight="1" x14ac:dyDescent="0.25">
      <c r="B65" s="66" t="s">
        <v>133</v>
      </c>
      <c r="C65" s="23" t="s">
        <v>7</v>
      </c>
      <c r="D65" s="23" t="s">
        <v>57</v>
      </c>
      <c r="E65" s="24">
        <v>100000</v>
      </c>
      <c r="F65" s="25" t="s">
        <v>61</v>
      </c>
      <c r="G65" s="26" t="s">
        <v>125</v>
      </c>
      <c r="H65" s="48" t="s">
        <v>97</v>
      </c>
    </row>
    <row r="66" spans="2:13" s="1" customFormat="1" ht="121.5" customHeight="1" x14ac:dyDescent="0.25">
      <c r="B66" s="104" t="s">
        <v>132</v>
      </c>
      <c r="C66" s="23">
        <v>33600000</v>
      </c>
      <c r="D66" s="23" t="s">
        <v>29</v>
      </c>
      <c r="E66" s="24">
        <f>1440000+270000-22680</f>
        <v>1687320</v>
      </c>
      <c r="F66" s="25" t="s">
        <v>64</v>
      </c>
      <c r="G66" s="26" t="s">
        <v>125</v>
      </c>
      <c r="H66" s="41"/>
      <c r="J66" s="62"/>
      <c r="L66" s="62"/>
      <c r="M66" s="62"/>
    </row>
    <row r="67" spans="2:13" s="1" customFormat="1" ht="121.5" customHeight="1" x14ac:dyDescent="0.25">
      <c r="B67" s="104" t="s">
        <v>132</v>
      </c>
      <c r="C67" s="23" t="s">
        <v>32</v>
      </c>
      <c r="D67" s="23" t="s">
        <v>29</v>
      </c>
      <c r="E67" s="24">
        <v>22680</v>
      </c>
      <c r="F67" s="25" t="s">
        <v>61</v>
      </c>
      <c r="G67" s="26" t="s">
        <v>150</v>
      </c>
      <c r="H67" s="48" t="s">
        <v>157</v>
      </c>
      <c r="J67" s="62"/>
      <c r="L67" s="62"/>
      <c r="M67" s="62"/>
    </row>
    <row r="68" spans="2:13" s="1" customFormat="1" ht="87.75" customHeight="1" x14ac:dyDescent="0.25">
      <c r="B68" s="104" t="s">
        <v>132</v>
      </c>
      <c r="C68" s="23" t="s">
        <v>32</v>
      </c>
      <c r="D68" s="23" t="s">
        <v>29</v>
      </c>
      <c r="E68" s="24">
        <v>16410000</v>
      </c>
      <c r="F68" s="25" t="s">
        <v>61</v>
      </c>
      <c r="G68" s="26" t="s">
        <v>125</v>
      </c>
      <c r="H68" s="48" t="s">
        <v>98</v>
      </c>
      <c r="J68" s="62"/>
      <c r="K68" s="62"/>
    </row>
    <row r="69" spans="2:13" s="1" customFormat="1" ht="60" customHeight="1" x14ac:dyDescent="0.25">
      <c r="B69" s="126" t="s">
        <v>137</v>
      </c>
      <c r="C69" s="127"/>
      <c r="D69" s="127"/>
      <c r="E69" s="16">
        <f>SUM(E70:E74)</f>
        <v>1700000</v>
      </c>
      <c r="F69" s="13"/>
      <c r="G69" s="14"/>
      <c r="H69" s="10"/>
      <c r="I69" s="61"/>
      <c r="J69" s="105"/>
    </row>
    <row r="70" spans="2:13" s="1" customFormat="1" ht="36.75" customHeight="1" x14ac:dyDescent="0.25">
      <c r="B70" s="104" t="s">
        <v>132</v>
      </c>
      <c r="C70" s="23" t="s">
        <v>7</v>
      </c>
      <c r="D70" s="23" t="s">
        <v>28</v>
      </c>
      <c r="E70" s="24">
        <v>52272.9</v>
      </c>
      <c r="F70" s="25" t="s">
        <v>64</v>
      </c>
      <c r="G70" s="26" t="s">
        <v>125</v>
      </c>
      <c r="H70" s="41"/>
    </row>
    <row r="71" spans="2:13" s="1" customFormat="1" ht="51" customHeight="1" x14ac:dyDescent="0.25">
      <c r="B71" s="104" t="s">
        <v>132</v>
      </c>
      <c r="C71" s="23" t="s">
        <v>32</v>
      </c>
      <c r="D71" s="23" t="s">
        <v>29</v>
      </c>
      <c r="E71" s="24">
        <f>200847.5-132940.36</f>
        <v>67907.140000000014</v>
      </c>
      <c r="F71" s="25" t="s">
        <v>64</v>
      </c>
      <c r="G71" s="26" t="s">
        <v>125</v>
      </c>
      <c r="H71" s="41"/>
      <c r="J71" s="62"/>
    </row>
    <row r="72" spans="2:13" s="1" customFormat="1" ht="45" customHeight="1" x14ac:dyDescent="0.25">
      <c r="B72" s="104" t="s">
        <v>132</v>
      </c>
      <c r="C72" s="23" t="s">
        <v>89</v>
      </c>
      <c r="D72" s="23" t="s">
        <v>90</v>
      </c>
      <c r="E72" s="24">
        <f>816000-200000</f>
        <v>616000</v>
      </c>
      <c r="F72" s="25" t="s">
        <v>64</v>
      </c>
      <c r="G72" s="26" t="s">
        <v>125</v>
      </c>
      <c r="H72" s="48"/>
    </row>
    <row r="73" spans="2:13" s="1" customFormat="1" ht="78.75" x14ac:dyDescent="0.25">
      <c r="B73" s="104" t="s">
        <v>132</v>
      </c>
      <c r="C73" s="23" t="s">
        <v>24</v>
      </c>
      <c r="D73" s="23" t="s">
        <v>71</v>
      </c>
      <c r="E73" s="24">
        <v>69239.960000000006</v>
      </c>
      <c r="F73" s="25" t="s">
        <v>61</v>
      </c>
      <c r="G73" s="26" t="s">
        <v>125</v>
      </c>
      <c r="H73" s="48" t="s">
        <v>129</v>
      </c>
      <c r="J73" s="62"/>
    </row>
    <row r="74" spans="2:13" s="1" customFormat="1" ht="67.5" x14ac:dyDescent="0.25">
      <c r="B74" s="104" t="s">
        <v>132</v>
      </c>
      <c r="C74" s="23" t="s">
        <v>24</v>
      </c>
      <c r="D74" s="23" t="s">
        <v>71</v>
      </c>
      <c r="E74" s="24">
        <f>894580</f>
        <v>894580</v>
      </c>
      <c r="F74" s="25" t="s">
        <v>61</v>
      </c>
      <c r="G74" s="26" t="s">
        <v>152</v>
      </c>
      <c r="H74" s="48" t="s">
        <v>98</v>
      </c>
    </row>
    <row r="75" spans="2:13" s="1" customFormat="1" ht="65.25" customHeight="1" x14ac:dyDescent="0.25">
      <c r="B75" s="126" t="s">
        <v>138</v>
      </c>
      <c r="C75" s="127"/>
      <c r="D75" s="127"/>
      <c r="E75" s="16">
        <f>SUM(E76:E78)</f>
        <v>1753700.5</v>
      </c>
      <c r="F75" s="13"/>
      <c r="G75" s="14"/>
      <c r="H75" s="10"/>
      <c r="I75" s="61"/>
      <c r="J75" s="62"/>
    </row>
    <row r="76" spans="2:13" s="1" customFormat="1" ht="33.75" x14ac:dyDescent="0.25">
      <c r="B76" s="104" t="s">
        <v>132</v>
      </c>
      <c r="C76" s="36" t="s">
        <v>25</v>
      </c>
      <c r="D76" s="36" t="s">
        <v>69</v>
      </c>
      <c r="E76" s="24">
        <v>55000</v>
      </c>
      <c r="F76" s="43" t="s">
        <v>64</v>
      </c>
      <c r="G76" s="26" t="s">
        <v>125</v>
      </c>
      <c r="H76" s="44"/>
    </row>
    <row r="77" spans="2:13" s="1" customFormat="1" ht="78.75" x14ac:dyDescent="0.25">
      <c r="B77" s="104" t="s">
        <v>132</v>
      </c>
      <c r="C77" s="23">
        <v>85100000</v>
      </c>
      <c r="D77" s="23" t="s">
        <v>71</v>
      </c>
      <c r="E77" s="24">
        <v>127500.5</v>
      </c>
      <c r="F77" s="25" t="s">
        <v>61</v>
      </c>
      <c r="G77" s="26" t="s">
        <v>125</v>
      </c>
      <c r="H77" s="45" t="s">
        <v>124</v>
      </c>
    </row>
    <row r="78" spans="2:13" s="1" customFormat="1" ht="60.75" customHeight="1" x14ac:dyDescent="0.25">
      <c r="B78" s="104" t="s">
        <v>132</v>
      </c>
      <c r="C78" s="23">
        <v>85100000</v>
      </c>
      <c r="D78" s="23" t="s">
        <v>71</v>
      </c>
      <c r="E78" s="24">
        <f>1460000+111200</f>
        <v>1571200</v>
      </c>
      <c r="F78" s="25" t="s">
        <v>61</v>
      </c>
      <c r="G78" s="26" t="s">
        <v>125</v>
      </c>
      <c r="H78" s="48" t="s">
        <v>98</v>
      </c>
      <c r="K78" s="62"/>
    </row>
    <row r="79" spans="2:13" s="1" customFormat="1" ht="61.5" customHeight="1" x14ac:dyDescent="0.25">
      <c r="B79" s="126" t="s">
        <v>139</v>
      </c>
      <c r="C79" s="127"/>
      <c r="D79" s="127"/>
      <c r="E79" s="16">
        <f>SUM(E80:E81)</f>
        <v>184166.6</v>
      </c>
      <c r="F79" s="13"/>
      <c r="G79" s="14"/>
      <c r="H79" s="10"/>
      <c r="I79" s="61"/>
      <c r="J79" s="62"/>
    </row>
    <row r="80" spans="2:13" s="18" customFormat="1" ht="70.5" customHeight="1" x14ac:dyDescent="0.25">
      <c r="B80" s="65" t="s">
        <v>132</v>
      </c>
      <c r="C80" s="23" t="s">
        <v>24</v>
      </c>
      <c r="D80" s="23" t="s">
        <v>71</v>
      </c>
      <c r="E80" s="56">
        <v>14166.6</v>
      </c>
      <c r="F80" s="25" t="s">
        <v>61</v>
      </c>
      <c r="G80" s="26" t="s">
        <v>125</v>
      </c>
      <c r="H80" s="48" t="s">
        <v>76</v>
      </c>
    </row>
    <row r="81" spans="2:10" s="1" customFormat="1" ht="75" customHeight="1" x14ac:dyDescent="0.25">
      <c r="B81" s="104" t="s">
        <v>132</v>
      </c>
      <c r="C81" s="23" t="s">
        <v>24</v>
      </c>
      <c r="D81" s="23" t="s">
        <v>71</v>
      </c>
      <c r="E81" s="24">
        <v>170000</v>
      </c>
      <c r="F81" s="25" t="s">
        <v>61</v>
      </c>
      <c r="G81" s="26" t="s">
        <v>125</v>
      </c>
      <c r="H81" s="48" t="s">
        <v>98</v>
      </c>
    </row>
    <row r="82" spans="2:10" s="1" customFormat="1" ht="65.25" customHeight="1" x14ac:dyDescent="0.25">
      <c r="B82" s="121" t="s">
        <v>140</v>
      </c>
      <c r="C82" s="122"/>
      <c r="D82" s="122"/>
      <c r="E82" s="16">
        <f>SUM(E83:E87)</f>
        <v>1350000</v>
      </c>
      <c r="F82" s="13"/>
      <c r="G82" s="14"/>
      <c r="H82" s="60"/>
      <c r="I82" s="61"/>
      <c r="J82" s="62"/>
    </row>
    <row r="83" spans="2:10" s="1" customFormat="1" ht="49.5" customHeight="1" x14ac:dyDescent="0.25">
      <c r="B83" s="104" t="s">
        <v>132</v>
      </c>
      <c r="C83" s="23" t="s">
        <v>14</v>
      </c>
      <c r="D83" s="23" t="s">
        <v>15</v>
      </c>
      <c r="E83" s="24">
        <v>24200</v>
      </c>
      <c r="F83" s="25" t="s">
        <v>60</v>
      </c>
      <c r="G83" s="26" t="s">
        <v>125</v>
      </c>
      <c r="H83" s="41"/>
    </row>
    <row r="84" spans="2:10" s="1" customFormat="1" ht="33.75" x14ac:dyDescent="0.25">
      <c r="B84" s="104" t="s">
        <v>132</v>
      </c>
      <c r="C84" s="28">
        <v>33100000</v>
      </c>
      <c r="D84" s="28" t="s">
        <v>28</v>
      </c>
      <c r="E84" s="24">
        <f>240004-87983</f>
        <v>152021</v>
      </c>
      <c r="F84" s="29" t="s">
        <v>64</v>
      </c>
      <c r="G84" s="26" t="s">
        <v>125</v>
      </c>
      <c r="H84" s="46"/>
    </row>
    <row r="85" spans="2:10" s="1" customFormat="1" ht="60.75" customHeight="1" x14ac:dyDescent="0.25">
      <c r="B85" s="104" t="s">
        <v>132</v>
      </c>
      <c r="C85" s="23" t="s">
        <v>59</v>
      </c>
      <c r="D85" s="23" t="s">
        <v>44</v>
      </c>
      <c r="E85" s="24">
        <v>15000</v>
      </c>
      <c r="F85" s="25" t="s">
        <v>64</v>
      </c>
      <c r="G85" s="26" t="s">
        <v>125</v>
      </c>
      <c r="H85" s="41"/>
    </row>
    <row r="86" spans="2:10" s="1" customFormat="1" ht="75" customHeight="1" x14ac:dyDescent="0.25">
      <c r="B86" s="104" t="s">
        <v>132</v>
      </c>
      <c r="C86" s="23">
        <v>85100000</v>
      </c>
      <c r="D86" s="23" t="s">
        <v>71</v>
      </c>
      <c r="E86" s="24">
        <v>48983</v>
      </c>
      <c r="F86" s="25" t="s">
        <v>61</v>
      </c>
      <c r="G86" s="26" t="s">
        <v>125</v>
      </c>
      <c r="H86" s="48" t="s">
        <v>126</v>
      </c>
      <c r="J86" s="62">
        <f>E82-1350000</f>
        <v>0</v>
      </c>
    </row>
    <row r="87" spans="2:10" s="1" customFormat="1" ht="65.25" customHeight="1" x14ac:dyDescent="0.25">
      <c r="B87" s="104" t="s">
        <v>132</v>
      </c>
      <c r="C87" s="23">
        <v>85100000</v>
      </c>
      <c r="D87" s="23" t="s">
        <v>71</v>
      </c>
      <c r="E87" s="24">
        <f>1071996+37800</f>
        <v>1109796</v>
      </c>
      <c r="F87" s="25" t="s">
        <v>61</v>
      </c>
      <c r="G87" s="26" t="s">
        <v>125</v>
      </c>
      <c r="H87" s="48" t="s">
        <v>98</v>
      </c>
    </row>
    <row r="88" spans="2:10" s="1" customFormat="1" ht="80.25" customHeight="1" x14ac:dyDescent="0.25">
      <c r="B88" s="126" t="s">
        <v>141</v>
      </c>
      <c r="C88" s="127"/>
      <c r="D88" s="127"/>
      <c r="E88" s="16">
        <f>SUM(E89:E89)</f>
        <v>1250000</v>
      </c>
      <c r="F88" s="13"/>
      <c r="G88" s="14"/>
      <c r="H88" s="10"/>
      <c r="I88" s="61"/>
      <c r="J88" s="62"/>
    </row>
    <row r="89" spans="2:10" s="1" customFormat="1" ht="84.75" customHeight="1" x14ac:dyDescent="0.25">
      <c r="B89" s="104" t="s">
        <v>132</v>
      </c>
      <c r="C89" s="23" t="s">
        <v>32</v>
      </c>
      <c r="D89" s="23" t="s">
        <v>29</v>
      </c>
      <c r="E89" s="24">
        <v>1250000</v>
      </c>
      <c r="F89" s="25" t="s">
        <v>61</v>
      </c>
      <c r="G89" s="26" t="s">
        <v>125</v>
      </c>
      <c r="H89" s="48" t="s">
        <v>98</v>
      </c>
    </row>
    <row r="90" spans="2:10" s="1" customFormat="1" ht="57.75" customHeight="1" x14ac:dyDescent="0.25">
      <c r="B90" s="119" t="s">
        <v>142</v>
      </c>
      <c r="C90" s="120"/>
      <c r="D90" s="120"/>
      <c r="E90" s="57">
        <f>SUM(E91:E94)</f>
        <v>4000000</v>
      </c>
      <c r="F90" s="58"/>
      <c r="G90" s="58"/>
      <c r="H90" s="59"/>
      <c r="I90" s="61"/>
      <c r="J90" s="62"/>
    </row>
    <row r="91" spans="2:10" s="18" customFormat="1" ht="29.25" customHeight="1" x14ac:dyDescent="0.25">
      <c r="B91" s="65" t="s">
        <v>132</v>
      </c>
      <c r="C91" s="38">
        <v>33100000</v>
      </c>
      <c r="D91" s="23" t="s">
        <v>8</v>
      </c>
      <c r="E91" s="56">
        <v>124876.2</v>
      </c>
      <c r="F91" s="25" t="s">
        <v>64</v>
      </c>
      <c r="G91" s="26" t="s">
        <v>125</v>
      </c>
      <c r="H91" s="26"/>
    </row>
    <row r="92" spans="2:10" s="1" customFormat="1" ht="33.75" x14ac:dyDescent="0.25">
      <c r="B92" s="104" t="s">
        <v>132</v>
      </c>
      <c r="C92" s="38" t="s">
        <v>32</v>
      </c>
      <c r="D92" s="23" t="s">
        <v>9</v>
      </c>
      <c r="E92" s="24">
        <f>2995349.4-3495.8-99984.41</f>
        <v>2891869.19</v>
      </c>
      <c r="F92" s="25" t="s">
        <v>64</v>
      </c>
      <c r="G92" s="26" t="s">
        <v>125</v>
      </c>
      <c r="H92" s="26"/>
    </row>
    <row r="93" spans="2:10" s="1" customFormat="1" ht="67.5" x14ac:dyDescent="0.25">
      <c r="B93" s="104" t="s">
        <v>132</v>
      </c>
      <c r="C93" s="38" t="s">
        <v>24</v>
      </c>
      <c r="D93" s="23" t="s">
        <v>71</v>
      </c>
      <c r="E93" s="24">
        <v>73605.850000000006</v>
      </c>
      <c r="F93" s="25" t="s">
        <v>61</v>
      </c>
      <c r="G93" s="26" t="s">
        <v>125</v>
      </c>
      <c r="H93" s="45" t="s">
        <v>127</v>
      </c>
    </row>
    <row r="94" spans="2:10" s="1" customFormat="1" ht="83.25" customHeight="1" x14ac:dyDescent="0.25">
      <c r="B94" s="104" t="s">
        <v>132</v>
      </c>
      <c r="C94" s="23" t="s">
        <v>24</v>
      </c>
      <c r="D94" s="23" t="s">
        <v>71</v>
      </c>
      <c r="E94" s="24">
        <v>909648.76</v>
      </c>
      <c r="F94" s="25" t="s">
        <v>61</v>
      </c>
      <c r="G94" s="26" t="s">
        <v>152</v>
      </c>
      <c r="H94" s="32" t="s">
        <v>98</v>
      </c>
    </row>
    <row r="95" spans="2:10" ht="122.25" customHeight="1" x14ac:dyDescent="0.25">
      <c r="B95" s="126" t="s">
        <v>143</v>
      </c>
      <c r="C95" s="127"/>
      <c r="D95" s="127"/>
      <c r="E95" s="16">
        <f>SUM(E96)</f>
        <v>2190000</v>
      </c>
      <c r="F95" s="13"/>
      <c r="G95" s="14"/>
      <c r="H95" s="10"/>
      <c r="I95" s="61"/>
      <c r="J95" s="63">
        <f>E90-4000000</f>
        <v>0</v>
      </c>
    </row>
    <row r="96" spans="2:10" s="1" customFormat="1" ht="117.75" customHeight="1" x14ac:dyDescent="0.25">
      <c r="B96" s="104" t="s">
        <v>132</v>
      </c>
      <c r="C96" s="23" t="s">
        <v>32</v>
      </c>
      <c r="D96" s="23" t="s">
        <v>29</v>
      </c>
      <c r="E96" s="24">
        <v>2190000</v>
      </c>
      <c r="F96" s="25" t="s">
        <v>61</v>
      </c>
      <c r="G96" s="26" t="s">
        <v>152</v>
      </c>
      <c r="H96" s="48" t="s">
        <v>98</v>
      </c>
    </row>
    <row r="97" spans="2:11" s="1" customFormat="1" ht="57" customHeight="1" x14ac:dyDescent="0.25">
      <c r="B97" s="121" t="s">
        <v>144</v>
      </c>
      <c r="C97" s="122"/>
      <c r="D97" s="122"/>
      <c r="E97" s="16">
        <f>SUM(E98:E102)</f>
        <v>474000</v>
      </c>
      <c r="F97" s="13"/>
      <c r="G97" s="60"/>
      <c r="H97" s="60"/>
      <c r="I97" s="61"/>
      <c r="J97" s="62"/>
    </row>
    <row r="98" spans="2:11" s="1" customFormat="1" ht="59.25" customHeight="1" x14ac:dyDescent="0.25">
      <c r="B98" s="104" t="s">
        <v>148</v>
      </c>
      <c r="C98" s="23">
        <v>33100000</v>
      </c>
      <c r="D98" s="23" t="s">
        <v>28</v>
      </c>
      <c r="E98" s="24">
        <f>20000+14559.87+22385.83</f>
        <v>56945.700000000004</v>
      </c>
      <c r="F98" s="25" t="s">
        <v>64</v>
      </c>
      <c r="G98" s="26" t="s">
        <v>125</v>
      </c>
      <c r="H98" s="41"/>
    </row>
    <row r="99" spans="2:11" s="1" customFormat="1" ht="38.25" x14ac:dyDescent="0.25">
      <c r="B99" s="104" t="s">
        <v>148</v>
      </c>
      <c r="C99" s="36">
        <v>33600000</v>
      </c>
      <c r="D99" s="36" t="s">
        <v>29</v>
      </c>
      <c r="E99" s="24">
        <f>266824.3+68000-17770</f>
        <v>317054.3</v>
      </c>
      <c r="F99" s="43" t="s">
        <v>64</v>
      </c>
      <c r="G99" s="26" t="s">
        <v>125</v>
      </c>
      <c r="H99" s="44"/>
    </row>
    <row r="100" spans="2:11" s="1" customFormat="1" ht="78.75" x14ac:dyDescent="0.25">
      <c r="B100" s="104" t="s">
        <v>132</v>
      </c>
      <c r="C100" s="38" t="s">
        <v>103</v>
      </c>
      <c r="D100" s="23" t="s">
        <v>71</v>
      </c>
      <c r="E100" s="24">
        <v>8645.83</v>
      </c>
      <c r="F100" s="25" t="s">
        <v>61</v>
      </c>
      <c r="G100" s="26" t="s">
        <v>125</v>
      </c>
      <c r="H100" s="45" t="s">
        <v>130</v>
      </c>
    </row>
    <row r="101" spans="2:11" s="1" customFormat="1" ht="67.5" x14ac:dyDescent="0.25">
      <c r="B101" s="104" t="s">
        <v>132</v>
      </c>
      <c r="C101" s="38" t="s">
        <v>103</v>
      </c>
      <c r="D101" s="23" t="s">
        <v>71</v>
      </c>
      <c r="E101" s="24">
        <v>13740</v>
      </c>
      <c r="F101" s="25" t="s">
        <v>61</v>
      </c>
      <c r="G101" s="26" t="s">
        <v>152</v>
      </c>
      <c r="H101" s="48" t="s">
        <v>98</v>
      </c>
      <c r="J101" s="62"/>
      <c r="K101" s="62"/>
    </row>
    <row r="102" spans="2:11" s="1" customFormat="1" ht="51" customHeight="1" x14ac:dyDescent="0.25">
      <c r="B102" s="104" t="s">
        <v>132</v>
      </c>
      <c r="C102" s="38" t="s">
        <v>24</v>
      </c>
      <c r="D102" s="23" t="s">
        <v>71</v>
      </c>
      <c r="E102" s="24">
        <v>77614.17</v>
      </c>
      <c r="F102" s="25" t="s">
        <v>64</v>
      </c>
      <c r="G102" s="26" t="s">
        <v>153</v>
      </c>
      <c r="H102" s="45"/>
      <c r="J102" s="62"/>
      <c r="K102" s="62"/>
    </row>
    <row r="103" spans="2:11" ht="59.25" customHeight="1" x14ac:dyDescent="0.25">
      <c r="B103" s="126" t="s">
        <v>145</v>
      </c>
      <c r="C103" s="127"/>
      <c r="D103" s="127"/>
      <c r="E103" s="16">
        <f>SUM(E104:E106)</f>
        <v>2100000</v>
      </c>
      <c r="F103" s="13"/>
      <c r="G103" s="14"/>
      <c r="H103" s="10"/>
      <c r="I103" s="61"/>
      <c r="J103" s="63"/>
    </row>
    <row r="104" spans="2:11" s="18" customFormat="1" ht="42.75" customHeight="1" x14ac:dyDescent="0.25">
      <c r="B104" s="65" t="s">
        <v>132</v>
      </c>
      <c r="C104" s="23" t="s">
        <v>25</v>
      </c>
      <c r="D104" s="23" t="s">
        <v>69</v>
      </c>
      <c r="E104" s="56">
        <f>2100000-115976</f>
        <v>1984024</v>
      </c>
      <c r="F104" s="25" t="s">
        <v>64</v>
      </c>
      <c r="G104" s="26" t="s">
        <v>125</v>
      </c>
      <c r="H104" s="53"/>
    </row>
    <row r="105" spans="2:11" s="1" customFormat="1" ht="42.75" customHeight="1" x14ac:dyDescent="0.25">
      <c r="B105" s="104" t="s">
        <v>132</v>
      </c>
      <c r="C105" s="23" t="s">
        <v>156</v>
      </c>
      <c r="D105" s="23" t="s">
        <v>69</v>
      </c>
      <c r="E105" s="24">
        <f>5976</f>
        <v>5976</v>
      </c>
      <c r="F105" s="25" t="s">
        <v>61</v>
      </c>
      <c r="G105" s="26" t="s">
        <v>152</v>
      </c>
      <c r="H105" s="48" t="s">
        <v>98</v>
      </c>
    </row>
    <row r="106" spans="2:11" s="1" customFormat="1" ht="80.25" customHeight="1" x14ac:dyDescent="0.25">
      <c r="B106" s="104" t="s">
        <v>132</v>
      </c>
      <c r="C106" s="23" t="s">
        <v>154</v>
      </c>
      <c r="D106" s="23" t="s">
        <v>155</v>
      </c>
      <c r="E106" s="24">
        <f>115976-5976</f>
        <v>110000</v>
      </c>
      <c r="F106" s="25" t="s">
        <v>61</v>
      </c>
      <c r="G106" s="26" t="s">
        <v>152</v>
      </c>
      <c r="H106" s="48" t="s">
        <v>98</v>
      </c>
    </row>
    <row r="107" spans="2:11" ht="70.5" customHeight="1" x14ac:dyDescent="0.25">
      <c r="B107" s="126" t="s">
        <v>146</v>
      </c>
      <c r="C107" s="127"/>
      <c r="D107" s="127"/>
      <c r="E107" s="16">
        <f>SUM(E108:E110)</f>
        <v>442800</v>
      </c>
      <c r="F107" s="13"/>
      <c r="G107" s="14"/>
      <c r="H107" s="10"/>
      <c r="I107" s="61"/>
      <c r="J107" s="63"/>
    </row>
    <row r="108" spans="2:11" s="18" customFormat="1" ht="33.75" x14ac:dyDescent="0.25">
      <c r="B108" s="65" t="s">
        <v>132</v>
      </c>
      <c r="C108" s="99" t="s">
        <v>32</v>
      </c>
      <c r="D108" s="99" t="s">
        <v>29</v>
      </c>
      <c r="E108" s="56">
        <f>264000-4020</f>
        <v>259980</v>
      </c>
      <c r="F108" s="100" t="s">
        <v>64</v>
      </c>
      <c r="G108" s="80" t="s">
        <v>125</v>
      </c>
      <c r="H108" s="101"/>
    </row>
    <row r="109" spans="2:11" s="18" customFormat="1" ht="33.75" x14ac:dyDescent="0.25">
      <c r="B109" s="65" t="s">
        <v>132</v>
      </c>
      <c r="C109" s="28" t="s">
        <v>7</v>
      </c>
      <c r="D109" s="28" t="s">
        <v>28</v>
      </c>
      <c r="E109" s="24">
        <v>132000</v>
      </c>
      <c r="F109" s="29" t="s">
        <v>64</v>
      </c>
      <c r="G109" s="26" t="s">
        <v>125</v>
      </c>
      <c r="H109" s="55"/>
    </row>
    <row r="110" spans="2:11" s="1" customFormat="1" ht="33.75" x14ac:dyDescent="0.25">
      <c r="B110" s="104" t="s">
        <v>132</v>
      </c>
      <c r="C110" s="23" t="s">
        <v>14</v>
      </c>
      <c r="D110" s="23" t="s">
        <v>40</v>
      </c>
      <c r="E110" s="24">
        <f>4020+46800</f>
        <v>50820</v>
      </c>
      <c r="F110" s="25" t="s">
        <v>60</v>
      </c>
      <c r="G110" s="26" t="s">
        <v>125</v>
      </c>
      <c r="H110" s="23"/>
    </row>
  </sheetData>
  <autoFilter ref="A8:H110"/>
  <mergeCells count="20">
    <mergeCell ref="B103:D103"/>
    <mergeCell ref="B107:D107"/>
    <mergeCell ref="B79:D79"/>
    <mergeCell ref="B82:D82"/>
    <mergeCell ref="B88:D88"/>
    <mergeCell ref="B90:D90"/>
    <mergeCell ref="B95:D95"/>
    <mergeCell ref="B97:D97"/>
    <mergeCell ref="B75:D75"/>
    <mergeCell ref="B2:H2"/>
    <mergeCell ref="B3:H3"/>
    <mergeCell ref="B4:E4"/>
    <mergeCell ref="F4:H4"/>
    <mergeCell ref="B5:E5"/>
    <mergeCell ref="F5:H5"/>
    <mergeCell ref="B6:F6"/>
    <mergeCell ref="B9:D9"/>
    <mergeCell ref="B58:D58"/>
    <mergeCell ref="B63:D63"/>
    <mergeCell ref="B69:D69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15"/>
  <sheetViews>
    <sheetView topLeftCell="B73" zoomScaleNormal="100" zoomScaleSheetLayoutView="80" workbookViewId="0">
      <selection activeCell="M79" sqref="M79"/>
    </sheetView>
  </sheetViews>
  <sheetFormatPr defaultRowHeight="15" x14ac:dyDescent="0.2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1.5703125" bestFit="1" customWidth="1"/>
    <col min="12" max="12" width="14.28515625" bestFit="1" customWidth="1"/>
    <col min="13" max="13" width="11.5703125" bestFit="1" customWidth="1"/>
  </cols>
  <sheetData>
    <row r="2" spans="2:8" ht="18.75" x14ac:dyDescent="0.25">
      <c r="B2" s="123" t="s">
        <v>41</v>
      </c>
      <c r="C2" s="123"/>
      <c r="D2" s="123"/>
      <c r="E2" s="123"/>
      <c r="F2" s="123"/>
      <c r="G2" s="123"/>
      <c r="H2" s="123"/>
    </row>
    <row r="3" spans="2:8" ht="18.75" x14ac:dyDescent="0.3">
      <c r="B3" s="124" t="s">
        <v>4</v>
      </c>
      <c r="C3" s="124"/>
      <c r="D3" s="124"/>
      <c r="E3" s="124"/>
      <c r="F3" s="124"/>
      <c r="G3" s="124"/>
      <c r="H3" s="124"/>
    </row>
    <row r="4" spans="2:8" x14ac:dyDescent="0.25">
      <c r="B4" s="125" t="s">
        <v>54</v>
      </c>
      <c r="C4" s="125"/>
      <c r="D4" s="125"/>
      <c r="E4" s="125"/>
      <c r="F4" s="125" t="s">
        <v>21</v>
      </c>
      <c r="G4" s="125"/>
      <c r="H4" s="125"/>
    </row>
    <row r="5" spans="2:8" x14ac:dyDescent="0.25">
      <c r="B5" s="125" t="s">
        <v>20</v>
      </c>
      <c r="C5" s="125"/>
      <c r="D5" s="125"/>
      <c r="E5" s="125"/>
      <c r="F5" s="125" t="s">
        <v>10</v>
      </c>
      <c r="G5" s="125"/>
      <c r="H5" s="125"/>
    </row>
    <row r="6" spans="2:8" ht="24.75" customHeight="1" x14ac:dyDescent="0.25">
      <c r="B6" s="115" t="s">
        <v>22</v>
      </c>
      <c r="C6" s="116"/>
      <c r="D6" s="116"/>
      <c r="E6" s="116"/>
      <c r="F6" s="116"/>
      <c r="G6" s="2">
        <f>E9+E63+E68+E74+E80+E84+E87+E93+E95+E100+E102+E108+E112</f>
        <v>43457536.100000001</v>
      </c>
      <c r="H6" s="3" t="s">
        <v>23</v>
      </c>
    </row>
    <row r="7" spans="2:8" ht="25.5" x14ac:dyDescent="0.2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 x14ac:dyDescent="0.25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customHeight="1" x14ac:dyDescent="0.25">
      <c r="B9" s="117" t="s">
        <v>131</v>
      </c>
      <c r="C9" s="118"/>
      <c r="D9" s="118"/>
      <c r="E9" s="15">
        <f>SUM(E10:E61)</f>
        <v>4192869</v>
      </c>
      <c r="F9" s="11"/>
      <c r="G9" s="9"/>
      <c r="H9" s="10"/>
    </row>
    <row r="10" spans="2:8" s="18" customFormat="1" ht="33.75" x14ac:dyDescent="0.2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8" s="18" customFormat="1" ht="33.75" x14ac:dyDescent="0.2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8" s="18" customFormat="1" ht="33.75" x14ac:dyDescent="0.25">
      <c r="B12" s="65" t="s">
        <v>132</v>
      </c>
      <c r="C12" s="23" t="s">
        <v>100</v>
      </c>
      <c r="D12" s="23" t="s">
        <v>101</v>
      </c>
      <c r="E12" s="56">
        <v>500</v>
      </c>
      <c r="F12" s="25" t="s">
        <v>61</v>
      </c>
      <c r="G12" s="26" t="s">
        <v>125</v>
      </c>
      <c r="H12" s="23"/>
    </row>
    <row r="13" spans="2:8" s="19" customFormat="1" ht="33.75" x14ac:dyDescent="0.25">
      <c r="B13" s="65" t="s">
        <v>132</v>
      </c>
      <c r="C13" s="28" t="s">
        <v>50</v>
      </c>
      <c r="D13" s="28" t="s">
        <v>52</v>
      </c>
      <c r="E13" s="56">
        <v>1600</v>
      </c>
      <c r="F13" s="29" t="s">
        <v>61</v>
      </c>
      <c r="G13" s="26" t="s">
        <v>125</v>
      </c>
      <c r="H13" s="28"/>
    </row>
    <row r="14" spans="2:8" s="106" customFormat="1" ht="38.25" customHeight="1" x14ac:dyDescent="0.25">
      <c r="B14" s="104" t="s">
        <v>132</v>
      </c>
      <c r="C14" s="28" t="s">
        <v>159</v>
      </c>
      <c r="D14" s="28" t="s">
        <v>158</v>
      </c>
      <c r="E14" s="24">
        <v>1973</v>
      </c>
      <c r="F14" s="29" t="s">
        <v>61</v>
      </c>
      <c r="G14" s="26" t="s">
        <v>152</v>
      </c>
      <c r="H14" s="28"/>
    </row>
    <row r="15" spans="2:8" s="18" customFormat="1" ht="49.5" customHeight="1" x14ac:dyDescent="0.25">
      <c r="B15" s="65" t="s">
        <v>132</v>
      </c>
      <c r="C15" s="23" t="s">
        <v>39</v>
      </c>
      <c r="D15" s="23" t="s">
        <v>58</v>
      </c>
      <c r="E15" s="56">
        <f>23100</f>
        <v>23100</v>
      </c>
      <c r="F15" s="25" t="s">
        <v>60</v>
      </c>
      <c r="G15" s="26" t="s">
        <v>125</v>
      </c>
      <c r="H15" s="23"/>
    </row>
    <row r="16" spans="2:8" s="18" customFormat="1" ht="49.5" customHeight="1" x14ac:dyDescent="0.25">
      <c r="B16" s="65" t="s">
        <v>132</v>
      </c>
      <c r="C16" s="23" t="s">
        <v>39</v>
      </c>
      <c r="D16" s="23" t="s">
        <v>58</v>
      </c>
      <c r="E16" s="56">
        <f>60000+9000</f>
        <v>69000</v>
      </c>
      <c r="F16" s="25" t="s">
        <v>64</v>
      </c>
      <c r="G16" s="26" t="s">
        <v>125</v>
      </c>
      <c r="H16" s="23"/>
    </row>
    <row r="17" spans="2:8" s="18" customFormat="1" ht="38.25" customHeight="1" x14ac:dyDescent="0.25">
      <c r="B17" s="67" t="s">
        <v>147</v>
      </c>
      <c r="C17" s="82">
        <v>31400000</v>
      </c>
      <c r="D17" s="68" t="s">
        <v>11</v>
      </c>
      <c r="E17" s="69">
        <f>3000+1800</f>
        <v>4800</v>
      </c>
      <c r="F17" s="70" t="s">
        <v>60</v>
      </c>
      <c r="G17" s="71" t="s">
        <v>125</v>
      </c>
      <c r="H17" s="72"/>
    </row>
    <row r="18" spans="2:8" s="18" customFormat="1" ht="56.25" x14ac:dyDescent="0.25">
      <c r="B18" s="67" t="s">
        <v>147</v>
      </c>
      <c r="C18" s="82">
        <v>33100000</v>
      </c>
      <c r="D18" s="68" t="s">
        <v>57</v>
      </c>
      <c r="E18" s="69">
        <v>2000</v>
      </c>
      <c r="F18" s="70" t="s">
        <v>61</v>
      </c>
      <c r="G18" s="71" t="s">
        <v>160</v>
      </c>
      <c r="H18" s="90" t="s">
        <v>85</v>
      </c>
    </row>
    <row r="19" spans="2:8" s="18" customFormat="1" ht="56.25" x14ac:dyDescent="0.25">
      <c r="B19" s="67" t="s">
        <v>147</v>
      </c>
      <c r="C19" s="82">
        <v>33600000</v>
      </c>
      <c r="D19" s="68" t="s">
        <v>29</v>
      </c>
      <c r="E19" s="69">
        <v>10000</v>
      </c>
      <c r="F19" s="70" t="s">
        <v>61</v>
      </c>
      <c r="G19" s="71" t="s">
        <v>160</v>
      </c>
      <c r="H19" s="90" t="s">
        <v>85</v>
      </c>
    </row>
    <row r="20" spans="2:8" s="18" customFormat="1" ht="38.25" customHeight="1" x14ac:dyDescent="0.25">
      <c r="B20" s="65" t="s">
        <v>147</v>
      </c>
      <c r="C20" s="23" t="s">
        <v>43</v>
      </c>
      <c r="D20" s="23" t="s">
        <v>42</v>
      </c>
      <c r="E20" s="56">
        <v>10000</v>
      </c>
      <c r="F20" s="25" t="s">
        <v>60</v>
      </c>
      <c r="G20" s="26" t="s">
        <v>125</v>
      </c>
      <c r="H20" s="32"/>
    </row>
    <row r="21" spans="2:8" s="18" customFormat="1" ht="33.75" x14ac:dyDescent="0.25">
      <c r="B21" s="65" t="s">
        <v>132</v>
      </c>
      <c r="C21" s="23" t="s">
        <v>92</v>
      </c>
      <c r="D21" s="23" t="s">
        <v>93</v>
      </c>
      <c r="E21" s="56">
        <v>4800</v>
      </c>
      <c r="F21" s="25" t="s">
        <v>91</v>
      </c>
      <c r="G21" s="26" t="s">
        <v>125</v>
      </c>
      <c r="H21" s="31"/>
    </row>
    <row r="22" spans="2:8" s="18" customFormat="1" ht="33.75" x14ac:dyDescent="0.25">
      <c r="B22" s="65" t="s">
        <v>132</v>
      </c>
      <c r="C22" s="23" t="s">
        <v>94</v>
      </c>
      <c r="D22" s="23" t="s">
        <v>95</v>
      </c>
      <c r="E22" s="56">
        <v>4800</v>
      </c>
      <c r="F22" s="25" t="s">
        <v>91</v>
      </c>
      <c r="G22" s="26" t="s">
        <v>125</v>
      </c>
      <c r="H22" s="31"/>
    </row>
    <row r="23" spans="2:8" s="18" customFormat="1" ht="33.75" x14ac:dyDescent="0.25">
      <c r="B23" s="65" t="s">
        <v>132</v>
      </c>
      <c r="C23" s="34">
        <v>39800000</v>
      </c>
      <c r="D23" s="34" t="s">
        <v>84</v>
      </c>
      <c r="E23" s="56">
        <v>4800</v>
      </c>
      <c r="F23" s="25" t="s">
        <v>91</v>
      </c>
      <c r="G23" s="26" t="s">
        <v>125</v>
      </c>
      <c r="H23" s="31"/>
    </row>
    <row r="24" spans="2:8" s="18" customFormat="1" ht="51.75" customHeight="1" x14ac:dyDescent="0.25">
      <c r="B24" s="65" t="s">
        <v>132</v>
      </c>
      <c r="C24" s="84">
        <v>41100000</v>
      </c>
      <c r="D24" s="85" t="s">
        <v>149</v>
      </c>
      <c r="E24" s="56">
        <v>6750</v>
      </c>
      <c r="F24" s="79" t="s">
        <v>64</v>
      </c>
      <c r="G24" s="80" t="s">
        <v>125</v>
      </c>
      <c r="H24" s="81"/>
    </row>
    <row r="25" spans="2:8" s="18" customFormat="1" ht="51.75" customHeight="1" x14ac:dyDescent="0.25">
      <c r="B25" s="67" t="s">
        <v>132</v>
      </c>
      <c r="C25" s="82">
        <v>44400000</v>
      </c>
      <c r="D25" s="83" t="s">
        <v>167</v>
      </c>
      <c r="E25" s="69">
        <v>4120</v>
      </c>
      <c r="F25" s="70" t="s">
        <v>64</v>
      </c>
      <c r="G25" s="71" t="s">
        <v>160</v>
      </c>
      <c r="H25" s="72"/>
    </row>
    <row r="26" spans="2:8" s="18" customFormat="1" ht="51.75" customHeight="1" x14ac:dyDescent="0.25">
      <c r="B26" s="65" t="s">
        <v>132</v>
      </c>
      <c r="C26" s="30">
        <v>45400000</v>
      </c>
      <c r="D26" s="34" t="s">
        <v>102</v>
      </c>
      <c r="E26" s="56">
        <v>40000</v>
      </c>
      <c r="F26" s="25" t="s">
        <v>64</v>
      </c>
      <c r="G26" s="26" t="s">
        <v>125</v>
      </c>
      <c r="H26" s="31"/>
    </row>
    <row r="27" spans="2:8" s="18" customFormat="1" ht="37.5" customHeight="1" x14ac:dyDescent="0.25">
      <c r="B27" s="65" t="s">
        <v>133</v>
      </c>
      <c r="C27" s="30">
        <v>48700000</v>
      </c>
      <c r="D27" s="23" t="s">
        <v>104</v>
      </c>
      <c r="E27" s="56">
        <v>30000</v>
      </c>
      <c r="F27" s="25" t="s">
        <v>64</v>
      </c>
      <c r="G27" s="26" t="s">
        <v>125</v>
      </c>
      <c r="H27" s="31"/>
    </row>
    <row r="28" spans="2:8" s="18" customFormat="1" ht="56.25" x14ac:dyDescent="0.25">
      <c r="B28" s="65" t="s">
        <v>132</v>
      </c>
      <c r="C28" s="78">
        <v>50100000</v>
      </c>
      <c r="D28" s="78" t="s">
        <v>44</v>
      </c>
      <c r="E28" s="56">
        <f>10000+30000</f>
        <v>40000</v>
      </c>
      <c r="F28" s="79" t="s">
        <v>61</v>
      </c>
      <c r="G28" s="80" t="s">
        <v>125</v>
      </c>
      <c r="H28" s="102" t="s">
        <v>66</v>
      </c>
    </row>
    <row r="29" spans="2:8" s="1" customFormat="1" ht="92.25" customHeight="1" x14ac:dyDescent="0.25">
      <c r="B29" s="104" t="s">
        <v>132</v>
      </c>
      <c r="C29" s="23" t="s">
        <v>59</v>
      </c>
      <c r="D29" s="23" t="s">
        <v>62</v>
      </c>
      <c r="E29" s="24">
        <f>120000-30000+15000</f>
        <v>105000</v>
      </c>
      <c r="F29" s="25" t="s">
        <v>64</v>
      </c>
      <c r="G29" s="26" t="s">
        <v>125</v>
      </c>
      <c r="H29" s="36"/>
    </row>
    <row r="30" spans="2:8" s="18" customFormat="1" ht="56.25" x14ac:dyDescent="0.25">
      <c r="B30" s="65" t="s">
        <v>132</v>
      </c>
      <c r="C30" s="78">
        <v>50100000</v>
      </c>
      <c r="D30" s="78" t="s">
        <v>44</v>
      </c>
      <c r="E30" s="56">
        <v>2080</v>
      </c>
      <c r="F30" s="79" t="s">
        <v>61</v>
      </c>
      <c r="G30" s="80" t="s">
        <v>160</v>
      </c>
      <c r="H30" s="102" t="s">
        <v>85</v>
      </c>
    </row>
    <row r="31" spans="2:8" s="18" customFormat="1" ht="92.25" customHeight="1" x14ac:dyDescent="0.25">
      <c r="B31" s="65" t="s">
        <v>132</v>
      </c>
      <c r="C31" s="23" t="s">
        <v>107</v>
      </c>
      <c r="D31" s="23" t="s">
        <v>108</v>
      </c>
      <c r="E31" s="56">
        <v>50000</v>
      </c>
      <c r="F31" s="25" t="s">
        <v>64</v>
      </c>
      <c r="G31" s="26" t="s">
        <v>125</v>
      </c>
      <c r="H31" s="31"/>
    </row>
    <row r="32" spans="2:8" s="18" customFormat="1" ht="92.25" customHeight="1" x14ac:dyDescent="0.25">
      <c r="B32" s="65" t="s">
        <v>132</v>
      </c>
      <c r="C32" s="23" t="s">
        <v>105</v>
      </c>
      <c r="D32" s="23" t="s">
        <v>106</v>
      </c>
      <c r="E32" s="56">
        <v>310000</v>
      </c>
      <c r="F32" s="25" t="s">
        <v>64</v>
      </c>
      <c r="G32" s="26" t="s">
        <v>125</v>
      </c>
      <c r="H32" s="36"/>
    </row>
    <row r="33" spans="2:10" s="18" customFormat="1" ht="92.25" customHeight="1" x14ac:dyDescent="0.25">
      <c r="B33" s="65" t="s">
        <v>147</v>
      </c>
      <c r="C33" s="23" t="s">
        <v>109</v>
      </c>
      <c r="D33" s="23" t="s">
        <v>110</v>
      </c>
      <c r="E33" s="56">
        <f>60000+45000-20000</f>
        <v>85000</v>
      </c>
      <c r="F33" s="25" t="s">
        <v>64</v>
      </c>
      <c r="G33" s="26" t="s">
        <v>125</v>
      </c>
      <c r="H33" s="36"/>
    </row>
    <row r="34" spans="2:10" s="18" customFormat="1" ht="102.75" customHeight="1" x14ac:dyDescent="0.25">
      <c r="B34" s="65" t="s">
        <v>132</v>
      </c>
      <c r="C34" s="23" t="s">
        <v>86</v>
      </c>
      <c r="D34" s="23" t="s">
        <v>87</v>
      </c>
      <c r="E34" s="56">
        <v>8000</v>
      </c>
      <c r="F34" s="25" t="s">
        <v>64</v>
      </c>
      <c r="G34" s="26" t="s">
        <v>125</v>
      </c>
      <c r="H34" s="23"/>
    </row>
    <row r="35" spans="2:10" s="18" customFormat="1" ht="115.5" customHeight="1" x14ac:dyDescent="0.25">
      <c r="B35" s="65" t="s">
        <v>132</v>
      </c>
      <c r="C35" s="23">
        <v>50700000</v>
      </c>
      <c r="D35" s="23" t="s">
        <v>13</v>
      </c>
      <c r="E35" s="56">
        <f>1600000-59200</f>
        <v>1540800</v>
      </c>
      <c r="F35" s="23" t="s">
        <v>61</v>
      </c>
      <c r="G35" s="26" t="s">
        <v>125</v>
      </c>
      <c r="H35" s="23" t="s">
        <v>99</v>
      </c>
    </row>
    <row r="36" spans="2:10" s="18" customFormat="1" ht="115.5" customHeight="1" x14ac:dyDescent="0.25">
      <c r="B36" s="65" t="s">
        <v>132</v>
      </c>
      <c r="C36" s="23">
        <v>50700000</v>
      </c>
      <c r="D36" s="23" t="s">
        <v>13</v>
      </c>
      <c r="E36" s="56">
        <f>93000-45000+20000</f>
        <v>68000</v>
      </c>
      <c r="F36" s="23" t="s">
        <v>64</v>
      </c>
      <c r="G36" s="26" t="s">
        <v>125</v>
      </c>
      <c r="H36" s="23"/>
    </row>
    <row r="37" spans="2:10" s="18" customFormat="1" ht="115.5" customHeight="1" x14ac:dyDescent="0.25">
      <c r="B37" s="65" t="s">
        <v>132</v>
      </c>
      <c r="C37" s="78" t="s">
        <v>117</v>
      </c>
      <c r="D37" s="78" t="s">
        <v>118</v>
      </c>
      <c r="E37" s="56">
        <f>120000+68250</f>
        <v>188250</v>
      </c>
      <c r="F37" s="78" t="s">
        <v>64</v>
      </c>
      <c r="G37" s="80" t="s">
        <v>125</v>
      </c>
      <c r="H37" s="78"/>
    </row>
    <row r="38" spans="2:10" s="18" customFormat="1" ht="115.5" customHeight="1" x14ac:dyDescent="0.25">
      <c r="B38" s="65" t="s">
        <v>132</v>
      </c>
      <c r="C38" s="23" t="s">
        <v>111</v>
      </c>
      <c r="D38" s="23" t="s">
        <v>112</v>
      </c>
      <c r="E38" s="56">
        <v>120000</v>
      </c>
      <c r="F38" s="23" t="s">
        <v>64</v>
      </c>
      <c r="G38" s="26" t="s">
        <v>125</v>
      </c>
      <c r="H38" s="23"/>
    </row>
    <row r="39" spans="2:10" s="18" customFormat="1" ht="58.5" customHeight="1" x14ac:dyDescent="0.25">
      <c r="B39" s="65" t="s">
        <v>132</v>
      </c>
      <c r="C39" s="30">
        <v>63700000</v>
      </c>
      <c r="D39" s="23" t="s">
        <v>70</v>
      </c>
      <c r="E39" s="56">
        <v>2000</v>
      </c>
      <c r="F39" s="25" t="s">
        <v>61</v>
      </c>
      <c r="G39" s="26" t="s">
        <v>125</v>
      </c>
      <c r="H39" s="26" t="s">
        <v>85</v>
      </c>
    </row>
    <row r="40" spans="2:10" s="18" customFormat="1" ht="63.75" customHeight="1" x14ac:dyDescent="0.25">
      <c r="B40" s="65" t="s">
        <v>132</v>
      </c>
      <c r="C40" s="23" t="s">
        <v>47</v>
      </c>
      <c r="D40" s="23" t="s">
        <v>48</v>
      </c>
      <c r="E40" s="56">
        <v>6000</v>
      </c>
      <c r="F40" s="25" t="s">
        <v>64</v>
      </c>
      <c r="G40" s="26" t="s">
        <v>125</v>
      </c>
      <c r="H40" s="23"/>
    </row>
    <row r="41" spans="2:10" s="18" customFormat="1" ht="33.75" x14ac:dyDescent="0.25">
      <c r="B41" s="65" t="s">
        <v>132</v>
      </c>
      <c r="C41" s="38" t="s">
        <v>18</v>
      </c>
      <c r="D41" s="23" t="s">
        <v>46</v>
      </c>
      <c r="E41" s="56">
        <v>25000</v>
      </c>
      <c r="F41" s="25" t="s">
        <v>64</v>
      </c>
      <c r="G41" s="26" t="s">
        <v>125</v>
      </c>
      <c r="H41" s="33"/>
    </row>
    <row r="42" spans="2:10" s="18" customFormat="1" ht="56.25" x14ac:dyDescent="0.25">
      <c r="B42" s="65" t="s">
        <v>132</v>
      </c>
      <c r="C42" s="38" t="s">
        <v>18</v>
      </c>
      <c r="D42" s="23" t="s">
        <v>46</v>
      </c>
      <c r="E42" s="56">
        <v>25500</v>
      </c>
      <c r="F42" s="25" t="s">
        <v>61</v>
      </c>
      <c r="G42" s="26" t="s">
        <v>125</v>
      </c>
      <c r="H42" s="26" t="s">
        <v>96</v>
      </c>
    </row>
    <row r="43" spans="2:10" s="18" customFormat="1" ht="56.25" x14ac:dyDescent="0.25">
      <c r="B43" s="65" t="s">
        <v>132</v>
      </c>
      <c r="C43" s="77" t="s">
        <v>161</v>
      </c>
      <c r="D43" s="78" t="s">
        <v>46</v>
      </c>
      <c r="E43" s="56">
        <v>9000</v>
      </c>
      <c r="F43" s="79" t="s">
        <v>61</v>
      </c>
      <c r="G43" s="80" t="s">
        <v>152</v>
      </c>
      <c r="H43" s="80" t="s">
        <v>162</v>
      </c>
    </row>
    <row r="44" spans="2:10" s="18" customFormat="1" ht="33.75" x14ac:dyDescent="0.25">
      <c r="B44" s="65" t="s">
        <v>132</v>
      </c>
      <c r="C44" s="38" t="s">
        <v>18</v>
      </c>
      <c r="D44" s="23" t="s">
        <v>46</v>
      </c>
      <c r="E44" s="56">
        <v>24000</v>
      </c>
      <c r="F44" s="25" t="s">
        <v>60</v>
      </c>
      <c r="G44" s="26" t="s">
        <v>125</v>
      </c>
      <c r="H44" s="33"/>
    </row>
    <row r="45" spans="2:10" s="18" customFormat="1" ht="33.75" x14ac:dyDescent="0.25">
      <c r="B45" s="65" t="s">
        <v>134</v>
      </c>
      <c r="C45" s="38" t="s">
        <v>114</v>
      </c>
      <c r="D45" s="23" t="s">
        <v>113</v>
      </c>
      <c r="E45" s="56">
        <v>30000</v>
      </c>
      <c r="F45" s="25" t="s">
        <v>64</v>
      </c>
      <c r="G45" s="26" t="s">
        <v>125</v>
      </c>
      <c r="H45" s="26"/>
    </row>
    <row r="46" spans="2:10" s="18" customFormat="1" ht="33.75" x14ac:dyDescent="0.25">
      <c r="B46" s="65" t="s">
        <v>132</v>
      </c>
      <c r="C46" s="38" t="s">
        <v>55</v>
      </c>
      <c r="D46" s="23" t="s">
        <v>56</v>
      </c>
      <c r="E46" s="56">
        <v>1680</v>
      </c>
      <c r="F46" s="25" t="s">
        <v>91</v>
      </c>
      <c r="G46" s="26" t="s">
        <v>125</v>
      </c>
      <c r="H46" s="33"/>
    </row>
    <row r="47" spans="2:10" s="18" customFormat="1" ht="57" customHeight="1" x14ac:dyDescent="0.25">
      <c r="B47" s="65" t="s">
        <v>132</v>
      </c>
      <c r="C47" s="77" t="s">
        <v>17</v>
      </c>
      <c r="D47" s="78" t="s">
        <v>16</v>
      </c>
      <c r="E47" s="56">
        <f>90000+34000</f>
        <v>124000</v>
      </c>
      <c r="F47" s="79" t="s">
        <v>61</v>
      </c>
      <c r="G47" s="80" t="s">
        <v>125</v>
      </c>
      <c r="H47" s="80" t="s">
        <v>67</v>
      </c>
    </row>
    <row r="48" spans="2:10" s="18" customFormat="1" ht="65.25" customHeight="1" x14ac:dyDescent="0.25">
      <c r="B48" s="65" t="s">
        <v>132</v>
      </c>
      <c r="C48" s="77" t="s">
        <v>17</v>
      </c>
      <c r="D48" s="78" t="s">
        <v>16</v>
      </c>
      <c r="E48" s="56">
        <f>150+400+266</f>
        <v>816</v>
      </c>
      <c r="F48" s="79" t="s">
        <v>61</v>
      </c>
      <c r="G48" s="80" t="s">
        <v>125</v>
      </c>
      <c r="H48" s="80"/>
      <c r="J48" s="20"/>
    </row>
    <row r="49" spans="2:10" s="18" customFormat="1" ht="56.25" x14ac:dyDescent="0.25">
      <c r="B49" s="65" t="s">
        <v>132</v>
      </c>
      <c r="C49" s="38" t="s">
        <v>77</v>
      </c>
      <c r="D49" s="23" t="s">
        <v>78</v>
      </c>
      <c r="E49" s="56">
        <v>3000</v>
      </c>
      <c r="F49" s="25" t="s">
        <v>61</v>
      </c>
      <c r="G49" s="26" t="s">
        <v>125</v>
      </c>
      <c r="H49" s="26" t="s">
        <v>79</v>
      </c>
    </row>
    <row r="50" spans="2:10" s="18" customFormat="1" ht="56.25" x14ac:dyDescent="0.25">
      <c r="B50" s="67" t="s">
        <v>132</v>
      </c>
      <c r="C50" s="76" t="s">
        <v>163</v>
      </c>
      <c r="D50" s="68" t="s">
        <v>164</v>
      </c>
      <c r="E50" s="69">
        <v>500</v>
      </c>
      <c r="F50" s="70" t="s">
        <v>61</v>
      </c>
      <c r="G50" s="71" t="s">
        <v>152</v>
      </c>
      <c r="H50" s="71" t="s">
        <v>79</v>
      </c>
    </row>
    <row r="51" spans="2:10" s="18" customFormat="1" ht="75" customHeight="1" x14ac:dyDescent="0.25">
      <c r="B51" s="65" t="s">
        <v>132</v>
      </c>
      <c r="C51" s="77" t="s">
        <v>25</v>
      </c>
      <c r="D51" s="78" t="s">
        <v>119</v>
      </c>
      <c r="E51" s="56">
        <v>100000</v>
      </c>
      <c r="F51" s="79" t="s">
        <v>64</v>
      </c>
      <c r="G51" s="80" t="s">
        <v>125</v>
      </c>
      <c r="H51" s="80"/>
    </row>
    <row r="52" spans="2:10" s="1" customFormat="1" ht="63.75" customHeight="1" x14ac:dyDescent="0.25">
      <c r="B52" s="104" t="s">
        <v>132</v>
      </c>
      <c r="C52" s="23" t="s">
        <v>45</v>
      </c>
      <c r="D52" s="23" t="s">
        <v>63</v>
      </c>
      <c r="E52" s="24">
        <f>6000+3850</f>
        <v>9850</v>
      </c>
      <c r="F52" s="25" t="s">
        <v>64</v>
      </c>
      <c r="G52" s="26" t="s">
        <v>125</v>
      </c>
      <c r="H52" s="26"/>
    </row>
    <row r="53" spans="2:10" s="18" customFormat="1" ht="63.75" customHeight="1" x14ac:dyDescent="0.25">
      <c r="B53" s="65" t="s">
        <v>132</v>
      </c>
      <c r="C53" s="78" t="s">
        <v>120</v>
      </c>
      <c r="D53" s="78" t="s">
        <v>121</v>
      </c>
      <c r="E53" s="56">
        <v>450</v>
      </c>
      <c r="F53" s="79" t="s">
        <v>61</v>
      </c>
      <c r="G53" s="80" t="s">
        <v>125</v>
      </c>
      <c r="H53" s="80"/>
    </row>
    <row r="54" spans="2:10" s="18" customFormat="1" ht="77.25" customHeight="1" x14ac:dyDescent="0.25">
      <c r="B54" s="65" t="s">
        <v>132</v>
      </c>
      <c r="C54" s="30">
        <v>79700000</v>
      </c>
      <c r="D54" s="23" t="s">
        <v>27</v>
      </c>
      <c r="E54" s="56">
        <v>600000</v>
      </c>
      <c r="F54" s="25" t="s">
        <v>61</v>
      </c>
      <c r="G54" s="26" t="s">
        <v>125</v>
      </c>
      <c r="H54" s="26" t="s">
        <v>80</v>
      </c>
    </row>
    <row r="55" spans="2:10" s="18" customFormat="1" ht="62.25" customHeight="1" x14ac:dyDescent="0.25">
      <c r="B55" s="65" t="s">
        <v>132</v>
      </c>
      <c r="C55" s="30">
        <v>79800000</v>
      </c>
      <c r="D55" s="23" t="s">
        <v>81</v>
      </c>
      <c r="E55" s="56">
        <v>10000</v>
      </c>
      <c r="F55" s="25" t="s">
        <v>64</v>
      </c>
      <c r="G55" s="26" t="s">
        <v>125</v>
      </c>
      <c r="H55" s="26"/>
    </row>
    <row r="56" spans="2:10" s="18" customFormat="1" ht="62.25" customHeight="1" x14ac:dyDescent="0.25">
      <c r="B56" s="65" t="s">
        <v>132</v>
      </c>
      <c r="C56" s="23" t="s">
        <v>53</v>
      </c>
      <c r="D56" s="23" t="s">
        <v>65</v>
      </c>
      <c r="E56" s="56">
        <f>20000+12000</f>
        <v>32000</v>
      </c>
      <c r="F56" s="25" t="s">
        <v>61</v>
      </c>
      <c r="G56" s="26" t="s">
        <v>125</v>
      </c>
      <c r="H56" s="23" t="s">
        <v>68</v>
      </c>
    </row>
    <row r="57" spans="2:10" s="18" customFormat="1" ht="62.25" customHeight="1" x14ac:dyDescent="0.25">
      <c r="B57" s="65" t="s">
        <v>132</v>
      </c>
      <c r="C57" s="38" t="s">
        <v>24</v>
      </c>
      <c r="D57" s="23" t="s">
        <v>71</v>
      </c>
      <c r="E57" s="56">
        <v>12000</v>
      </c>
      <c r="F57" s="25" t="s">
        <v>64</v>
      </c>
      <c r="G57" s="26" t="s">
        <v>125</v>
      </c>
      <c r="H57" s="23"/>
    </row>
    <row r="58" spans="2:10" s="18" customFormat="1" ht="62.25" customHeight="1" x14ac:dyDescent="0.25">
      <c r="B58" s="65" t="s">
        <v>132</v>
      </c>
      <c r="C58" s="38" t="s">
        <v>122</v>
      </c>
      <c r="D58" s="23" t="s">
        <v>123</v>
      </c>
      <c r="E58" s="56">
        <v>1000</v>
      </c>
      <c r="F58" s="25" t="s">
        <v>61</v>
      </c>
      <c r="G58" s="26" t="s">
        <v>125</v>
      </c>
      <c r="H58" s="23"/>
    </row>
    <row r="59" spans="2:10" s="18" customFormat="1" ht="60.75" customHeight="1" x14ac:dyDescent="0.25">
      <c r="B59" s="67" t="s">
        <v>132</v>
      </c>
      <c r="C59" s="68" t="s">
        <v>82</v>
      </c>
      <c r="D59" s="68" t="s">
        <v>83</v>
      </c>
      <c r="E59" s="69">
        <v>10000</v>
      </c>
      <c r="F59" s="70" t="s">
        <v>61</v>
      </c>
      <c r="G59" s="71" t="s">
        <v>125</v>
      </c>
      <c r="H59" s="71" t="s">
        <v>79</v>
      </c>
    </row>
    <row r="60" spans="2:10" s="18" customFormat="1" ht="36.75" customHeight="1" x14ac:dyDescent="0.25">
      <c r="B60" s="65" t="s">
        <v>132</v>
      </c>
      <c r="C60" s="78" t="s">
        <v>12</v>
      </c>
      <c r="D60" s="78" t="s">
        <v>19</v>
      </c>
      <c r="E60" s="56">
        <f>80000+110000</f>
        <v>190000</v>
      </c>
      <c r="F60" s="79" t="s">
        <v>64</v>
      </c>
      <c r="G60" s="80" t="s">
        <v>125</v>
      </c>
      <c r="H60" s="81"/>
    </row>
    <row r="61" spans="2:10" s="18" customFormat="1" ht="54.75" customHeight="1" x14ac:dyDescent="0.25">
      <c r="B61" s="65" t="s">
        <v>132</v>
      </c>
      <c r="C61" s="23" t="s">
        <v>115</v>
      </c>
      <c r="D61" s="23" t="s">
        <v>116</v>
      </c>
      <c r="E61" s="56">
        <v>15000</v>
      </c>
      <c r="F61" s="25" t="s">
        <v>61</v>
      </c>
      <c r="G61" s="26" t="s">
        <v>125</v>
      </c>
      <c r="H61" s="26" t="s">
        <v>79</v>
      </c>
    </row>
    <row r="62" spans="2:10" s="18" customFormat="1" ht="54.75" customHeight="1" x14ac:dyDescent="0.25">
      <c r="B62" s="107" t="s">
        <v>132</v>
      </c>
      <c r="C62" s="68" t="s">
        <v>165</v>
      </c>
      <c r="D62" s="68" t="s">
        <v>166</v>
      </c>
      <c r="E62" s="69">
        <v>4900</v>
      </c>
      <c r="F62" s="70" t="s">
        <v>61</v>
      </c>
      <c r="G62" s="71" t="s">
        <v>152</v>
      </c>
      <c r="H62" s="71" t="s">
        <v>79</v>
      </c>
    </row>
    <row r="63" spans="2:10" s="1" customFormat="1" ht="75" customHeight="1" x14ac:dyDescent="0.25">
      <c r="B63" s="126" t="s">
        <v>135</v>
      </c>
      <c r="C63" s="127"/>
      <c r="D63" s="127"/>
      <c r="E63" s="16">
        <f>SUM(E64:E67)</f>
        <v>1710000</v>
      </c>
      <c r="F63" s="13"/>
      <c r="G63" s="14"/>
      <c r="H63" s="10"/>
      <c r="I63" s="61"/>
      <c r="J63" s="62"/>
    </row>
    <row r="64" spans="2:10" s="1" customFormat="1" ht="59.25" customHeight="1" x14ac:dyDescent="0.25">
      <c r="B64" s="104" t="s">
        <v>132</v>
      </c>
      <c r="C64" s="23" t="s">
        <v>24</v>
      </c>
      <c r="D64" s="23" t="s">
        <v>71</v>
      </c>
      <c r="E64" s="24">
        <f>1710000-142500-E66-E65</f>
        <v>1314302.3999999999</v>
      </c>
      <c r="F64" s="25" t="s">
        <v>64</v>
      </c>
      <c r="G64" s="26" t="s">
        <v>125</v>
      </c>
      <c r="H64" s="41"/>
      <c r="J64" s="62"/>
    </row>
    <row r="65" spans="2:13" s="1" customFormat="1" ht="67.5" x14ac:dyDescent="0.25">
      <c r="B65" s="104" t="s">
        <v>132</v>
      </c>
      <c r="C65" s="23" t="s">
        <v>103</v>
      </c>
      <c r="D65" s="23" t="s">
        <v>71</v>
      </c>
      <c r="E65" s="24">
        <v>33000</v>
      </c>
      <c r="F65" s="25" t="s">
        <v>61</v>
      </c>
      <c r="G65" s="26" t="s">
        <v>151</v>
      </c>
      <c r="H65" s="48" t="s">
        <v>98</v>
      </c>
      <c r="J65" s="62"/>
    </row>
    <row r="66" spans="2:13" s="1" customFormat="1" ht="67.5" x14ac:dyDescent="0.25">
      <c r="B66" s="104" t="s">
        <v>132</v>
      </c>
      <c r="C66" s="23" t="s">
        <v>103</v>
      </c>
      <c r="D66" s="23" t="s">
        <v>71</v>
      </c>
      <c r="E66" s="24">
        <v>220197.6</v>
      </c>
      <c r="F66" s="25" t="s">
        <v>61</v>
      </c>
      <c r="G66" s="26" t="s">
        <v>150</v>
      </c>
      <c r="H66" s="48" t="s">
        <v>98</v>
      </c>
    </row>
    <row r="67" spans="2:13" s="1" customFormat="1" ht="98.25" customHeight="1" x14ac:dyDescent="0.25">
      <c r="B67" s="104" t="s">
        <v>132</v>
      </c>
      <c r="C67" s="23" t="s">
        <v>24</v>
      </c>
      <c r="D67" s="23" t="s">
        <v>71</v>
      </c>
      <c r="E67" s="24">
        <v>142500</v>
      </c>
      <c r="F67" s="25" t="s">
        <v>61</v>
      </c>
      <c r="G67" s="26" t="s">
        <v>125</v>
      </c>
      <c r="H67" s="48" t="s">
        <v>128</v>
      </c>
      <c r="J67" s="62"/>
    </row>
    <row r="68" spans="2:13" s="1" customFormat="1" ht="31.5" customHeight="1" x14ac:dyDescent="0.25">
      <c r="B68" s="126" t="s">
        <v>136</v>
      </c>
      <c r="C68" s="127"/>
      <c r="D68" s="127"/>
      <c r="E68" s="16">
        <f>SUM(E69:E73)</f>
        <v>22370000</v>
      </c>
      <c r="F68" s="13"/>
      <c r="G68" s="9"/>
      <c r="H68" s="10"/>
      <c r="I68" s="61"/>
      <c r="J68" s="62"/>
    </row>
    <row r="69" spans="2:13" s="1" customFormat="1" ht="75.75" customHeight="1" x14ac:dyDescent="0.25">
      <c r="B69" s="104" t="s">
        <v>132</v>
      </c>
      <c r="C69" s="23" t="s">
        <v>7</v>
      </c>
      <c r="D69" s="23" t="s">
        <v>57</v>
      </c>
      <c r="E69" s="24">
        <f>3750000+400000</f>
        <v>4150000</v>
      </c>
      <c r="F69" s="25" t="s">
        <v>61</v>
      </c>
      <c r="G69" s="26" t="s">
        <v>125</v>
      </c>
      <c r="H69" s="48" t="s">
        <v>97</v>
      </c>
    </row>
    <row r="70" spans="2:13" s="1" customFormat="1" ht="75.75" customHeight="1" x14ac:dyDescent="0.25">
      <c r="B70" s="66" t="s">
        <v>133</v>
      </c>
      <c r="C70" s="23" t="s">
        <v>7</v>
      </c>
      <c r="D70" s="23" t="s">
        <v>57</v>
      </c>
      <c r="E70" s="24">
        <v>100000</v>
      </c>
      <c r="F70" s="25" t="s">
        <v>61</v>
      </c>
      <c r="G70" s="26" t="s">
        <v>125</v>
      </c>
      <c r="H70" s="48" t="s">
        <v>97</v>
      </c>
    </row>
    <row r="71" spans="2:13" s="1" customFormat="1" ht="121.5" customHeight="1" x14ac:dyDescent="0.25">
      <c r="B71" s="104" t="s">
        <v>132</v>
      </c>
      <c r="C71" s="23">
        <v>33600000</v>
      </c>
      <c r="D71" s="23" t="s">
        <v>29</v>
      </c>
      <c r="E71" s="24">
        <f>1440000+270000-22680</f>
        <v>1687320</v>
      </c>
      <c r="F71" s="25" t="s">
        <v>64</v>
      </c>
      <c r="G71" s="26" t="s">
        <v>125</v>
      </c>
      <c r="H71" s="41"/>
      <c r="J71" s="62"/>
      <c r="L71" s="62"/>
      <c r="M71" s="62"/>
    </row>
    <row r="72" spans="2:13" s="1" customFormat="1" ht="121.5" customHeight="1" x14ac:dyDescent="0.25">
      <c r="B72" s="104" t="s">
        <v>132</v>
      </c>
      <c r="C72" s="23" t="s">
        <v>32</v>
      </c>
      <c r="D72" s="23" t="s">
        <v>29</v>
      </c>
      <c r="E72" s="24">
        <v>22680</v>
      </c>
      <c r="F72" s="25" t="s">
        <v>61</v>
      </c>
      <c r="G72" s="26" t="s">
        <v>150</v>
      </c>
      <c r="H72" s="48" t="s">
        <v>157</v>
      </c>
      <c r="J72" s="62"/>
      <c r="L72" s="62"/>
      <c r="M72" s="62"/>
    </row>
    <row r="73" spans="2:13" s="1" customFormat="1" ht="87.75" customHeight="1" x14ac:dyDescent="0.25">
      <c r="B73" s="104" t="s">
        <v>132</v>
      </c>
      <c r="C73" s="23" t="s">
        <v>32</v>
      </c>
      <c r="D73" s="23" t="s">
        <v>29</v>
      </c>
      <c r="E73" s="24">
        <v>16410000</v>
      </c>
      <c r="F73" s="25" t="s">
        <v>61</v>
      </c>
      <c r="G73" s="26" t="s">
        <v>125</v>
      </c>
      <c r="H73" s="48" t="s">
        <v>98</v>
      </c>
      <c r="J73" s="62"/>
      <c r="K73" s="62"/>
    </row>
    <row r="74" spans="2:13" s="1" customFormat="1" ht="60" customHeight="1" x14ac:dyDescent="0.25">
      <c r="B74" s="126" t="s">
        <v>137</v>
      </c>
      <c r="C74" s="127"/>
      <c r="D74" s="127"/>
      <c r="E74" s="16">
        <f>SUM(E75:E79)</f>
        <v>1700000</v>
      </c>
      <c r="F74" s="13"/>
      <c r="G74" s="14"/>
      <c r="H74" s="10"/>
      <c r="I74" s="61"/>
      <c r="J74" s="105"/>
    </row>
    <row r="75" spans="2:13" s="1" customFormat="1" ht="36.75" customHeight="1" x14ac:dyDescent="0.25">
      <c r="B75" s="104" t="s">
        <v>132</v>
      </c>
      <c r="C75" s="23" t="s">
        <v>7</v>
      </c>
      <c r="D75" s="23" t="s">
        <v>28</v>
      </c>
      <c r="E75" s="24">
        <v>42272.9</v>
      </c>
      <c r="F75" s="25" t="s">
        <v>64</v>
      </c>
      <c r="G75" s="26" t="s">
        <v>125</v>
      </c>
      <c r="H75" s="41"/>
    </row>
    <row r="76" spans="2:13" s="1" customFormat="1" ht="51" customHeight="1" x14ac:dyDescent="0.25">
      <c r="B76" s="104" t="s">
        <v>132</v>
      </c>
      <c r="C76" s="23" t="s">
        <v>32</v>
      </c>
      <c r="D76" s="23" t="s">
        <v>29</v>
      </c>
      <c r="E76" s="24">
        <v>60607.14</v>
      </c>
      <c r="F76" s="25" t="s">
        <v>64</v>
      </c>
      <c r="G76" s="26" t="s">
        <v>125</v>
      </c>
      <c r="H76" s="41"/>
      <c r="J76" s="62"/>
    </row>
    <row r="77" spans="2:13" s="1" customFormat="1" ht="45" customHeight="1" x14ac:dyDescent="0.25">
      <c r="B77" s="104" t="s">
        <v>132</v>
      </c>
      <c r="C77" s="23" t="s">
        <v>89</v>
      </c>
      <c r="D77" s="23" t="s">
        <v>90</v>
      </c>
      <c r="E77" s="24">
        <v>798000</v>
      </c>
      <c r="F77" s="25" t="s">
        <v>64</v>
      </c>
      <c r="G77" s="26" t="s">
        <v>125</v>
      </c>
      <c r="H77" s="48"/>
    </row>
    <row r="78" spans="2:13" s="1" customFormat="1" ht="78.75" x14ac:dyDescent="0.25">
      <c r="B78" s="104" t="s">
        <v>132</v>
      </c>
      <c r="C78" s="23" t="s">
        <v>24</v>
      </c>
      <c r="D78" s="23" t="s">
        <v>71</v>
      </c>
      <c r="E78" s="24">
        <v>69239.960000000006</v>
      </c>
      <c r="F78" s="25" t="s">
        <v>61</v>
      </c>
      <c r="G78" s="26" t="s">
        <v>125</v>
      </c>
      <c r="H78" s="48" t="s">
        <v>129</v>
      </c>
      <c r="J78" s="62"/>
    </row>
    <row r="79" spans="2:13" s="1" customFormat="1" ht="67.5" x14ac:dyDescent="0.25">
      <c r="B79" s="104" t="s">
        <v>132</v>
      </c>
      <c r="C79" s="23" t="s">
        <v>24</v>
      </c>
      <c r="D79" s="23" t="s">
        <v>71</v>
      </c>
      <c r="E79" s="24">
        <v>729880</v>
      </c>
      <c r="F79" s="25" t="s">
        <v>61</v>
      </c>
      <c r="G79" s="26" t="s">
        <v>152</v>
      </c>
      <c r="H79" s="48" t="s">
        <v>98</v>
      </c>
    </row>
    <row r="80" spans="2:13" s="1" customFormat="1" ht="65.25" customHeight="1" x14ac:dyDescent="0.25">
      <c r="B80" s="126" t="s">
        <v>138</v>
      </c>
      <c r="C80" s="127"/>
      <c r="D80" s="127"/>
      <c r="E80" s="16">
        <f>SUM(E81:E83)</f>
        <v>1753700.5</v>
      </c>
      <c r="F80" s="13"/>
      <c r="G80" s="14"/>
      <c r="H80" s="10"/>
      <c r="I80" s="61"/>
      <c r="J80" s="62"/>
    </row>
    <row r="81" spans="2:11" s="1" customFormat="1" ht="33.75" x14ac:dyDescent="0.25">
      <c r="B81" s="104" t="s">
        <v>132</v>
      </c>
      <c r="C81" s="36" t="s">
        <v>25</v>
      </c>
      <c r="D81" s="36" t="s">
        <v>69</v>
      </c>
      <c r="E81" s="24">
        <v>55000</v>
      </c>
      <c r="F81" s="43" t="s">
        <v>64</v>
      </c>
      <c r="G81" s="26" t="s">
        <v>125</v>
      </c>
      <c r="H81" s="44"/>
    </row>
    <row r="82" spans="2:11" s="1" customFormat="1" ht="78.75" x14ac:dyDescent="0.25">
      <c r="B82" s="104" t="s">
        <v>132</v>
      </c>
      <c r="C82" s="23">
        <v>85100000</v>
      </c>
      <c r="D82" s="23" t="s">
        <v>71</v>
      </c>
      <c r="E82" s="24">
        <v>127500.5</v>
      </c>
      <c r="F82" s="25" t="s">
        <v>61</v>
      </c>
      <c r="G82" s="26" t="s">
        <v>125</v>
      </c>
      <c r="H82" s="45" t="s">
        <v>124</v>
      </c>
    </row>
    <row r="83" spans="2:11" s="1" customFormat="1" ht="60.75" customHeight="1" x14ac:dyDescent="0.25">
      <c r="B83" s="104" t="s">
        <v>132</v>
      </c>
      <c r="C83" s="23">
        <v>85100000</v>
      </c>
      <c r="D83" s="23" t="s">
        <v>71</v>
      </c>
      <c r="E83" s="24">
        <f>1460000+111200</f>
        <v>1571200</v>
      </c>
      <c r="F83" s="25" t="s">
        <v>61</v>
      </c>
      <c r="G83" s="26" t="s">
        <v>125</v>
      </c>
      <c r="H83" s="48" t="s">
        <v>98</v>
      </c>
      <c r="K83" s="62"/>
    </row>
    <row r="84" spans="2:11" s="1" customFormat="1" ht="61.5" customHeight="1" x14ac:dyDescent="0.25">
      <c r="B84" s="126" t="s">
        <v>139</v>
      </c>
      <c r="C84" s="127"/>
      <c r="D84" s="127"/>
      <c r="E84" s="16">
        <f>SUM(E85:E86)</f>
        <v>184166.6</v>
      </c>
      <c r="F84" s="13"/>
      <c r="G84" s="14"/>
      <c r="H84" s="10"/>
      <c r="I84" s="61"/>
      <c r="J84" s="62"/>
    </row>
    <row r="85" spans="2:11" s="18" customFormat="1" ht="70.5" customHeight="1" x14ac:dyDescent="0.25">
      <c r="B85" s="65" t="s">
        <v>132</v>
      </c>
      <c r="C85" s="23" t="s">
        <v>24</v>
      </c>
      <c r="D85" s="23" t="s">
        <v>71</v>
      </c>
      <c r="E85" s="56">
        <v>14166.6</v>
      </c>
      <c r="F85" s="25" t="s">
        <v>61</v>
      </c>
      <c r="G85" s="26" t="s">
        <v>125</v>
      </c>
      <c r="H85" s="48" t="s">
        <v>76</v>
      </c>
    </row>
    <row r="86" spans="2:11" s="1" customFormat="1" ht="75" customHeight="1" x14ac:dyDescent="0.25">
      <c r="B86" s="104" t="s">
        <v>132</v>
      </c>
      <c r="C86" s="23" t="s">
        <v>24</v>
      </c>
      <c r="D86" s="23" t="s">
        <v>71</v>
      </c>
      <c r="E86" s="24">
        <v>170000</v>
      </c>
      <c r="F86" s="25" t="s">
        <v>61</v>
      </c>
      <c r="G86" s="26" t="s">
        <v>125</v>
      </c>
      <c r="H86" s="48" t="s">
        <v>98</v>
      </c>
    </row>
    <row r="87" spans="2:11" s="1" customFormat="1" ht="65.25" customHeight="1" x14ac:dyDescent="0.25">
      <c r="B87" s="121" t="s">
        <v>140</v>
      </c>
      <c r="C87" s="122"/>
      <c r="D87" s="122"/>
      <c r="E87" s="16">
        <f>SUM(E88:E92)</f>
        <v>1090000</v>
      </c>
      <c r="F87" s="13"/>
      <c r="G87" s="14"/>
      <c r="H87" s="60"/>
      <c r="I87" s="61"/>
      <c r="J87" s="62"/>
    </row>
    <row r="88" spans="2:11" s="1" customFormat="1" ht="49.5" customHeight="1" x14ac:dyDescent="0.25">
      <c r="B88" s="104" t="s">
        <v>132</v>
      </c>
      <c r="C88" s="23" t="s">
        <v>14</v>
      </c>
      <c r="D88" s="23" t="s">
        <v>15</v>
      </c>
      <c r="E88" s="24">
        <v>24200</v>
      </c>
      <c r="F88" s="25" t="s">
        <v>60</v>
      </c>
      <c r="G88" s="26" t="s">
        <v>125</v>
      </c>
      <c r="H88" s="41"/>
    </row>
    <row r="89" spans="2:11" s="1" customFormat="1" ht="33.75" x14ac:dyDescent="0.25">
      <c r="B89" s="104" t="s">
        <v>132</v>
      </c>
      <c r="C89" s="28">
        <v>33100000</v>
      </c>
      <c r="D89" s="28" t="s">
        <v>28</v>
      </c>
      <c r="E89" s="24">
        <f>240004-87983</f>
        <v>152021</v>
      </c>
      <c r="F89" s="29" t="s">
        <v>64</v>
      </c>
      <c r="G89" s="26" t="s">
        <v>125</v>
      </c>
      <c r="H89" s="46"/>
    </row>
    <row r="90" spans="2:11" s="1" customFormat="1" ht="60.75" customHeight="1" x14ac:dyDescent="0.25">
      <c r="B90" s="104" t="s">
        <v>132</v>
      </c>
      <c r="C90" s="23" t="s">
        <v>59</v>
      </c>
      <c r="D90" s="23" t="s">
        <v>44</v>
      </c>
      <c r="E90" s="24">
        <v>15000</v>
      </c>
      <c r="F90" s="25" t="s">
        <v>64</v>
      </c>
      <c r="G90" s="26" t="s">
        <v>125</v>
      </c>
      <c r="H90" s="41"/>
    </row>
    <row r="91" spans="2:11" s="1" customFormat="1" ht="75" customHeight="1" x14ac:dyDescent="0.25">
      <c r="B91" s="104" t="s">
        <v>132</v>
      </c>
      <c r="C91" s="23">
        <v>85100000</v>
      </c>
      <c r="D91" s="23" t="s">
        <v>71</v>
      </c>
      <c r="E91" s="24">
        <v>48983</v>
      </c>
      <c r="F91" s="25" t="s">
        <v>61</v>
      </c>
      <c r="G91" s="26" t="s">
        <v>125</v>
      </c>
      <c r="H91" s="48" t="s">
        <v>126</v>
      </c>
      <c r="J91" s="62"/>
    </row>
    <row r="92" spans="2:11" s="1" customFormat="1" ht="65.25" customHeight="1" x14ac:dyDescent="0.25">
      <c r="B92" s="67" t="s">
        <v>132</v>
      </c>
      <c r="C92" s="68">
        <v>85100000</v>
      </c>
      <c r="D92" s="68" t="s">
        <v>71</v>
      </c>
      <c r="E92" s="69">
        <f>1071996+37800-260000</f>
        <v>849796</v>
      </c>
      <c r="F92" s="70" t="s">
        <v>61</v>
      </c>
      <c r="G92" s="71" t="s">
        <v>125</v>
      </c>
      <c r="H92" s="92" t="s">
        <v>98</v>
      </c>
    </row>
    <row r="93" spans="2:11" s="1" customFormat="1" ht="80.25" customHeight="1" x14ac:dyDescent="0.25">
      <c r="B93" s="126" t="s">
        <v>141</v>
      </c>
      <c r="C93" s="127"/>
      <c r="D93" s="127"/>
      <c r="E93" s="16">
        <f>SUM(E94:E94)</f>
        <v>1250000</v>
      </c>
      <c r="F93" s="13"/>
      <c r="G93" s="14"/>
      <c r="H93" s="10"/>
      <c r="I93" s="61"/>
      <c r="J93" s="62"/>
    </row>
    <row r="94" spans="2:11" s="1" customFormat="1" ht="84.75" customHeight="1" x14ac:dyDescent="0.25">
      <c r="B94" s="104" t="s">
        <v>132</v>
      </c>
      <c r="C94" s="23" t="s">
        <v>32</v>
      </c>
      <c r="D94" s="23" t="s">
        <v>29</v>
      </c>
      <c r="E94" s="24">
        <v>1250000</v>
      </c>
      <c r="F94" s="25" t="s">
        <v>61</v>
      </c>
      <c r="G94" s="26" t="s">
        <v>125</v>
      </c>
      <c r="H94" s="48" t="s">
        <v>98</v>
      </c>
    </row>
    <row r="95" spans="2:11" s="1" customFormat="1" ht="57.75" customHeight="1" x14ac:dyDescent="0.25">
      <c r="B95" s="119" t="s">
        <v>142</v>
      </c>
      <c r="C95" s="120"/>
      <c r="D95" s="120"/>
      <c r="E95" s="57">
        <f>SUM(E96:E99)</f>
        <v>4000000</v>
      </c>
      <c r="F95" s="58"/>
      <c r="G95" s="58"/>
      <c r="H95" s="59"/>
      <c r="I95" s="61"/>
      <c r="J95" s="62"/>
    </row>
    <row r="96" spans="2:11" s="18" customFormat="1" ht="29.25" customHeight="1" x14ac:dyDescent="0.25">
      <c r="B96" s="65" t="s">
        <v>132</v>
      </c>
      <c r="C96" s="38">
        <v>33100000</v>
      </c>
      <c r="D96" s="23" t="s">
        <v>8</v>
      </c>
      <c r="E96" s="56">
        <v>124876.2</v>
      </c>
      <c r="F96" s="25" t="s">
        <v>64</v>
      </c>
      <c r="G96" s="26" t="s">
        <v>125</v>
      </c>
      <c r="H96" s="26"/>
    </row>
    <row r="97" spans="2:11" s="1" customFormat="1" ht="33.75" x14ac:dyDescent="0.25">
      <c r="B97" s="104" t="s">
        <v>132</v>
      </c>
      <c r="C97" s="38" t="s">
        <v>32</v>
      </c>
      <c r="D97" s="23" t="s">
        <v>9</v>
      </c>
      <c r="E97" s="24">
        <f>2995349.4-3495.8-99984.41</f>
        <v>2891869.19</v>
      </c>
      <c r="F97" s="25" t="s">
        <v>64</v>
      </c>
      <c r="G97" s="26" t="s">
        <v>125</v>
      </c>
      <c r="H97" s="26"/>
    </row>
    <row r="98" spans="2:11" s="1" customFormat="1" ht="67.5" x14ac:dyDescent="0.25">
      <c r="B98" s="104" t="s">
        <v>132</v>
      </c>
      <c r="C98" s="38" t="s">
        <v>24</v>
      </c>
      <c r="D98" s="23" t="s">
        <v>71</v>
      </c>
      <c r="E98" s="24">
        <v>73605.850000000006</v>
      </c>
      <c r="F98" s="25" t="s">
        <v>61</v>
      </c>
      <c r="G98" s="26" t="s">
        <v>125</v>
      </c>
      <c r="H98" s="45" t="s">
        <v>127</v>
      </c>
    </row>
    <row r="99" spans="2:11" s="1" customFormat="1" ht="83.25" customHeight="1" x14ac:dyDescent="0.25">
      <c r="B99" s="104" t="s">
        <v>132</v>
      </c>
      <c r="C99" s="23" t="s">
        <v>24</v>
      </c>
      <c r="D99" s="23" t="s">
        <v>71</v>
      </c>
      <c r="E99" s="24">
        <v>909648.76</v>
      </c>
      <c r="F99" s="25" t="s">
        <v>61</v>
      </c>
      <c r="G99" s="26" t="s">
        <v>152</v>
      </c>
      <c r="H99" s="32" t="s">
        <v>98</v>
      </c>
    </row>
    <row r="100" spans="2:11" ht="122.25" customHeight="1" x14ac:dyDescent="0.25">
      <c r="B100" s="126" t="s">
        <v>143</v>
      </c>
      <c r="C100" s="127"/>
      <c r="D100" s="127"/>
      <c r="E100" s="16">
        <f>SUM(E101)</f>
        <v>2190000</v>
      </c>
      <c r="F100" s="13"/>
      <c r="G100" s="14"/>
      <c r="H100" s="10"/>
      <c r="I100" s="61"/>
      <c r="J100" s="63">
        <f>E95-4000000</f>
        <v>0</v>
      </c>
    </row>
    <row r="101" spans="2:11" s="1" customFormat="1" ht="117.75" customHeight="1" x14ac:dyDescent="0.25">
      <c r="B101" s="104" t="s">
        <v>132</v>
      </c>
      <c r="C101" s="23" t="s">
        <v>32</v>
      </c>
      <c r="D101" s="23" t="s">
        <v>29</v>
      </c>
      <c r="E101" s="24">
        <v>2190000</v>
      </c>
      <c r="F101" s="25" t="s">
        <v>61</v>
      </c>
      <c r="G101" s="26" t="s">
        <v>152</v>
      </c>
      <c r="H101" s="48" t="s">
        <v>98</v>
      </c>
    </row>
    <row r="102" spans="2:11" s="1" customFormat="1" ht="57" customHeight="1" x14ac:dyDescent="0.25">
      <c r="B102" s="121" t="s">
        <v>144</v>
      </c>
      <c r="C102" s="122"/>
      <c r="D102" s="122"/>
      <c r="E102" s="16">
        <f>SUM(E103:E107)</f>
        <v>474000</v>
      </c>
      <c r="F102" s="13"/>
      <c r="G102" s="60"/>
      <c r="H102" s="60"/>
      <c r="I102" s="61"/>
      <c r="J102" s="62"/>
    </row>
    <row r="103" spans="2:11" s="1" customFormat="1" ht="59.25" customHeight="1" x14ac:dyDescent="0.25">
      <c r="B103" s="104" t="s">
        <v>148</v>
      </c>
      <c r="C103" s="23">
        <v>33100000</v>
      </c>
      <c r="D103" s="23" t="s">
        <v>28</v>
      </c>
      <c r="E103" s="24">
        <f>20000+14559.87+22385.83</f>
        <v>56945.700000000004</v>
      </c>
      <c r="F103" s="25" t="s">
        <v>64</v>
      </c>
      <c r="G103" s="26" t="s">
        <v>125</v>
      </c>
      <c r="H103" s="41"/>
    </row>
    <row r="104" spans="2:11" s="1" customFormat="1" ht="38.25" x14ac:dyDescent="0.25">
      <c r="B104" s="104" t="s">
        <v>148</v>
      </c>
      <c r="C104" s="36">
        <v>33600000</v>
      </c>
      <c r="D104" s="36" t="s">
        <v>29</v>
      </c>
      <c r="E104" s="24">
        <f>266824.3+68000-17770</f>
        <v>317054.3</v>
      </c>
      <c r="F104" s="43" t="s">
        <v>64</v>
      </c>
      <c r="G104" s="26" t="s">
        <v>125</v>
      </c>
      <c r="H104" s="44"/>
    </row>
    <row r="105" spans="2:11" s="1" customFormat="1" ht="78.75" x14ac:dyDescent="0.25">
      <c r="B105" s="104" t="s">
        <v>132</v>
      </c>
      <c r="C105" s="38" t="s">
        <v>103</v>
      </c>
      <c r="D105" s="23" t="s">
        <v>71</v>
      </c>
      <c r="E105" s="24">
        <v>8645.83</v>
      </c>
      <c r="F105" s="25" t="s">
        <v>61</v>
      </c>
      <c r="G105" s="26" t="s">
        <v>125</v>
      </c>
      <c r="H105" s="45" t="s">
        <v>130</v>
      </c>
    </row>
    <row r="106" spans="2:11" s="1" customFormat="1" ht="67.5" x14ac:dyDescent="0.25">
      <c r="B106" s="104" t="s">
        <v>132</v>
      </c>
      <c r="C106" s="38" t="s">
        <v>103</v>
      </c>
      <c r="D106" s="23" t="s">
        <v>71</v>
      </c>
      <c r="E106" s="24">
        <v>13740</v>
      </c>
      <c r="F106" s="25" t="s">
        <v>61</v>
      </c>
      <c r="G106" s="26" t="s">
        <v>152</v>
      </c>
      <c r="H106" s="48" t="s">
        <v>98</v>
      </c>
      <c r="J106" s="62"/>
      <c r="K106" s="62"/>
    </row>
    <row r="107" spans="2:11" s="1" customFormat="1" ht="51" customHeight="1" x14ac:dyDescent="0.25">
      <c r="B107" s="104" t="s">
        <v>132</v>
      </c>
      <c r="C107" s="38" t="s">
        <v>24</v>
      </c>
      <c r="D107" s="23" t="s">
        <v>71</v>
      </c>
      <c r="E107" s="24">
        <v>77614.17</v>
      </c>
      <c r="F107" s="25" t="s">
        <v>64</v>
      </c>
      <c r="G107" s="26" t="s">
        <v>153</v>
      </c>
      <c r="H107" s="45"/>
      <c r="J107" s="62"/>
      <c r="K107" s="62"/>
    </row>
    <row r="108" spans="2:11" ht="59.25" customHeight="1" x14ac:dyDescent="0.25">
      <c r="B108" s="126" t="s">
        <v>145</v>
      </c>
      <c r="C108" s="127"/>
      <c r="D108" s="127"/>
      <c r="E108" s="16">
        <f>SUM(E109:E111)</f>
        <v>2100000</v>
      </c>
      <c r="F108" s="13"/>
      <c r="G108" s="14"/>
      <c r="H108" s="10"/>
      <c r="I108" s="61"/>
      <c r="J108" s="63"/>
    </row>
    <row r="109" spans="2:11" s="18" customFormat="1" ht="42.75" customHeight="1" x14ac:dyDescent="0.25">
      <c r="B109" s="65" t="s">
        <v>132</v>
      </c>
      <c r="C109" s="23" t="s">
        <v>25</v>
      </c>
      <c r="D109" s="23" t="s">
        <v>69</v>
      </c>
      <c r="E109" s="56">
        <f>2100000-115976</f>
        <v>1984024</v>
      </c>
      <c r="F109" s="25" t="s">
        <v>64</v>
      </c>
      <c r="G109" s="26" t="s">
        <v>125</v>
      </c>
      <c r="H109" s="53"/>
    </row>
    <row r="110" spans="2:11" s="1" customFormat="1" ht="42.75" customHeight="1" x14ac:dyDescent="0.25">
      <c r="B110" s="104" t="s">
        <v>132</v>
      </c>
      <c r="C110" s="23" t="s">
        <v>156</v>
      </c>
      <c r="D110" s="23" t="s">
        <v>69</v>
      </c>
      <c r="E110" s="24">
        <f>5976</f>
        <v>5976</v>
      </c>
      <c r="F110" s="25" t="s">
        <v>61</v>
      </c>
      <c r="G110" s="26" t="s">
        <v>152</v>
      </c>
      <c r="H110" s="48" t="s">
        <v>98</v>
      </c>
    </row>
    <row r="111" spans="2:11" s="1" customFormat="1" ht="80.25" customHeight="1" x14ac:dyDescent="0.25">
      <c r="B111" s="104" t="s">
        <v>132</v>
      </c>
      <c r="C111" s="23" t="s">
        <v>154</v>
      </c>
      <c r="D111" s="23" t="s">
        <v>155</v>
      </c>
      <c r="E111" s="24">
        <f>115976-5976</f>
        <v>110000</v>
      </c>
      <c r="F111" s="25" t="s">
        <v>61</v>
      </c>
      <c r="G111" s="26" t="s">
        <v>152</v>
      </c>
      <c r="H111" s="48" t="s">
        <v>98</v>
      </c>
    </row>
    <row r="112" spans="2:11" ht="70.5" customHeight="1" x14ac:dyDescent="0.25">
      <c r="B112" s="126" t="s">
        <v>146</v>
      </c>
      <c r="C112" s="127"/>
      <c r="D112" s="127"/>
      <c r="E112" s="16">
        <f>SUM(E113:E115)</f>
        <v>442800</v>
      </c>
      <c r="F112" s="13"/>
      <c r="G112" s="14"/>
      <c r="H112" s="10"/>
      <c r="I112" s="61"/>
      <c r="J112" s="63"/>
    </row>
    <row r="113" spans="2:8" s="18" customFormat="1" ht="33.75" x14ac:dyDescent="0.25">
      <c r="B113" s="65" t="s">
        <v>132</v>
      </c>
      <c r="C113" s="99" t="s">
        <v>32</v>
      </c>
      <c r="D113" s="99" t="s">
        <v>29</v>
      </c>
      <c r="E113" s="56">
        <f>264000-4020</f>
        <v>259980</v>
      </c>
      <c r="F113" s="100" t="s">
        <v>64</v>
      </c>
      <c r="G113" s="80" t="s">
        <v>125</v>
      </c>
      <c r="H113" s="101"/>
    </row>
    <row r="114" spans="2:8" s="18" customFormat="1" ht="33.75" x14ac:dyDescent="0.25">
      <c r="B114" s="65" t="s">
        <v>132</v>
      </c>
      <c r="C114" s="28" t="s">
        <v>7</v>
      </c>
      <c r="D114" s="28" t="s">
        <v>28</v>
      </c>
      <c r="E114" s="24">
        <v>132000</v>
      </c>
      <c r="F114" s="29" t="s">
        <v>64</v>
      </c>
      <c r="G114" s="26" t="s">
        <v>125</v>
      </c>
      <c r="H114" s="55"/>
    </row>
    <row r="115" spans="2:8" s="1" customFormat="1" ht="33.75" x14ac:dyDescent="0.25">
      <c r="B115" s="104" t="s">
        <v>132</v>
      </c>
      <c r="C115" s="23" t="s">
        <v>14</v>
      </c>
      <c r="D115" s="23" t="s">
        <v>40</v>
      </c>
      <c r="E115" s="24">
        <f>4020+46800</f>
        <v>50820</v>
      </c>
      <c r="F115" s="25" t="s">
        <v>60</v>
      </c>
      <c r="G115" s="26" t="s">
        <v>125</v>
      </c>
      <c r="H115" s="23"/>
    </row>
  </sheetData>
  <autoFilter ref="A8:H115"/>
  <mergeCells count="20">
    <mergeCell ref="B80:D80"/>
    <mergeCell ref="B2:H2"/>
    <mergeCell ref="B3:H3"/>
    <mergeCell ref="B4:E4"/>
    <mergeCell ref="F4:H4"/>
    <mergeCell ref="B5:E5"/>
    <mergeCell ref="F5:H5"/>
    <mergeCell ref="B6:F6"/>
    <mergeCell ref="B9:D9"/>
    <mergeCell ref="B63:D63"/>
    <mergeCell ref="B68:D68"/>
    <mergeCell ref="B74:D74"/>
    <mergeCell ref="B108:D108"/>
    <mergeCell ref="B112:D112"/>
    <mergeCell ref="B84:D84"/>
    <mergeCell ref="B87:D87"/>
    <mergeCell ref="B93:D93"/>
    <mergeCell ref="B95:D95"/>
    <mergeCell ref="B100:D100"/>
    <mergeCell ref="B102:D102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17"/>
  <sheetViews>
    <sheetView topLeftCell="B62" zoomScaleNormal="100" zoomScaleSheetLayoutView="80" workbookViewId="0">
      <selection activeCell="E80" sqref="E80"/>
    </sheetView>
  </sheetViews>
  <sheetFormatPr defaultRowHeight="15" x14ac:dyDescent="0.2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1.5703125" bestFit="1" customWidth="1"/>
    <col min="12" max="12" width="14.28515625" bestFit="1" customWidth="1"/>
    <col min="13" max="13" width="11.5703125" bestFit="1" customWidth="1"/>
  </cols>
  <sheetData>
    <row r="2" spans="2:8" ht="18.75" x14ac:dyDescent="0.25">
      <c r="B2" s="123" t="s">
        <v>41</v>
      </c>
      <c r="C2" s="123"/>
      <c r="D2" s="123"/>
      <c r="E2" s="123"/>
      <c r="F2" s="123"/>
      <c r="G2" s="123"/>
      <c r="H2" s="123"/>
    </row>
    <row r="3" spans="2:8" ht="18.75" x14ac:dyDescent="0.3">
      <c r="B3" s="124" t="s">
        <v>4</v>
      </c>
      <c r="C3" s="124"/>
      <c r="D3" s="124"/>
      <c r="E3" s="124"/>
      <c r="F3" s="124"/>
      <c r="G3" s="124"/>
      <c r="H3" s="124"/>
    </row>
    <row r="4" spans="2:8" x14ac:dyDescent="0.25">
      <c r="B4" s="125" t="s">
        <v>54</v>
      </c>
      <c r="C4" s="125"/>
      <c r="D4" s="125"/>
      <c r="E4" s="125"/>
      <c r="F4" s="125" t="s">
        <v>21</v>
      </c>
      <c r="G4" s="125"/>
      <c r="H4" s="125"/>
    </row>
    <row r="5" spans="2:8" x14ac:dyDescent="0.25">
      <c r="B5" s="125" t="s">
        <v>20</v>
      </c>
      <c r="C5" s="125"/>
      <c r="D5" s="125"/>
      <c r="E5" s="125"/>
      <c r="F5" s="125" t="s">
        <v>10</v>
      </c>
      <c r="G5" s="125"/>
      <c r="H5" s="125"/>
    </row>
    <row r="6" spans="2:8" ht="24.75" customHeight="1" x14ac:dyDescent="0.25">
      <c r="B6" s="115" t="s">
        <v>22</v>
      </c>
      <c r="C6" s="116"/>
      <c r="D6" s="116"/>
      <c r="E6" s="116"/>
      <c r="F6" s="116"/>
      <c r="G6" s="2">
        <f>E9+E65+E70+E76+E82+E86+E89+E95+E97+E102+E104+E110+E114</f>
        <v>43465556.100000001</v>
      </c>
      <c r="H6" s="3" t="s">
        <v>23</v>
      </c>
    </row>
    <row r="7" spans="2:8" ht="25.5" x14ac:dyDescent="0.2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 x14ac:dyDescent="0.25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customHeight="1" x14ac:dyDescent="0.25">
      <c r="B9" s="117" t="s">
        <v>131</v>
      </c>
      <c r="C9" s="118"/>
      <c r="D9" s="118"/>
      <c r="E9" s="15">
        <f>SUM(E10:E63)</f>
        <v>4200889</v>
      </c>
      <c r="F9" s="11"/>
      <c r="G9" s="9"/>
      <c r="H9" s="10"/>
    </row>
    <row r="10" spans="2:8" s="18" customFormat="1" ht="33.75" x14ac:dyDescent="0.2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8" s="18" customFormat="1" ht="33.75" x14ac:dyDescent="0.2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8" s="18" customFormat="1" ht="25.5" x14ac:dyDescent="0.25">
      <c r="B12" s="67" t="s">
        <v>132</v>
      </c>
      <c r="C12" s="68" t="s">
        <v>169</v>
      </c>
      <c r="D12" s="68" t="s">
        <v>170</v>
      </c>
      <c r="E12" s="69">
        <v>6100</v>
      </c>
      <c r="F12" s="70" t="s">
        <v>60</v>
      </c>
      <c r="G12" s="97" t="s">
        <v>160</v>
      </c>
      <c r="H12" s="68"/>
    </row>
    <row r="13" spans="2:8" s="18" customFormat="1" ht="33.75" x14ac:dyDescent="0.25">
      <c r="B13" s="65" t="s">
        <v>132</v>
      </c>
      <c r="C13" s="23" t="s">
        <v>100</v>
      </c>
      <c r="D13" s="23" t="s">
        <v>101</v>
      </c>
      <c r="E13" s="56">
        <v>500</v>
      </c>
      <c r="F13" s="25" t="s">
        <v>61</v>
      </c>
      <c r="G13" s="26" t="s">
        <v>125</v>
      </c>
      <c r="H13" s="23"/>
    </row>
    <row r="14" spans="2:8" s="19" customFormat="1" ht="33.75" x14ac:dyDescent="0.25">
      <c r="B14" s="65" t="s">
        <v>132</v>
      </c>
      <c r="C14" s="28" t="s">
        <v>50</v>
      </c>
      <c r="D14" s="28" t="s">
        <v>52</v>
      </c>
      <c r="E14" s="56">
        <v>1600</v>
      </c>
      <c r="F14" s="29" t="s">
        <v>61</v>
      </c>
      <c r="G14" s="26" t="s">
        <v>125</v>
      </c>
      <c r="H14" s="28"/>
    </row>
    <row r="15" spans="2:8" s="106" customFormat="1" ht="38.25" customHeight="1" x14ac:dyDescent="0.25">
      <c r="B15" s="104" t="s">
        <v>132</v>
      </c>
      <c r="C15" s="28" t="s">
        <v>159</v>
      </c>
      <c r="D15" s="28" t="s">
        <v>158</v>
      </c>
      <c r="E15" s="24">
        <v>1973</v>
      </c>
      <c r="F15" s="29" t="s">
        <v>61</v>
      </c>
      <c r="G15" s="26" t="s">
        <v>152</v>
      </c>
      <c r="H15" s="28"/>
    </row>
    <row r="16" spans="2:8" s="18" customFormat="1" ht="49.5" customHeight="1" x14ac:dyDescent="0.25">
      <c r="B16" s="65" t="s">
        <v>132</v>
      </c>
      <c r="C16" s="23" t="s">
        <v>39</v>
      </c>
      <c r="D16" s="23" t="s">
        <v>58</v>
      </c>
      <c r="E16" s="56">
        <f>23100</f>
        <v>23100</v>
      </c>
      <c r="F16" s="25" t="s">
        <v>60</v>
      </c>
      <c r="G16" s="26" t="s">
        <v>125</v>
      </c>
      <c r="H16" s="23"/>
    </row>
    <row r="17" spans="2:8" s="18" customFormat="1" ht="49.5" customHeight="1" x14ac:dyDescent="0.25">
      <c r="B17" s="65" t="s">
        <v>132</v>
      </c>
      <c r="C17" s="23" t="s">
        <v>39</v>
      </c>
      <c r="D17" s="23" t="s">
        <v>58</v>
      </c>
      <c r="E17" s="56">
        <f>60000+9000</f>
        <v>69000</v>
      </c>
      <c r="F17" s="25" t="s">
        <v>64</v>
      </c>
      <c r="G17" s="26" t="s">
        <v>125</v>
      </c>
      <c r="H17" s="23"/>
    </row>
    <row r="18" spans="2:8" s="18" customFormat="1" ht="38.25" customHeight="1" x14ac:dyDescent="0.25">
      <c r="B18" s="65" t="s">
        <v>147</v>
      </c>
      <c r="C18" s="84">
        <v>31400000</v>
      </c>
      <c r="D18" s="78" t="s">
        <v>11</v>
      </c>
      <c r="E18" s="56">
        <f>3000+1800</f>
        <v>4800</v>
      </c>
      <c r="F18" s="79" t="s">
        <v>60</v>
      </c>
      <c r="G18" s="80" t="s">
        <v>125</v>
      </c>
      <c r="H18" s="81"/>
    </row>
    <row r="19" spans="2:8" s="18" customFormat="1" ht="56.25" x14ac:dyDescent="0.25">
      <c r="B19" s="65" t="s">
        <v>147</v>
      </c>
      <c r="C19" s="84">
        <v>33100000</v>
      </c>
      <c r="D19" s="78" t="s">
        <v>57</v>
      </c>
      <c r="E19" s="56">
        <v>2000</v>
      </c>
      <c r="F19" s="79" t="s">
        <v>61</v>
      </c>
      <c r="G19" s="80" t="s">
        <v>160</v>
      </c>
      <c r="H19" s="102" t="s">
        <v>85</v>
      </c>
    </row>
    <row r="20" spans="2:8" s="18" customFormat="1" ht="56.25" x14ac:dyDescent="0.25">
      <c r="B20" s="65" t="s">
        <v>147</v>
      </c>
      <c r="C20" s="84">
        <v>33600000</v>
      </c>
      <c r="D20" s="78" t="s">
        <v>29</v>
      </c>
      <c r="E20" s="56">
        <v>10000</v>
      </c>
      <c r="F20" s="79" t="s">
        <v>61</v>
      </c>
      <c r="G20" s="80" t="s">
        <v>160</v>
      </c>
      <c r="H20" s="102" t="s">
        <v>85</v>
      </c>
    </row>
    <row r="21" spans="2:8" s="18" customFormat="1" ht="38.25" customHeight="1" x14ac:dyDescent="0.25">
      <c r="B21" s="65" t="s">
        <v>147</v>
      </c>
      <c r="C21" s="23" t="s">
        <v>43</v>
      </c>
      <c r="D21" s="23" t="s">
        <v>42</v>
      </c>
      <c r="E21" s="56">
        <v>10000</v>
      </c>
      <c r="F21" s="25" t="s">
        <v>60</v>
      </c>
      <c r="G21" s="26" t="s">
        <v>125</v>
      </c>
      <c r="H21" s="32"/>
    </row>
    <row r="22" spans="2:8" s="18" customFormat="1" ht="33.75" x14ac:dyDescent="0.25">
      <c r="B22" s="65" t="s">
        <v>132</v>
      </c>
      <c r="C22" s="23" t="s">
        <v>92</v>
      </c>
      <c r="D22" s="23" t="s">
        <v>93</v>
      </c>
      <c r="E22" s="56">
        <v>4800</v>
      </c>
      <c r="F22" s="25" t="s">
        <v>91</v>
      </c>
      <c r="G22" s="26" t="s">
        <v>125</v>
      </c>
      <c r="H22" s="31"/>
    </row>
    <row r="23" spans="2:8" s="18" customFormat="1" ht="33.75" x14ac:dyDescent="0.25">
      <c r="B23" s="65" t="s">
        <v>132</v>
      </c>
      <c r="C23" s="23" t="s">
        <v>94</v>
      </c>
      <c r="D23" s="23" t="s">
        <v>95</v>
      </c>
      <c r="E23" s="56">
        <v>4800</v>
      </c>
      <c r="F23" s="25" t="s">
        <v>91</v>
      </c>
      <c r="G23" s="26" t="s">
        <v>125</v>
      </c>
      <c r="H23" s="31"/>
    </row>
    <row r="24" spans="2:8" s="18" customFormat="1" ht="33.75" x14ac:dyDescent="0.25">
      <c r="B24" s="65" t="s">
        <v>132</v>
      </c>
      <c r="C24" s="34">
        <v>39800000</v>
      </c>
      <c r="D24" s="34" t="s">
        <v>84</v>
      </c>
      <c r="E24" s="56">
        <v>4800</v>
      </c>
      <c r="F24" s="25" t="s">
        <v>91</v>
      </c>
      <c r="G24" s="26" t="s">
        <v>125</v>
      </c>
      <c r="H24" s="31"/>
    </row>
    <row r="25" spans="2:8" s="18" customFormat="1" ht="33.75" x14ac:dyDescent="0.25">
      <c r="B25" s="67" t="s">
        <v>132</v>
      </c>
      <c r="C25" s="83">
        <v>42900000</v>
      </c>
      <c r="D25" s="83" t="s">
        <v>168</v>
      </c>
      <c r="E25" s="69">
        <v>1920</v>
      </c>
      <c r="F25" s="70" t="s">
        <v>60</v>
      </c>
      <c r="G25" s="97" t="s">
        <v>160</v>
      </c>
      <c r="H25" s="97"/>
    </row>
    <row r="26" spans="2:8" s="18" customFormat="1" ht="51.75" customHeight="1" x14ac:dyDescent="0.25">
      <c r="B26" s="65" t="s">
        <v>132</v>
      </c>
      <c r="C26" s="84">
        <v>41100000</v>
      </c>
      <c r="D26" s="85" t="s">
        <v>149</v>
      </c>
      <c r="E26" s="56">
        <v>6750</v>
      </c>
      <c r="F26" s="79" t="s">
        <v>64</v>
      </c>
      <c r="G26" s="80" t="s">
        <v>125</v>
      </c>
      <c r="H26" s="81"/>
    </row>
    <row r="27" spans="2:8" s="18" customFormat="1" ht="51.75" customHeight="1" x14ac:dyDescent="0.25">
      <c r="B27" s="65" t="s">
        <v>132</v>
      </c>
      <c r="C27" s="84">
        <v>44400000</v>
      </c>
      <c r="D27" s="85" t="s">
        <v>167</v>
      </c>
      <c r="E27" s="56">
        <v>4120</v>
      </c>
      <c r="F27" s="79" t="s">
        <v>64</v>
      </c>
      <c r="G27" s="80" t="s">
        <v>160</v>
      </c>
      <c r="H27" s="81"/>
    </row>
    <row r="28" spans="2:8" s="18" customFormat="1" ht="51.75" customHeight="1" x14ac:dyDescent="0.25">
      <c r="B28" s="65" t="s">
        <v>132</v>
      </c>
      <c r="C28" s="30">
        <v>45400000</v>
      </c>
      <c r="D28" s="34" t="s">
        <v>102</v>
      </c>
      <c r="E28" s="56">
        <v>40000</v>
      </c>
      <c r="F28" s="25" t="s">
        <v>64</v>
      </c>
      <c r="G28" s="26" t="s">
        <v>125</v>
      </c>
      <c r="H28" s="31"/>
    </row>
    <row r="29" spans="2:8" s="18" customFormat="1" ht="37.5" customHeight="1" x14ac:dyDescent="0.25">
      <c r="B29" s="65" t="s">
        <v>133</v>
      </c>
      <c r="C29" s="30">
        <v>48700000</v>
      </c>
      <c r="D29" s="23" t="s">
        <v>104</v>
      </c>
      <c r="E29" s="56">
        <v>30000</v>
      </c>
      <c r="F29" s="25" t="s">
        <v>64</v>
      </c>
      <c r="G29" s="26" t="s">
        <v>125</v>
      </c>
      <c r="H29" s="31"/>
    </row>
    <row r="30" spans="2:8" s="18" customFormat="1" ht="56.25" x14ac:dyDescent="0.25">
      <c r="B30" s="65" t="s">
        <v>132</v>
      </c>
      <c r="C30" s="78">
        <v>50100000</v>
      </c>
      <c r="D30" s="78" t="s">
        <v>44</v>
      </c>
      <c r="E30" s="56">
        <f>10000+30000</f>
        <v>40000</v>
      </c>
      <c r="F30" s="79" t="s">
        <v>61</v>
      </c>
      <c r="G30" s="80" t="s">
        <v>125</v>
      </c>
      <c r="H30" s="102" t="s">
        <v>66</v>
      </c>
    </row>
    <row r="31" spans="2:8" s="1" customFormat="1" ht="92.25" customHeight="1" x14ac:dyDescent="0.25">
      <c r="B31" s="104" t="s">
        <v>132</v>
      </c>
      <c r="C31" s="23" t="s">
        <v>59</v>
      </c>
      <c r="D31" s="23" t="s">
        <v>62</v>
      </c>
      <c r="E31" s="24">
        <f>120000-30000+15000</f>
        <v>105000</v>
      </c>
      <c r="F31" s="25" t="s">
        <v>64</v>
      </c>
      <c r="G31" s="26" t="s">
        <v>125</v>
      </c>
      <c r="H31" s="36"/>
    </row>
    <row r="32" spans="2:8" s="18" customFormat="1" ht="56.25" x14ac:dyDescent="0.25">
      <c r="B32" s="65" t="s">
        <v>132</v>
      </c>
      <c r="C32" s="78">
        <v>50100000</v>
      </c>
      <c r="D32" s="78" t="s">
        <v>44</v>
      </c>
      <c r="E32" s="56">
        <v>2080</v>
      </c>
      <c r="F32" s="79" t="s">
        <v>61</v>
      </c>
      <c r="G32" s="80" t="s">
        <v>160</v>
      </c>
      <c r="H32" s="102" t="s">
        <v>85</v>
      </c>
    </row>
    <row r="33" spans="2:8" s="18" customFormat="1" ht="92.25" customHeight="1" x14ac:dyDescent="0.25">
      <c r="B33" s="65" t="s">
        <v>132</v>
      </c>
      <c r="C33" s="23" t="s">
        <v>107</v>
      </c>
      <c r="D33" s="23" t="s">
        <v>108</v>
      </c>
      <c r="E33" s="56">
        <v>50000</v>
      </c>
      <c r="F33" s="25" t="s">
        <v>64</v>
      </c>
      <c r="G33" s="26" t="s">
        <v>125</v>
      </c>
      <c r="H33" s="31"/>
    </row>
    <row r="34" spans="2:8" s="18" customFormat="1" ht="92.25" customHeight="1" x14ac:dyDescent="0.25">
      <c r="B34" s="65" t="s">
        <v>132</v>
      </c>
      <c r="C34" s="23" t="s">
        <v>105</v>
      </c>
      <c r="D34" s="23" t="s">
        <v>106</v>
      </c>
      <c r="E34" s="56">
        <v>310000</v>
      </c>
      <c r="F34" s="25" t="s">
        <v>64</v>
      </c>
      <c r="G34" s="26" t="s">
        <v>125</v>
      </c>
      <c r="H34" s="36"/>
    </row>
    <row r="35" spans="2:8" s="18" customFormat="1" ht="92.25" customHeight="1" x14ac:dyDescent="0.25">
      <c r="B35" s="65" t="s">
        <v>147</v>
      </c>
      <c r="C35" s="23" t="s">
        <v>109</v>
      </c>
      <c r="D35" s="23" t="s">
        <v>110</v>
      </c>
      <c r="E35" s="56">
        <f>60000+45000-20000</f>
        <v>85000</v>
      </c>
      <c r="F35" s="25" t="s">
        <v>64</v>
      </c>
      <c r="G35" s="26" t="s">
        <v>125</v>
      </c>
      <c r="H35" s="36"/>
    </row>
    <row r="36" spans="2:8" s="18" customFormat="1" ht="102.75" customHeight="1" x14ac:dyDescent="0.25">
      <c r="B36" s="65" t="s">
        <v>132</v>
      </c>
      <c r="C36" s="23" t="s">
        <v>86</v>
      </c>
      <c r="D36" s="23" t="s">
        <v>87</v>
      </c>
      <c r="E36" s="56">
        <v>8000</v>
      </c>
      <c r="F36" s="25" t="s">
        <v>64</v>
      </c>
      <c r="G36" s="26" t="s">
        <v>125</v>
      </c>
      <c r="H36" s="23"/>
    </row>
    <row r="37" spans="2:8" s="18" customFormat="1" ht="115.5" customHeight="1" x14ac:dyDescent="0.25">
      <c r="B37" s="65" t="s">
        <v>132</v>
      </c>
      <c r="C37" s="23">
        <v>50700000</v>
      </c>
      <c r="D37" s="23" t="s">
        <v>13</v>
      </c>
      <c r="E37" s="56">
        <f>1600000-59200</f>
        <v>1540800</v>
      </c>
      <c r="F37" s="23" t="s">
        <v>61</v>
      </c>
      <c r="G37" s="26" t="s">
        <v>125</v>
      </c>
      <c r="H37" s="23" t="s">
        <v>99</v>
      </c>
    </row>
    <row r="38" spans="2:8" s="18" customFormat="1" ht="115.5" customHeight="1" x14ac:dyDescent="0.25">
      <c r="B38" s="65" t="s">
        <v>132</v>
      </c>
      <c r="C38" s="23">
        <v>50700000</v>
      </c>
      <c r="D38" s="23" t="s">
        <v>13</v>
      </c>
      <c r="E38" s="56">
        <f>93000-45000+20000</f>
        <v>68000</v>
      </c>
      <c r="F38" s="23" t="s">
        <v>64</v>
      </c>
      <c r="G38" s="26" t="s">
        <v>125</v>
      </c>
      <c r="H38" s="23"/>
    </row>
    <row r="39" spans="2:8" s="18" customFormat="1" ht="115.5" customHeight="1" x14ac:dyDescent="0.25">
      <c r="B39" s="65" t="s">
        <v>132</v>
      </c>
      <c r="C39" s="78" t="s">
        <v>117</v>
      </c>
      <c r="D39" s="78" t="s">
        <v>118</v>
      </c>
      <c r="E39" s="56">
        <f>120000+68250</f>
        <v>188250</v>
      </c>
      <c r="F39" s="78" t="s">
        <v>64</v>
      </c>
      <c r="G39" s="80" t="s">
        <v>125</v>
      </c>
      <c r="H39" s="78"/>
    </row>
    <row r="40" spans="2:8" s="18" customFormat="1" ht="115.5" customHeight="1" x14ac:dyDescent="0.25">
      <c r="B40" s="65" t="s">
        <v>132</v>
      </c>
      <c r="C40" s="23" t="s">
        <v>111</v>
      </c>
      <c r="D40" s="23" t="s">
        <v>112</v>
      </c>
      <c r="E40" s="56">
        <v>120000</v>
      </c>
      <c r="F40" s="23" t="s">
        <v>64</v>
      </c>
      <c r="G40" s="26" t="s">
        <v>125</v>
      </c>
      <c r="H40" s="23"/>
    </row>
    <row r="41" spans="2:8" s="18" customFormat="1" ht="58.5" customHeight="1" x14ac:dyDescent="0.25">
      <c r="B41" s="65" t="s">
        <v>132</v>
      </c>
      <c r="C41" s="30">
        <v>63700000</v>
      </c>
      <c r="D41" s="23" t="s">
        <v>70</v>
      </c>
      <c r="E41" s="56">
        <v>2000</v>
      </c>
      <c r="F41" s="25" t="s">
        <v>61</v>
      </c>
      <c r="G41" s="26" t="s">
        <v>125</v>
      </c>
      <c r="H41" s="26" t="s">
        <v>85</v>
      </c>
    </row>
    <row r="42" spans="2:8" s="18" customFormat="1" ht="63.75" customHeight="1" x14ac:dyDescent="0.25">
      <c r="B42" s="65" t="s">
        <v>132</v>
      </c>
      <c r="C42" s="23" t="s">
        <v>47</v>
      </c>
      <c r="D42" s="23" t="s">
        <v>48</v>
      </c>
      <c r="E42" s="56">
        <v>6000</v>
      </c>
      <c r="F42" s="25" t="s">
        <v>64</v>
      </c>
      <c r="G42" s="26" t="s">
        <v>125</v>
      </c>
      <c r="H42" s="23"/>
    </row>
    <row r="43" spans="2:8" s="18" customFormat="1" ht="33.75" x14ac:dyDescent="0.25">
      <c r="B43" s="65" t="s">
        <v>132</v>
      </c>
      <c r="C43" s="38" t="s">
        <v>18</v>
      </c>
      <c r="D43" s="23" t="s">
        <v>46</v>
      </c>
      <c r="E43" s="56">
        <v>25000</v>
      </c>
      <c r="F43" s="25" t="s">
        <v>64</v>
      </c>
      <c r="G43" s="26" t="s">
        <v>125</v>
      </c>
      <c r="H43" s="33"/>
    </row>
    <row r="44" spans="2:8" s="18" customFormat="1" ht="56.25" x14ac:dyDescent="0.25">
      <c r="B44" s="65" t="s">
        <v>132</v>
      </c>
      <c r="C44" s="38" t="s">
        <v>18</v>
      </c>
      <c r="D44" s="23" t="s">
        <v>46</v>
      </c>
      <c r="E44" s="56">
        <v>25500</v>
      </c>
      <c r="F44" s="25" t="s">
        <v>61</v>
      </c>
      <c r="G44" s="26" t="s">
        <v>125</v>
      </c>
      <c r="H44" s="26" t="s">
        <v>96</v>
      </c>
    </row>
    <row r="45" spans="2:8" s="18" customFormat="1" ht="56.25" x14ac:dyDescent="0.25">
      <c r="B45" s="65" t="s">
        <v>132</v>
      </c>
      <c r="C45" s="77" t="s">
        <v>161</v>
      </c>
      <c r="D45" s="78" t="s">
        <v>46</v>
      </c>
      <c r="E45" s="56">
        <v>9000</v>
      </c>
      <c r="F45" s="79" t="s">
        <v>61</v>
      </c>
      <c r="G45" s="80" t="s">
        <v>152</v>
      </c>
      <c r="H45" s="80" t="s">
        <v>162</v>
      </c>
    </row>
    <row r="46" spans="2:8" s="18" customFormat="1" ht="33.75" x14ac:dyDescent="0.25">
      <c r="B46" s="65" t="s">
        <v>132</v>
      </c>
      <c r="C46" s="38" t="s">
        <v>18</v>
      </c>
      <c r="D46" s="23" t="s">
        <v>46</v>
      </c>
      <c r="E46" s="56">
        <v>24000</v>
      </c>
      <c r="F46" s="25" t="s">
        <v>60</v>
      </c>
      <c r="G46" s="26" t="s">
        <v>125</v>
      </c>
      <c r="H46" s="33"/>
    </row>
    <row r="47" spans="2:8" s="18" customFormat="1" ht="33.75" x14ac:dyDescent="0.25">
      <c r="B47" s="65" t="s">
        <v>134</v>
      </c>
      <c r="C47" s="38" t="s">
        <v>114</v>
      </c>
      <c r="D47" s="23" t="s">
        <v>113</v>
      </c>
      <c r="E47" s="56">
        <v>30000</v>
      </c>
      <c r="F47" s="25" t="s">
        <v>64</v>
      </c>
      <c r="G47" s="26" t="s">
        <v>125</v>
      </c>
      <c r="H47" s="26"/>
    </row>
    <row r="48" spans="2:8" s="18" customFormat="1" ht="33.75" x14ac:dyDescent="0.25">
      <c r="B48" s="65" t="s">
        <v>132</v>
      </c>
      <c r="C48" s="38" t="s">
        <v>55</v>
      </c>
      <c r="D48" s="23" t="s">
        <v>56</v>
      </c>
      <c r="E48" s="56">
        <v>1680</v>
      </c>
      <c r="F48" s="25" t="s">
        <v>91</v>
      </c>
      <c r="G48" s="26" t="s">
        <v>125</v>
      </c>
      <c r="H48" s="33"/>
    </row>
    <row r="49" spans="2:10" s="18" customFormat="1" ht="57" customHeight="1" x14ac:dyDescent="0.25">
      <c r="B49" s="65" t="s">
        <v>132</v>
      </c>
      <c r="C49" s="77" t="s">
        <v>17</v>
      </c>
      <c r="D49" s="78" t="s">
        <v>16</v>
      </c>
      <c r="E49" s="56">
        <f>90000+34000</f>
        <v>124000</v>
      </c>
      <c r="F49" s="79" t="s">
        <v>61</v>
      </c>
      <c r="G49" s="80" t="s">
        <v>125</v>
      </c>
      <c r="H49" s="80" t="s">
        <v>67</v>
      </c>
    </row>
    <row r="50" spans="2:10" s="18" customFormat="1" ht="65.25" customHeight="1" x14ac:dyDescent="0.25">
      <c r="B50" s="65" t="s">
        <v>132</v>
      </c>
      <c r="C50" s="77" t="s">
        <v>17</v>
      </c>
      <c r="D50" s="78" t="s">
        <v>16</v>
      </c>
      <c r="E50" s="56">
        <f>150+400+266</f>
        <v>816</v>
      </c>
      <c r="F50" s="79" t="s">
        <v>61</v>
      </c>
      <c r="G50" s="80" t="s">
        <v>125</v>
      </c>
      <c r="H50" s="80"/>
      <c r="J50" s="20"/>
    </row>
    <row r="51" spans="2:10" s="18" customFormat="1" ht="56.25" x14ac:dyDescent="0.25">
      <c r="B51" s="65" t="s">
        <v>132</v>
      </c>
      <c r="C51" s="38" t="s">
        <v>77</v>
      </c>
      <c r="D51" s="23" t="s">
        <v>78</v>
      </c>
      <c r="E51" s="56">
        <v>3000</v>
      </c>
      <c r="F51" s="25" t="s">
        <v>61</v>
      </c>
      <c r="G51" s="26" t="s">
        <v>125</v>
      </c>
      <c r="H51" s="26" t="s">
        <v>79</v>
      </c>
    </row>
    <row r="52" spans="2:10" s="18" customFormat="1" ht="56.25" x14ac:dyDescent="0.25">
      <c r="B52" s="65" t="s">
        <v>132</v>
      </c>
      <c r="C52" s="77" t="s">
        <v>163</v>
      </c>
      <c r="D52" s="78" t="s">
        <v>164</v>
      </c>
      <c r="E52" s="56">
        <v>500</v>
      </c>
      <c r="F52" s="79" t="s">
        <v>61</v>
      </c>
      <c r="G52" s="80" t="s">
        <v>152</v>
      </c>
      <c r="H52" s="80" t="s">
        <v>79</v>
      </c>
    </row>
    <row r="53" spans="2:10" s="18" customFormat="1" ht="75" customHeight="1" x14ac:dyDescent="0.25">
      <c r="B53" s="65" t="s">
        <v>132</v>
      </c>
      <c r="C53" s="77" t="s">
        <v>25</v>
      </c>
      <c r="D53" s="78" t="s">
        <v>119</v>
      </c>
      <c r="E53" s="56">
        <v>100000</v>
      </c>
      <c r="F53" s="79" t="s">
        <v>64</v>
      </c>
      <c r="G53" s="80" t="s">
        <v>125</v>
      </c>
      <c r="H53" s="80"/>
    </row>
    <row r="54" spans="2:10" s="1" customFormat="1" ht="63.75" customHeight="1" x14ac:dyDescent="0.25">
      <c r="B54" s="104" t="s">
        <v>132</v>
      </c>
      <c r="C54" s="23" t="s">
        <v>45</v>
      </c>
      <c r="D54" s="23" t="s">
        <v>63</v>
      </c>
      <c r="E54" s="24">
        <f>6000+3850</f>
        <v>9850</v>
      </c>
      <c r="F54" s="25" t="s">
        <v>64</v>
      </c>
      <c r="G54" s="26" t="s">
        <v>125</v>
      </c>
      <c r="H54" s="26"/>
    </row>
    <row r="55" spans="2:10" s="18" customFormat="1" ht="63.75" customHeight="1" x14ac:dyDescent="0.25">
      <c r="B55" s="65" t="s">
        <v>132</v>
      </c>
      <c r="C55" s="78" t="s">
        <v>120</v>
      </c>
      <c r="D55" s="78" t="s">
        <v>121</v>
      </c>
      <c r="E55" s="56">
        <v>450</v>
      </c>
      <c r="F55" s="79" t="s">
        <v>61</v>
      </c>
      <c r="G55" s="80" t="s">
        <v>125</v>
      </c>
      <c r="H55" s="80"/>
    </row>
    <row r="56" spans="2:10" s="18" customFormat="1" ht="77.25" customHeight="1" x14ac:dyDescent="0.25">
      <c r="B56" s="65" t="s">
        <v>132</v>
      </c>
      <c r="C56" s="30">
        <v>79700000</v>
      </c>
      <c r="D56" s="23" t="s">
        <v>27</v>
      </c>
      <c r="E56" s="56">
        <v>600000</v>
      </c>
      <c r="F56" s="25" t="s">
        <v>61</v>
      </c>
      <c r="G56" s="26" t="s">
        <v>125</v>
      </c>
      <c r="H56" s="26" t="s">
        <v>80</v>
      </c>
    </row>
    <row r="57" spans="2:10" s="18" customFormat="1" ht="62.25" customHeight="1" x14ac:dyDescent="0.25">
      <c r="B57" s="65" t="s">
        <v>132</v>
      </c>
      <c r="C57" s="30">
        <v>79800000</v>
      </c>
      <c r="D57" s="23" t="s">
        <v>81</v>
      </c>
      <c r="E57" s="56">
        <v>10000</v>
      </c>
      <c r="F57" s="25" t="s">
        <v>64</v>
      </c>
      <c r="G57" s="26" t="s">
        <v>125</v>
      </c>
      <c r="H57" s="26"/>
    </row>
    <row r="58" spans="2:10" s="18" customFormat="1" ht="62.25" customHeight="1" x14ac:dyDescent="0.25">
      <c r="B58" s="65" t="s">
        <v>132</v>
      </c>
      <c r="C58" s="23" t="s">
        <v>53</v>
      </c>
      <c r="D58" s="23" t="s">
        <v>65</v>
      </c>
      <c r="E58" s="56">
        <f>20000+12000</f>
        <v>32000</v>
      </c>
      <c r="F58" s="25" t="s">
        <v>61</v>
      </c>
      <c r="G58" s="26" t="s">
        <v>125</v>
      </c>
      <c r="H58" s="23" t="s">
        <v>68</v>
      </c>
    </row>
    <row r="59" spans="2:10" s="18" customFormat="1" ht="62.25" customHeight="1" x14ac:dyDescent="0.25">
      <c r="B59" s="65" t="s">
        <v>132</v>
      </c>
      <c r="C59" s="38" t="s">
        <v>24</v>
      </c>
      <c r="D59" s="23" t="s">
        <v>71</v>
      </c>
      <c r="E59" s="56">
        <v>12000</v>
      </c>
      <c r="F59" s="25" t="s">
        <v>64</v>
      </c>
      <c r="G59" s="26" t="s">
        <v>125</v>
      </c>
      <c r="H59" s="23"/>
    </row>
    <row r="60" spans="2:10" s="18" customFormat="1" ht="62.25" customHeight="1" x14ac:dyDescent="0.25">
      <c r="B60" s="65" t="s">
        <v>132</v>
      </c>
      <c r="C60" s="38" t="s">
        <v>122</v>
      </c>
      <c r="D60" s="23" t="s">
        <v>123</v>
      </c>
      <c r="E60" s="56">
        <v>1000</v>
      </c>
      <c r="F60" s="25" t="s">
        <v>61</v>
      </c>
      <c r="G60" s="26" t="s">
        <v>125</v>
      </c>
      <c r="H60" s="23"/>
    </row>
    <row r="61" spans="2:10" s="18" customFormat="1" ht="60.75" customHeight="1" x14ac:dyDescent="0.25">
      <c r="B61" s="65" t="s">
        <v>132</v>
      </c>
      <c r="C61" s="78" t="s">
        <v>82</v>
      </c>
      <c r="D61" s="78" t="s">
        <v>83</v>
      </c>
      <c r="E61" s="56">
        <v>10000</v>
      </c>
      <c r="F61" s="79" t="s">
        <v>61</v>
      </c>
      <c r="G61" s="80" t="s">
        <v>125</v>
      </c>
      <c r="H61" s="80" t="s">
        <v>79</v>
      </c>
    </row>
    <row r="62" spans="2:10" s="18" customFormat="1" ht="36.75" customHeight="1" x14ac:dyDescent="0.25">
      <c r="B62" s="65" t="s">
        <v>132</v>
      </c>
      <c r="C62" s="78" t="s">
        <v>12</v>
      </c>
      <c r="D62" s="78" t="s">
        <v>19</v>
      </c>
      <c r="E62" s="56">
        <f>80000+110000</f>
        <v>190000</v>
      </c>
      <c r="F62" s="79" t="s">
        <v>64</v>
      </c>
      <c r="G62" s="80" t="s">
        <v>125</v>
      </c>
      <c r="H62" s="81"/>
    </row>
    <row r="63" spans="2:10" s="18" customFormat="1" ht="54.75" customHeight="1" x14ac:dyDescent="0.25">
      <c r="B63" s="65" t="s">
        <v>132</v>
      </c>
      <c r="C63" s="78" t="s">
        <v>115</v>
      </c>
      <c r="D63" s="78" t="s">
        <v>116</v>
      </c>
      <c r="E63" s="56">
        <v>15000</v>
      </c>
      <c r="F63" s="79" t="s">
        <v>61</v>
      </c>
      <c r="G63" s="80" t="s">
        <v>125</v>
      </c>
      <c r="H63" s="80" t="s">
        <v>79</v>
      </c>
    </row>
    <row r="64" spans="2:10" s="18" customFormat="1" ht="54.75" customHeight="1" x14ac:dyDescent="0.25">
      <c r="B64" s="108" t="s">
        <v>132</v>
      </c>
      <c r="C64" s="78" t="s">
        <v>165</v>
      </c>
      <c r="D64" s="78" t="s">
        <v>166</v>
      </c>
      <c r="E64" s="56">
        <v>4900</v>
      </c>
      <c r="F64" s="79" t="s">
        <v>61</v>
      </c>
      <c r="G64" s="80" t="s">
        <v>152</v>
      </c>
      <c r="H64" s="80" t="s">
        <v>79</v>
      </c>
    </row>
    <row r="65" spans="2:13" s="1" customFormat="1" ht="75" customHeight="1" x14ac:dyDescent="0.25">
      <c r="B65" s="126" t="s">
        <v>135</v>
      </c>
      <c r="C65" s="127"/>
      <c r="D65" s="127"/>
      <c r="E65" s="16">
        <f>SUM(E66:E69)</f>
        <v>1710000</v>
      </c>
      <c r="F65" s="13"/>
      <c r="G65" s="14"/>
      <c r="H65" s="10"/>
      <c r="I65" s="61"/>
      <c r="J65" s="62"/>
    </row>
    <row r="66" spans="2:13" s="1" customFormat="1" ht="59.25" customHeight="1" x14ac:dyDescent="0.25">
      <c r="B66" s="104" t="s">
        <v>132</v>
      </c>
      <c r="C66" s="23" t="s">
        <v>24</v>
      </c>
      <c r="D66" s="23" t="s">
        <v>71</v>
      </c>
      <c r="E66" s="24">
        <f>1710000-142500-E68-E67</f>
        <v>1314302.3999999999</v>
      </c>
      <c r="F66" s="25" t="s">
        <v>64</v>
      </c>
      <c r="G66" s="26" t="s">
        <v>125</v>
      </c>
      <c r="H66" s="41"/>
      <c r="J66" s="62"/>
    </row>
    <row r="67" spans="2:13" s="1" customFormat="1" ht="67.5" x14ac:dyDescent="0.25">
      <c r="B67" s="104" t="s">
        <v>132</v>
      </c>
      <c r="C67" s="23" t="s">
        <v>103</v>
      </c>
      <c r="D67" s="23" t="s">
        <v>71</v>
      </c>
      <c r="E67" s="24">
        <v>33000</v>
      </c>
      <c r="F67" s="25" t="s">
        <v>61</v>
      </c>
      <c r="G67" s="26" t="s">
        <v>151</v>
      </c>
      <c r="H67" s="48" t="s">
        <v>98</v>
      </c>
      <c r="J67" s="62"/>
    </row>
    <row r="68" spans="2:13" s="1" customFormat="1" ht="67.5" x14ac:dyDescent="0.25">
      <c r="B68" s="104" t="s">
        <v>132</v>
      </c>
      <c r="C68" s="23" t="s">
        <v>103</v>
      </c>
      <c r="D68" s="23" t="s">
        <v>71</v>
      </c>
      <c r="E68" s="24">
        <v>220197.6</v>
      </c>
      <c r="F68" s="25" t="s">
        <v>61</v>
      </c>
      <c r="G68" s="26" t="s">
        <v>150</v>
      </c>
      <c r="H68" s="48" t="s">
        <v>98</v>
      </c>
    </row>
    <row r="69" spans="2:13" s="1" customFormat="1" ht="98.25" customHeight="1" x14ac:dyDescent="0.25">
      <c r="B69" s="104" t="s">
        <v>132</v>
      </c>
      <c r="C69" s="23" t="s">
        <v>24</v>
      </c>
      <c r="D69" s="23" t="s">
        <v>71</v>
      </c>
      <c r="E69" s="24">
        <v>142500</v>
      </c>
      <c r="F69" s="25" t="s">
        <v>61</v>
      </c>
      <c r="G69" s="26" t="s">
        <v>125</v>
      </c>
      <c r="H69" s="48" t="s">
        <v>128</v>
      </c>
      <c r="J69" s="62"/>
    </row>
    <row r="70" spans="2:13" s="1" customFormat="1" ht="31.5" customHeight="1" x14ac:dyDescent="0.25">
      <c r="B70" s="126" t="s">
        <v>136</v>
      </c>
      <c r="C70" s="127"/>
      <c r="D70" s="127"/>
      <c r="E70" s="16">
        <f>SUM(E71:E75)</f>
        <v>22370000</v>
      </c>
      <c r="F70" s="13"/>
      <c r="G70" s="9"/>
      <c r="H70" s="10"/>
      <c r="I70" s="61"/>
      <c r="J70" s="62"/>
    </row>
    <row r="71" spans="2:13" s="1" customFormat="1" ht="75.75" customHeight="1" x14ac:dyDescent="0.25">
      <c r="B71" s="104" t="s">
        <v>132</v>
      </c>
      <c r="C71" s="23" t="s">
        <v>7</v>
      </c>
      <c r="D71" s="23" t="s">
        <v>57</v>
      </c>
      <c r="E71" s="24">
        <f>3750000+400000</f>
        <v>4150000</v>
      </c>
      <c r="F71" s="25" t="s">
        <v>61</v>
      </c>
      <c r="G71" s="26" t="s">
        <v>125</v>
      </c>
      <c r="H71" s="48" t="s">
        <v>97</v>
      </c>
    </row>
    <row r="72" spans="2:13" s="1" customFormat="1" ht="75.75" customHeight="1" x14ac:dyDescent="0.25">
      <c r="B72" s="66" t="s">
        <v>133</v>
      </c>
      <c r="C72" s="23" t="s">
        <v>7</v>
      </c>
      <c r="D72" s="23" t="s">
        <v>57</v>
      </c>
      <c r="E72" s="24">
        <v>100000</v>
      </c>
      <c r="F72" s="25" t="s">
        <v>61</v>
      </c>
      <c r="G72" s="26" t="s">
        <v>125</v>
      </c>
      <c r="H72" s="48" t="s">
        <v>97</v>
      </c>
    </row>
    <row r="73" spans="2:13" s="1" customFormat="1" ht="121.5" customHeight="1" x14ac:dyDescent="0.25">
      <c r="B73" s="104" t="s">
        <v>132</v>
      </c>
      <c r="C73" s="23">
        <v>33600000</v>
      </c>
      <c r="D73" s="23" t="s">
        <v>29</v>
      </c>
      <c r="E73" s="24">
        <f>1440000+270000-22680</f>
        <v>1687320</v>
      </c>
      <c r="F73" s="25" t="s">
        <v>64</v>
      </c>
      <c r="G73" s="26" t="s">
        <v>125</v>
      </c>
      <c r="H73" s="41"/>
      <c r="J73" s="62"/>
      <c r="L73" s="62"/>
      <c r="M73" s="62"/>
    </row>
    <row r="74" spans="2:13" s="1" customFormat="1" ht="121.5" customHeight="1" x14ac:dyDescent="0.25">
      <c r="B74" s="104" t="s">
        <v>132</v>
      </c>
      <c r="C74" s="23" t="s">
        <v>32</v>
      </c>
      <c r="D74" s="23" t="s">
        <v>29</v>
      </c>
      <c r="E74" s="24">
        <v>22680</v>
      </c>
      <c r="F74" s="25" t="s">
        <v>61</v>
      </c>
      <c r="G74" s="26" t="s">
        <v>150</v>
      </c>
      <c r="H74" s="48" t="s">
        <v>157</v>
      </c>
      <c r="J74" s="62"/>
      <c r="L74" s="62"/>
      <c r="M74" s="62"/>
    </row>
    <row r="75" spans="2:13" s="1" customFormat="1" ht="87.75" customHeight="1" x14ac:dyDescent="0.25">
      <c r="B75" s="104" t="s">
        <v>132</v>
      </c>
      <c r="C75" s="23" t="s">
        <v>32</v>
      </c>
      <c r="D75" s="23" t="s">
        <v>29</v>
      </c>
      <c r="E75" s="24">
        <v>16410000</v>
      </c>
      <c r="F75" s="25" t="s">
        <v>61</v>
      </c>
      <c r="G75" s="26" t="s">
        <v>125</v>
      </c>
      <c r="H75" s="48" t="s">
        <v>98</v>
      </c>
      <c r="J75" s="62"/>
      <c r="K75" s="62"/>
    </row>
    <row r="76" spans="2:13" s="1" customFormat="1" ht="60" customHeight="1" x14ac:dyDescent="0.25">
      <c r="B76" s="126" t="s">
        <v>137</v>
      </c>
      <c r="C76" s="127"/>
      <c r="D76" s="127"/>
      <c r="E76" s="16">
        <f>SUM(E77:E81)</f>
        <v>1700000</v>
      </c>
      <c r="F76" s="13"/>
      <c r="G76" s="14"/>
      <c r="H76" s="10"/>
      <c r="I76" s="61"/>
      <c r="J76" s="105"/>
    </row>
    <row r="77" spans="2:13" s="1" customFormat="1" ht="36.75" customHeight="1" x14ac:dyDescent="0.25">
      <c r="B77" s="104" t="s">
        <v>132</v>
      </c>
      <c r="C77" s="23" t="s">
        <v>7</v>
      </c>
      <c r="D77" s="23" t="s">
        <v>28</v>
      </c>
      <c r="E77" s="24">
        <v>42272.9</v>
      </c>
      <c r="F77" s="25" t="s">
        <v>64</v>
      </c>
      <c r="G77" s="26" t="s">
        <v>125</v>
      </c>
      <c r="H77" s="41"/>
    </row>
    <row r="78" spans="2:13" s="1" customFormat="1" ht="51" customHeight="1" x14ac:dyDescent="0.25">
      <c r="B78" s="104" t="s">
        <v>132</v>
      </c>
      <c r="C78" s="23" t="s">
        <v>32</v>
      </c>
      <c r="D78" s="23" t="s">
        <v>29</v>
      </c>
      <c r="E78" s="24">
        <v>60607.14</v>
      </c>
      <c r="F78" s="25" t="s">
        <v>64</v>
      </c>
      <c r="G78" s="26" t="s">
        <v>125</v>
      </c>
      <c r="H78" s="41"/>
      <c r="J78" s="62"/>
    </row>
    <row r="79" spans="2:13" s="1" customFormat="1" ht="45" customHeight="1" x14ac:dyDescent="0.25">
      <c r="B79" s="104" t="s">
        <v>132</v>
      </c>
      <c r="C79" s="23" t="s">
        <v>89</v>
      </c>
      <c r="D79" s="23" t="s">
        <v>90</v>
      </c>
      <c r="E79" s="24">
        <v>798000</v>
      </c>
      <c r="F79" s="25" t="s">
        <v>64</v>
      </c>
      <c r="G79" s="26" t="s">
        <v>125</v>
      </c>
      <c r="H79" s="48"/>
    </row>
    <row r="80" spans="2:13" s="1" customFormat="1" ht="78.75" x14ac:dyDescent="0.25">
      <c r="B80" s="104" t="s">
        <v>132</v>
      </c>
      <c r="C80" s="23" t="s">
        <v>24</v>
      </c>
      <c r="D80" s="23" t="s">
        <v>71</v>
      </c>
      <c r="E80" s="24">
        <v>69239.960000000006</v>
      </c>
      <c r="F80" s="25" t="s">
        <v>61</v>
      </c>
      <c r="G80" s="26" t="s">
        <v>125</v>
      </c>
      <c r="H80" s="48" t="s">
        <v>129</v>
      </c>
      <c r="J80" s="62"/>
    </row>
    <row r="81" spans="2:11" s="1" customFormat="1" ht="67.5" x14ac:dyDescent="0.25">
      <c r="B81" s="104" t="s">
        <v>132</v>
      </c>
      <c r="C81" s="23" t="s">
        <v>24</v>
      </c>
      <c r="D81" s="23" t="s">
        <v>71</v>
      </c>
      <c r="E81" s="24">
        <v>729880</v>
      </c>
      <c r="F81" s="25" t="s">
        <v>61</v>
      </c>
      <c r="G81" s="26" t="s">
        <v>152</v>
      </c>
      <c r="H81" s="48" t="s">
        <v>98</v>
      </c>
    </row>
    <row r="82" spans="2:11" s="1" customFormat="1" ht="65.25" customHeight="1" x14ac:dyDescent="0.25">
      <c r="B82" s="126" t="s">
        <v>138</v>
      </c>
      <c r="C82" s="127"/>
      <c r="D82" s="127"/>
      <c r="E82" s="16">
        <f>SUM(E83:E85)</f>
        <v>1753700.5</v>
      </c>
      <c r="F82" s="13"/>
      <c r="G82" s="14"/>
      <c r="H82" s="10"/>
      <c r="I82" s="61"/>
      <c r="J82" s="62"/>
    </row>
    <row r="83" spans="2:11" s="1" customFormat="1" ht="33.75" x14ac:dyDescent="0.25">
      <c r="B83" s="104" t="s">
        <v>132</v>
      </c>
      <c r="C83" s="36" t="s">
        <v>25</v>
      </c>
      <c r="D83" s="36" t="s">
        <v>69</v>
      </c>
      <c r="E83" s="24">
        <v>55000</v>
      </c>
      <c r="F83" s="43" t="s">
        <v>64</v>
      </c>
      <c r="G83" s="26" t="s">
        <v>125</v>
      </c>
      <c r="H83" s="44"/>
    </row>
    <row r="84" spans="2:11" s="1" customFormat="1" ht="78.75" x14ac:dyDescent="0.25">
      <c r="B84" s="104" t="s">
        <v>132</v>
      </c>
      <c r="C84" s="23">
        <v>85100000</v>
      </c>
      <c r="D84" s="23" t="s">
        <v>71</v>
      </c>
      <c r="E84" s="24">
        <v>127500.5</v>
      </c>
      <c r="F84" s="25" t="s">
        <v>61</v>
      </c>
      <c r="G84" s="26" t="s">
        <v>125</v>
      </c>
      <c r="H84" s="45" t="s">
        <v>124</v>
      </c>
    </row>
    <row r="85" spans="2:11" s="1" customFormat="1" ht="60.75" customHeight="1" x14ac:dyDescent="0.25">
      <c r="B85" s="104" t="s">
        <v>132</v>
      </c>
      <c r="C85" s="23">
        <v>85100000</v>
      </c>
      <c r="D85" s="23" t="s">
        <v>71</v>
      </c>
      <c r="E85" s="24">
        <f>1460000+111200</f>
        <v>1571200</v>
      </c>
      <c r="F85" s="25" t="s">
        <v>61</v>
      </c>
      <c r="G85" s="26" t="s">
        <v>125</v>
      </c>
      <c r="H85" s="48" t="s">
        <v>98</v>
      </c>
      <c r="K85" s="62"/>
    </row>
    <row r="86" spans="2:11" s="1" customFormat="1" ht="61.5" customHeight="1" x14ac:dyDescent="0.25">
      <c r="B86" s="126" t="s">
        <v>139</v>
      </c>
      <c r="C86" s="127"/>
      <c r="D86" s="127"/>
      <c r="E86" s="16">
        <f>SUM(E87:E88)</f>
        <v>184166.6</v>
      </c>
      <c r="F86" s="13"/>
      <c r="G86" s="14"/>
      <c r="H86" s="10"/>
      <c r="I86" s="61"/>
      <c r="J86" s="62"/>
    </row>
    <row r="87" spans="2:11" s="18" customFormat="1" ht="70.5" customHeight="1" x14ac:dyDescent="0.25">
      <c r="B87" s="65" t="s">
        <v>132</v>
      </c>
      <c r="C87" s="23" t="s">
        <v>24</v>
      </c>
      <c r="D87" s="23" t="s">
        <v>71</v>
      </c>
      <c r="E87" s="56">
        <v>14166.6</v>
      </c>
      <c r="F87" s="25" t="s">
        <v>61</v>
      </c>
      <c r="G87" s="26" t="s">
        <v>125</v>
      </c>
      <c r="H87" s="48" t="s">
        <v>76</v>
      </c>
    </row>
    <row r="88" spans="2:11" s="1" customFormat="1" ht="75" customHeight="1" x14ac:dyDescent="0.25">
      <c r="B88" s="104" t="s">
        <v>132</v>
      </c>
      <c r="C88" s="23" t="s">
        <v>24</v>
      </c>
      <c r="D88" s="23" t="s">
        <v>71</v>
      </c>
      <c r="E88" s="24">
        <v>170000</v>
      </c>
      <c r="F88" s="25" t="s">
        <v>61</v>
      </c>
      <c r="G88" s="26" t="s">
        <v>125</v>
      </c>
      <c r="H88" s="48" t="s">
        <v>98</v>
      </c>
    </row>
    <row r="89" spans="2:11" s="1" customFormat="1" ht="65.25" customHeight="1" x14ac:dyDescent="0.25">
      <c r="B89" s="121" t="s">
        <v>140</v>
      </c>
      <c r="C89" s="122"/>
      <c r="D89" s="122"/>
      <c r="E89" s="16">
        <f>SUM(E90:E94)</f>
        <v>1090000</v>
      </c>
      <c r="F89" s="13"/>
      <c r="G89" s="14"/>
      <c r="H89" s="60"/>
      <c r="I89" s="61"/>
      <c r="J89" s="62"/>
    </row>
    <row r="90" spans="2:11" s="1" customFormat="1" ht="49.5" customHeight="1" x14ac:dyDescent="0.25">
      <c r="B90" s="104" t="s">
        <v>132</v>
      </c>
      <c r="C90" s="23" t="s">
        <v>14</v>
      </c>
      <c r="D90" s="23" t="s">
        <v>15</v>
      </c>
      <c r="E90" s="24">
        <v>24200</v>
      </c>
      <c r="F90" s="25" t="s">
        <v>60</v>
      </c>
      <c r="G90" s="26" t="s">
        <v>125</v>
      </c>
      <c r="H90" s="41"/>
    </row>
    <row r="91" spans="2:11" s="1" customFormat="1" ht="33.75" x14ac:dyDescent="0.25">
      <c r="B91" s="104" t="s">
        <v>132</v>
      </c>
      <c r="C91" s="28">
        <v>33100000</v>
      </c>
      <c r="D91" s="28" t="s">
        <v>28</v>
      </c>
      <c r="E91" s="24">
        <f>240004-87983</f>
        <v>152021</v>
      </c>
      <c r="F91" s="29" t="s">
        <v>64</v>
      </c>
      <c r="G91" s="26" t="s">
        <v>125</v>
      </c>
      <c r="H91" s="46"/>
    </row>
    <row r="92" spans="2:11" s="1" customFormat="1" ht="60.75" customHeight="1" x14ac:dyDescent="0.25">
      <c r="B92" s="104" t="s">
        <v>132</v>
      </c>
      <c r="C92" s="23" t="s">
        <v>59</v>
      </c>
      <c r="D92" s="23" t="s">
        <v>44</v>
      </c>
      <c r="E92" s="24">
        <v>15000</v>
      </c>
      <c r="F92" s="25" t="s">
        <v>64</v>
      </c>
      <c r="G92" s="26" t="s">
        <v>125</v>
      </c>
      <c r="H92" s="41"/>
    </row>
    <row r="93" spans="2:11" s="1" customFormat="1" ht="75" customHeight="1" x14ac:dyDescent="0.25">
      <c r="B93" s="104" t="s">
        <v>132</v>
      </c>
      <c r="C93" s="23">
        <v>85100000</v>
      </c>
      <c r="D93" s="23" t="s">
        <v>71</v>
      </c>
      <c r="E93" s="24">
        <v>48983</v>
      </c>
      <c r="F93" s="25" t="s">
        <v>61</v>
      </c>
      <c r="G93" s="26" t="s">
        <v>125</v>
      </c>
      <c r="H93" s="48" t="s">
        <v>126</v>
      </c>
      <c r="J93" s="62"/>
    </row>
    <row r="94" spans="2:11" s="1" customFormat="1" ht="65.25" customHeight="1" x14ac:dyDescent="0.25">
      <c r="B94" s="67" t="s">
        <v>132</v>
      </c>
      <c r="C94" s="68">
        <v>85100000</v>
      </c>
      <c r="D94" s="68" t="s">
        <v>71</v>
      </c>
      <c r="E94" s="69">
        <f>1071996+37800-260000</f>
        <v>849796</v>
      </c>
      <c r="F94" s="70" t="s">
        <v>61</v>
      </c>
      <c r="G94" s="71" t="s">
        <v>125</v>
      </c>
      <c r="H94" s="92" t="s">
        <v>98</v>
      </c>
    </row>
    <row r="95" spans="2:11" s="1" customFormat="1" ht="80.25" customHeight="1" x14ac:dyDescent="0.25">
      <c r="B95" s="126" t="s">
        <v>141</v>
      </c>
      <c r="C95" s="127"/>
      <c r="D95" s="127"/>
      <c r="E95" s="16">
        <f>SUM(E96:E96)</f>
        <v>1250000</v>
      </c>
      <c r="F95" s="13"/>
      <c r="G95" s="14"/>
      <c r="H95" s="10"/>
      <c r="I95" s="61"/>
      <c r="J95" s="62"/>
    </row>
    <row r="96" spans="2:11" s="1" customFormat="1" ht="84.75" customHeight="1" x14ac:dyDescent="0.25">
      <c r="B96" s="104" t="s">
        <v>132</v>
      </c>
      <c r="C96" s="23" t="s">
        <v>32</v>
      </c>
      <c r="D96" s="23" t="s">
        <v>29</v>
      </c>
      <c r="E96" s="24">
        <v>1250000</v>
      </c>
      <c r="F96" s="25" t="s">
        <v>61</v>
      </c>
      <c r="G96" s="26" t="s">
        <v>125</v>
      </c>
      <c r="H96" s="48" t="s">
        <v>98</v>
      </c>
    </row>
    <row r="97" spans="2:11" s="1" customFormat="1" ht="57.75" customHeight="1" x14ac:dyDescent="0.25">
      <c r="B97" s="119" t="s">
        <v>142</v>
      </c>
      <c r="C97" s="120"/>
      <c r="D97" s="120"/>
      <c r="E97" s="57">
        <f>SUM(E98:E101)</f>
        <v>4000000</v>
      </c>
      <c r="F97" s="58"/>
      <c r="G97" s="58"/>
      <c r="H97" s="59"/>
      <c r="I97" s="61"/>
      <c r="J97" s="62"/>
    </row>
    <row r="98" spans="2:11" s="18" customFormat="1" ht="29.25" customHeight="1" x14ac:dyDescent="0.25">
      <c r="B98" s="65" t="s">
        <v>132</v>
      </c>
      <c r="C98" s="38">
        <v>33100000</v>
      </c>
      <c r="D98" s="23" t="s">
        <v>8</v>
      </c>
      <c r="E98" s="56">
        <v>124876.2</v>
      </c>
      <c r="F98" s="25" t="s">
        <v>64</v>
      </c>
      <c r="G98" s="26" t="s">
        <v>125</v>
      </c>
      <c r="H98" s="26"/>
    </row>
    <row r="99" spans="2:11" s="1" customFormat="1" ht="33.75" x14ac:dyDescent="0.25">
      <c r="B99" s="104" t="s">
        <v>132</v>
      </c>
      <c r="C99" s="38" t="s">
        <v>32</v>
      </c>
      <c r="D99" s="23" t="s">
        <v>9</v>
      </c>
      <c r="E99" s="24">
        <f>2995349.4-3495.8-99984.41</f>
        <v>2891869.19</v>
      </c>
      <c r="F99" s="25" t="s">
        <v>64</v>
      </c>
      <c r="G99" s="26" t="s">
        <v>125</v>
      </c>
      <c r="H99" s="26"/>
    </row>
    <row r="100" spans="2:11" s="1" customFormat="1" ht="67.5" x14ac:dyDescent="0.25">
      <c r="B100" s="104" t="s">
        <v>132</v>
      </c>
      <c r="C100" s="38" t="s">
        <v>24</v>
      </c>
      <c r="D100" s="23" t="s">
        <v>71</v>
      </c>
      <c r="E100" s="24">
        <v>73605.850000000006</v>
      </c>
      <c r="F100" s="25" t="s">
        <v>61</v>
      </c>
      <c r="G100" s="26" t="s">
        <v>125</v>
      </c>
      <c r="H100" s="45" t="s">
        <v>127</v>
      </c>
    </row>
    <row r="101" spans="2:11" s="1" customFormat="1" ht="83.25" customHeight="1" x14ac:dyDescent="0.25">
      <c r="B101" s="104" t="s">
        <v>132</v>
      </c>
      <c r="C101" s="23" t="s">
        <v>24</v>
      </c>
      <c r="D101" s="23" t="s">
        <v>71</v>
      </c>
      <c r="E101" s="24">
        <v>909648.76</v>
      </c>
      <c r="F101" s="25" t="s">
        <v>61</v>
      </c>
      <c r="G101" s="26" t="s">
        <v>152</v>
      </c>
      <c r="H101" s="32" t="s">
        <v>98</v>
      </c>
    </row>
    <row r="102" spans="2:11" ht="122.25" customHeight="1" x14ac:dyDescent="0.25">
      <c r="B102" s="126" t="s">
        <v>143</v>
      </c>
      <c r="C102" s="127"/>
      <c r="D102" s="127"/>
      <c r="E102" s="16">
        <f>SUM(E103)</f>
        <v>2190000</v>
      </c>
      <c r="F102" s="13"/>
      <c r="G102" s="14"/>
      <c r="H102" s="10"/>
      <c r="I102" s="61"/>
      <c r="J102" s="63">
        <f>E97-4000000</f>
        <v>0</v>
      </c>
    </row>
    <row r="103" spans="2:11" s="1" customFormat="1" ht="117.75" customHeight="1" x14ac:dyDescent="0.25">
      <c r="B103" s="104" t="s">
        <v>132</v>
      </c>
      <c r="C103" s="23" t="s">
        <v>32</v>
      </c>
      <c r="D103" s="23" t="s">
        <v>29</v>
      </c>
      <c r="E103" s="24">
        <v>2190000</v>
      </c>
      <c r="F103" s="25" t="s">
        <v>61</v>
      </c>
      <c r="G103" s="26" t="s">
        <v>152</v>
      </c>
      <c r="H103" s="48" t="s">
        <v>98</v>
      </c>
    </row>
    <row r="104" spans="2:11" s="1" customFormat="1" ht="57" customHeight="1" x14ac:dyDescent="0.25">
      <c r="B104" s="121" t="s">
        <v>144</v>
      </c>
      <c r="C104" s="122"/>
      <c r="D104" s="122"/>
      <c r="E104" s="16">
        <f>SUM(E105:E109)</f>
        <v>474000</v>
      </c>
      <c r="F104" s="13"/>
      <c r="G104" s="60"/>
      <c r="H104" s="60"/>
      <c r="I104" s="61"/>
      <c r="J104" s="62"/>
    </row>
    <row r="105" spans="2:11" s="1" customFormat="1" ht="59.25" customHeight="1" x14ac:dyDescent="0.25">
      <c r="B105" s="104" t="s">
        <v>148</v>
      </c>
      <c r="C105" s="23">
        <v>33100000</v>
      </c>
      <c r="D105" s="23" t="s">
        <v>28</v>
      </c>
      <c r="E105" s="24">
        <f>20000+14559.87+22385.83</f>
        <v>56945.700000000004</v>
      </c>
      <c r="F105" s="25" t="s">
        <v>64</v>
      </c>
      <c r="G105" s="26" t="s">
        <v>125</v>
      </c>
      <c r="H105" s="41"/>
    </row>
    <row r="106" spans="2:11" s="1" customFormat="1" ht="38.25" x14ac:dyDescent="0.25">
      <c r="B106" s="104" t="s">
        <v>148</v>
      </c>
      <c r="C106" s="36">
        <v>33600000</v>
      </c>
      <c r="D106" s="36" t="s">
        <v>29</v>
      </c>
      <c r="E106" s="24">
        <f>266824.3+68000-17770</f>
        <v>317054.3</v>
      </c>
      <c r="F106" s="43" t="s">
        <v>64</v>
      </c>
      <c r="G106" s="26" t="s">
        <v>125</v>
      </c>
      <c r="H106" s="44"/>
    </row>
    <row r="107" spans="2:11" s="1" customFormat="1" ht="78.75" x14ac:dyDescent="0.25">
      <c r="B107" s="104" t="s">
        <v>132</v>
      </c>
      <c r="C107" s="38" t="s">
        <v>103</v>
      </c>
      <c r="D107" s="23" t="s">
        <v>71</v>
      </c>
      <c r="E107" s="24">
        <v>6870</v>
      </c>
      <c r="F107" s="25" t="s">
        <v>61</v>
      </c>
      <c r="G107" s="26" t="s">
        <v>125</v>
      </c>
      <c r="H107" s="45" t="s">
        <v>130</v>
      </c>
    </row>
    <row r="108" spans="2:11" s="1" customFormat="1" ht="67.5" x14ac:dyDescent="0.25">
      <c r="B108" s="104" t="s">
        <v>132</v>
      </c>
      <c r="C108" s="38" t="s">
        <v>103</v>
      </c>
      <c r="D108" s="23" t="s">
        <v>71</v>
      </c>
      <c r="E108" s="24">
        <f>13740+6870</f>
        <v>20610</v>
      </c>
      <c r="F108" s="25" t="s">
        <v>61</v>
      </c>
      <c r="G108" s="26" t="s">
        <v>152</v>
      </c>
      <c r="H108" s="48" t="s">
        <v>98</v>
      </c>
      <c r="J108" s="62"/>
      <c r="K108" s="62"/>
    </row>
    <row r="109" spans="2:11" s="1" customFormat="1" ht="51" customHeight="1" x14ac:dyDescent="0.25">
      <c r="B109" s="104" t="s">
        <v>132</v>
      </c>
      <c r="C109" s="38" t="s">
        <v>24</v>
      </c>
      <c r="D109" s="23" t="s">
        <v>71</v>
      </c>
      <c r="E109" s="24">
        <v>72520</v>
      </c>
      <c r="F109" s="25" t="s">
        <v>64</v>
      </c>
      <c r="G109" s="26" t="s">
        <v>153</v>
      </c>
      <c r="H109" s="45"/>
      <c r="J109" s="62"/>
      <c r="K109" s="62"/>
    </row>
    <row r="110" spans="2:11" ht="59.25" customHeight="1" x14ac:dyDescent="0.25">
      <c r="B110" s="126" t="s">
        <v>145</v>
      </c>
      <c r="C110" s="127"/>
      <c r="D110" s="127"/>
      <c r="E110" s="16">
        <f>SUM(E111:E113)</f>
        <v>2100000</v>
      </c>
      <c r="F110" s="13"/>
      <c r="G110" s="14"/>
      <c r="H110" s="10"/>
      <c r="I110" s="61"/>
      <c r="J110" s="63"/>
    </row>
    <row r="111" spans="2:11" s="18" customFormat="1" ht="42.75" customHeight="1" x14ac:dyDescent="0.25">
      <c r="B111" s="65" t="s">
        <v>132</v>
      </c>
      <c r="C111" s="23" t="s">
        <v>25</v>
      </c>
      <c r="D111" s="23" t="s">
        <v>69</v>
      </c>
      <c r="E111" s="56">
        <f>2100000-115976</f>
        <v>1984024</v>
      </c>
      <c r="F111" s="25" t="s">
        <v>64</v>
      </c>
      <c r="G111" s="26" t="s">
        <v>125</v>
      </c>
      <c r="H111" s="53"/>
    </row>
    <row r="112" spans="2:11" s="1" customFormat="1" ht="42.75" customHeight="1" x14ac:dyDescent="0.25">
      <c r="B112" s="104" t="s">
        <v>132</v>
      </c>
      <c r="C112" s="23" t="s">
        <v>156</v>
      </c>
      <c r="D112" s="23" t="s">
        <v>69</v>
      </c>
      <c r="E112" s="24">
        <f>5976</f>
        <v>5976</v>
      </c>
      <c r="F112" s="25" t="s">
        <v>61</v>
      </c>
      <c r="G112" s="26" t="s">
        <v>152</v>
      </c>
      <c r="H112" s="48" t="s">
        <v>98</v>
      </c>
    </row>
    <row r="113" spans="2:10" s="1" customFormat="1" ht="80.25" customHeight="1" x14ac:dyDescent="0.25">
      <c r="B113" s="104" t="s">
        <v>132</v>
      </c>
      <c r="C113" s="23" t="s">
        <v>154</v>
      </c>
      <c r="D113" s="23" t="s">
        <v>155</v>
      </c>
      <c r="E113" s="24">
        <f>115976-5976</f>
        <v>110000</v>
      </c>
      <c r="F113" s="25" t="s">
        <v>61</v>
      </c>
      <c r="G113" s="26" t="s">
        <v>152</v>
      </c>
      <c r="H113" s="48" t="s">
        <v>98</v>
      </c>
    </row>
    <row r="114" spans="2:10" ht="70.5" customHeight="1" x14ac:dyDescent="0.25">
      <c r="B114" s="126" t="s">
        <v>146</v>
      </c>
      <c r="C114" s="127"/>
      <c r="D114" s="127"/>
      <c r="E114" s="16">
        <f>SUM(E115:E117)</f>
        <v>442800</v>
      </c>
      <c r="F114" s="13"/>
      <c r="G114" s="14"/>
      <c r="H114" s="10"/>
      <c r="I114" s="61"/>
      <c r="J114" s="63"/>
    </row>
    <row r="115" spans="2:10" s="18" customFormat="1" ht="33.75" x14ac:dyDescent="0.25">
      <c r="B115" s="65" t="s">
        <v>132</v>
      </c>
      <c r="C115" s="99" t="s">
        <v>32</v>
      </c>
      <c r="D115" s="99" t="s">
        <v>29</v>
      </c>
      <c r="E115" s="56">
        <f>264000-4020</f>
        <v>259980</v>
      </c>
      <c r="F115" s="100" t="s">
        <v>64</v>
      </c>
      <c r="G115" s="80" t="s">
        <v>125</v>
      </c>
      <c r="H115" s="101"/>
    </row>
    <row r="116" spans="2:10" s="18" customFormat="1" ht="33.75" x14ac:dyDescent="0.25">
      <c r="B116" s="65" t="s">
        <v>132</v>
      </c>
      <c r="C116" s="28" t="s">
        <v>7</v>
      </c>
      <c r="D116" s="28" t="s">
        <v>28</v>
      </c>
      <c r="E116" s="24">
        <v>132000</v>
      </c>
      <c r="F116" s="29" t="s">
        <v>64</v>
      </c>
      <c r="G116" s="26" t="s">
        <v>125</v>
      </c>
      <c r="H116" s="55"/>
    </row>
    <row r="117" spans="2:10" s="1" customFormat="1" ht="33.75" x14ac:dyDescent="0.25">
      <c r="B117" s="104" t="s">
        <v>132</v>
      </c>
      <c r="C117" s="23" t="s">
        <v>14</v>
      </c>
      <c r="D117" s="23" t="s">
        <v>40</v>
      </c>
      <c r="E117" s="24">
        <f>4020+46800</f>
        <v>50820</v>
      </c>
      <c r="F117" s="25" t="s">
        <v>60</v>
      </c>
      <c r="G117" s="26" t="s">
        <v>125</v>
      </c>
      <c r="H117" s="23"/>
    </row>
  </sheetData>
  <autoFilter ref="A8:H117"/>
  <mergeCells count="20">
    <mergeCell ref="B110:D110"/>
    <mergeCell ref="B114:D114"/>
    <mergeCell ref="B86:D86"/>
    <mergeCell ref="B89:D89"/>
    <mergeCell ref="B95:D95"/>
    <mergeCell ref="B97:D97"/>
    <mergeCell ref="B102:D102"/>
    <mergeCell ref="B104:D104"/>
    <mergeCell ref="B82:D82"/>
    <mergeCell ref="B2:H2"/>
    <mergeCell ref="B3:H3"/>
    <mergeCell ref="B4:E4"/>
    <mergeCell ref="F4:H4"/>
    <mergeCell ref="B5:E5"/>
    <mergeCell ref="F5:H5"/>
    <mergeCell ref="B6:F6"/>
    <mergeCell ref="B9:D9"/>
    <mergeCell ref="B65:D65"/>
    <mergeCell ref="B70:D70"/>
    <mergeCell ref="B76:D76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17"/>
  <sheetViews>
    <sheetView topLeftCell="B13" zoomScaleNormal="100" zoomScaleSheetLayoutView="80" workbookViewId="0">
      <selection activeCell="J22" sqref="J22"/>
    </sheetView>
  </sheetViews>
  <sheetFormatPr defaultRowHeight="15" x14ac:dyDescent="0.2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1.5703125" bestFit="1" customWidth="1"/>
    <col min="12" max="12" width="14.28515625" bestFit="1" customWidth="1"/>
    <col min="13" max="13" width="11.5703125" bestFit="1" customWidth="1"/>
  </cols>
  <sheetData>
    <row r="2" spans="2:9" ht="18.75" x14ac:dyDescent="0.25">
      <c r="B2" s="123" t="s">
        <v>41</v>
      </c>
      <c r="C2" s="123"/>
      <c r="D2" s="123"/>
      <c r="E2" s="123"/>
      <c r="F2" s="123"/>
      <c r="G2" s="123"/>
      <c r="H2" s="123"/>
    </row>
    <row r="3" spans="2:9" ht="18.75" x14ac:dyDescent="0.3">
      <c r="B3" s="124" t="s">
        <v>4</v>
      </c>
      <c r="C3" s="124"/>
      <c r="D3" s="124"/>
      <c r="E3" s="124"/>
      <c r="F3" s="124"/>
      <c r="G3" s="124"/>
      <c r="H3" s="124"/>
    </row>
    <row r="4" spans="2:9" x14ac:dyDescent="0.25">
      <c r="B4" s="125" t="s">
        <v>54</v>
      </c>
      <c r="C4" s="125"/>
      <c r="D4" s="125"/>
      <c r="E4" s="125"/>
      <c r="F4" s="125" t="s">
        <v>21</v>
      </c>
      <c r="G4" s="125"/>
      <c r="H4" s="125"/>
    </row>
    <row r="5" spans="2:9" x14ac:dyDescent="0.25">
      <c r="B5" s="125" t="s">
        <v>20</v>
      </c>
      <c r="C5" s="125"/>
      <c r="D5" s="125"/>
      <c r="E5" s="125"/>
      <c r="F5" s="125" t="s">
        <v>10</v>
      </c>
      <c r="G5" s="125"/>
      <c r="H5" s="125"/>
      <c r="I5" s="109"/>
    </row>
    <row r="6" spans="2:9" ht="24.75" customHeight="1" x14ac:dyDescent="0.25">
      <c r="B6" s="115" t="s">
        <v>22</v>
      </c>
      <c r="C6" s="116"/>
      <c r="D6" s="116"/>
      <c r="E6" s="116"/>
      <c r="F6" s="116"/>
      <c r="G6" s="2">
        <f>E9+E65+E70+E76+E82+E86+E89+E95+E97+E102+E104+E110+E114</f>
        <v>43518964.100000001</v>
      </c>
      <c r="H6" s="3" t="s">
        <v>23</v>
      </c>
    </row>
    <row r="7" spans="2:9" ht="25.5" x14ac:dyDescent="0.2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9" x14ac:dyDescent="0.25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9" ht="60.75" customHeight="1" x14ac:dyDescent="0.25">
      <c r="B9" s="117" t="s">
        <v>131</v>
      </c>
      <c r="C9" s="118"/>
      <c r="D9" s="118"/>
      <c r="E9" s="15">
        <f>SUM(E10:E63)</f>
        <v>4254297</v>
      </c>
      <c r="F9" s="11"/>
      <c r="G9" s="9"/>
      <c r="H9" s="10"/>
    </row>
    <row r="10" spans="2:9" s="18" customFormat="1" ht="33.75" x14ac:dyDescent="0.2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9" s="18" customFormat="1" ht="33.75" x14ac:dyDescent="0.2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9" s="18" customFormat="1" ht="25.5" x14ac:dyDescent="0.25">
      <c r="B12" s="65" t="s">
        <v>132</v>
      </c>
      <c r="C12" s="78" t="s">
        <v>169</v>
      </c>
      <c r="D12" s="78" t="s">
        <v>170</v>
      </c>
      <c r="E12" s="56">
        <v>6100</v>
      </c>
      <c r="F12" s="79" t="s">
        <v>60</v>
      </c>
      <c r="G12" s="110" t="s">
        <v>160</v>
      </c>
      <c r="H12" s="78"/>
    </row>
    <row r="13" spans="2:9" s="18" customFormat="1" ht="33.75" x14ac:dyDescent="0.25">
      <c r="B13" s="65" t="s">
        <v>132</v>
      </c>
      <c r="C13" s="23" t="s">
        <v>100</v>
      </c>
      <c r="D13" s="23" t="s">
        <v>101</v>
      </c>
      <c r="E13" s="56">
        <v>500</v>
      </c>
      <c r="F13" s="25" t="s">
        <v>61</v>
      </c>
      <c r="G13" s="26" t="s">
        <v>125</v>
      </c>
      <c r="H13" s="23"/>
    </row>
    <row r="14" spans="2:9" s="19" customFormat="1" ht="33.75" x14ac:dyDescent="0.25">
      <c r="B14" s="65" t="s">
        <v>132</v>
      </c>
      <c r="C14" s="28" t="s">
        <v>50</v>
      </c>
      <c r="D14" s="28" t="s">
        <v>52</v>
      </c>
      <c r="E14" s="56">
        <v>1600</v>
      </c>
      <c r="F14" s="29" t="s">
        <v>61</v>
      </c>
      <c r="G14" s="26" t="s">
        <v>125</v>
      </c>
      <c r="H14" s="28"/>
    </row>
    <row r="15" spans="2:9" s="106" customFormat="1" ht="38.25" customHeight="1" x14ac:dyDescent="0.25">
      <c r="B15" s="104" t="s">
        <v>132</v>
      </c>
      <c r="C15" s="28" t="s">
        <v>159</v>
      </c>
      <c r="D15" s="28" t="s">
        <v>158</v>
      </c>
      <c r="E15" s="24">
        <v>1973</v>
      </c>
      <c r="F15" s="29" t="s">
        <v>61</v>
      </c>
      <c r="G15" s="26" t="s">
        <v>152</v>
      </c>
      <c r="H15" s="28"/>
    </row>
    <row r="16" spans="2:9" s="18" customFormat="1" ht="49.5" customHeight="1" x14ac:dyDescent="0.25">
      <c r="B16" s="65" t="s">
        <v>132</v>
      </c>
      <c r="C16" s="23" t="s">
        <v>39</v>
      </c>
      <c r="D16" s="23" t="s">
        <v>58</v>
      </c>
      <c r="E16" s="56">
        <f>23100</f>
        <v>23100</v>
      </c>
      <c r="F16" s="25" t="s">
        <v>60</v>
      </c>
      <c r="G16" s="26" t="s">
        <v>125</v>
      </c>
      <c r="H16" s="23"/>
    </row>
    <row r="17" spans="2:8" s="18" customFormat="1" ht="49.5" customHeight="1" x14ac:dyDescent="0.25">
      <c r="B17" s="65" t="s">
        <v>132</v>
      </c>
      <c r="C17" s="23" t="s">
        <v>39</v>
      </c>
      <c r="D17" s="23" t="s">
        <v>58</v>
      </c>
      <c r="E17" s="56">
        <f>60000+9000</f>
        <v>69000</v>
      </c>
      <c r="F17" s="25" t="s">
        <v>64</v>
      </c>
      <c r="G17" s="26" t="s">
        <v>125</v>
      </c>
      <c r="H17" s="23"/>
    </row>
    <row r="18" spans="2:8" s="18" customFormat="1" ht="38.25" customHeight="1" x14ac:dyDescent="0.25">
      <c r="B18" s="65" t="s">
        <v>147</v>
      </c>
      <c r="C18" s="84">
        <v>31400000</v>
      </c>
      <c r="D18" s="78" t="s">
        <v>11</v>
      </c>
      <c r="E18" s="56">
        <f>3000+1800</f>
        <v>4800</v>
      </c>
      <c r="F18" s="79" t="s">
        <v>60</v>
      </c>
      <c r="G18" s="80" t="s">
        <v>125</v>
      </c>
      <c r="H18" s="81"/>
    </row>
    <row r="19" spans="2:8" s="18" customFormat="1" ht="56.25" x14ac:dyDescent="0.25">
      <c r="B19" s="65" t="s">
        <v>147</v>
      </c>
      <c r="C19" s="84">
        <v>33100000</v>
      </c>
      <c r="D19" s="78" t="s">
        <v>57</v>
      </c>
      <c r="E19" s="56">
        <v>2000</v>
      </c>
      <c r="F19" s="79" t="s">
        <v>61</v>
      </c>
      <c r="G19" s="80" t="s">
        <v>160</v>
      </c>
      <c r="H19" s="102" t="s">
        <v>85</v>
      </c>
    </row>
    <row r="20" spans="2:8" s="18" customFormat="1" ht="56.25" x14ac:dyDescent="0.25">
      <c r="B20" s="65" t="s">
        <v>147</v>
      </c>
      <c r="C20" s="84">
        <v>33600000</v>
      </c>
      <c r="D20" s="78" t="s">
        <v>29</v>
      </c>
      <c r="E20" s="56">
        <v>10000</v>
      </c>
      <c r="F20" s="79" t="s">
        <v>61</v>
      </c>
      <c r="G20" s="80" t="s">
        <v>160</v>
      </c>
      <c r="H20" s="102" t="s">
        <v>85</v>
      </c>
    </row>
    <row r="21" spans="2:8" s="18" customFormat="1" ht="38.25" customHeight="1" x14ac:dyDescent="0.25">
      <c r="B21" s="67" t="s">
        <v>147</v>
      </c>
      <c r="C21" s="68" t="s">
        <v>43</v>
      </c>
      <c r="D21" s="68" t="s">
        <v>42</v>
      </c>
      <c r="E21" s="69">
        <f>10000+7260</f>
        <v>17260</v>
      </c>
      <c r="F21" s="70" t="s">
        <v>60</v>
      </c>
      <c r="G21" s="71" t="s">
        <v>125</v>
      </c>
      <c r="H21" s="97"/>
    </row>
    <row r="22" spans="2:8" s="18" customFormat="1" ht="33.75" x14ac:dyDescent="0.25">
      <c r="B22" s="65" t="s">
        <v>132</v>
      </c>
      <c r="C22" s="23" t="s">
        <v>92</v>
      </c>
      <c r="D22" s="23" t="s">
        <v>93</v>
      </c>
      <c r="E22" s="56">
        <v>4800</v>
      </c>
      <c r="F22" s="25" t="s">
        <v>91</v>
      </c>
      <c r="G22" s="26" t="s">
        <v>125</v>
      </c>
      <c r="H22" s="31"/>
    </row>
    <row r="23" spans="2:8" s="18" customFormat="1" ht="33.75" x14ac:dyDescent="0.25">
      <c r="B23" s="65" t="s">
        <v>132</v>
      </c>
      <c r="C23" s="23" t="s">
        <v>94</v>
      </c>
      <c r="D23" s="23" t="s">
        <v>95</v>
      </c>
      <c r="E23" s="56">
        <v>4800</v>
      </c>
      <c r="F23" s="25" t="s">
        <v>91</v>
      </c>
      <c r="G23" s="26" t="s">
        <v>125</v>
      </c>
      <c r="H23" s="31"/>
    </row>
    <row r="24" spans="2:8" s="18" customFormat="1" ht="33.75" x14ac:dyDescent="0.25">
      <c r="B24" s="65" t="s">
        <v>132</v>
      </c>
      <c r="C24" s="34">
        <v>39800000</v>
      </c>
      <c r="D24" s="34" t="s">
        <v>84</v>
      </c>
      <c r="E24" s="56">
        <v>4800</v>
      </c>
      <c r="F24" s="25" t="s">
        <v>91</v>
      </c>
      <c r="G24" s="26" t="s">
        <v>125</v>
      </c>
      <c r="H24" s="31"/>
    </row>
    <row r="25" spans="2:8" s="18" customFormat="1" ht="33.75" x14ac:dyDescent="0.25">
      <c r="B25" s="65" t="s">
        <v>132</v>
      </c>
      <c r="C25" s="85">
        <v>42900000</v>
      </c>
      <c r="D25" s="85" t="s">
        <v>168</v>
      </c>
      <c r="E25" s="56">
        <v>1920</v>
      </c>
      <c r="F25" s="79" t="s">
        <v>60</v>
      </c>
      <c r="G25" s="110" t="s">
        <v>160</v>
      </c>
      <c r="H25" s="110"/>
    </row>
    <row r="26" spans="2:8" s="18" customFormat="1" ht="51.75" customHeight="1" x14ac:dyDescent="0.25">
      <c r="B26" s="65" t="s">
        <v>132</v>
      </c>
      <c r="C26" s="84">
        <v>41100000</v>
      </c>
      <c r="D26" s="85" t="s">
        <v>149</v>
      </c>
      <c r="E26" s="56">
        <v>6750</v>
      </c>
      <c r="F26" s="79" t="s">
        <v>64</v>
      </c>
      <c r="G26" s="80" t="s">
        <v>125</v>
      </c>
      <c r="H26" s="81"/>
    </row>
    <row r="27" spans="2:8" s="18" customFormat="1" ht="51.75" customHeight="1" x14ac:dyDescent="0.25">
      <c r="B27" s="65" t="s">
        <v>132</v>
      </c>
      <c r="C27" s="84">
        <v>44400000</v>
      </c>
      <c r="D27" s="85" t="s">
        <v>167</v>
      </c>
      <c r="E27" s="56">
        <v>4120</v>
      </c>
      <c r="F27" s="79" t="s">
        <v>64</v>
      </c>
      <c r="G27" s="80" t="s">
        <v>160</v>
      </c>
      <c r="H27" s="81"/>
    </row>
    <row r="28" spans="2:8" s="18" customFormat="1" ht="51.75" customHeight="1" x14ac:dyDescent="0.25">
      <c r="B28" s="65" t="s">
        <v>132</v>
      </c>
      <c r="C28" s="30">
        <v>45400000</v>
      </c>
      <c r="D28" s="34" t="s">
        <v>102</v>
      </c>
      <c r="E28" s="56">
        <v>40000</v>
      </c>
      <c r="F28" s="25" t="s">
        <v>64</v>
      </c>
      <c r="G28" s="26" t="s">
        <v>125</v>
      </c>
      <c r="H28" s="31"/>
    </row>
    <row r="29" spans="2:8" s="18" customFormat="1" ht="37.5" customHeight="1" x14ac:dyDescent="0.25">
      <c r="B29" s="65" t="s">
        <v>133</v>
      </c>
      <c r="C29" s="30">
        <v>48700000</v>
      </c>
      <c r="D29" s="23" t="s">
        <v>104</v>
      </c>
      <c r="E29" s="56">
        <v>30000</v>
      </c>
      <c r="F29" s="25" t="s">
        <v>64</v>
      </c>
      <c r="G29" s="26" t="s">
        <v>125</v>
      </c>
      <c r="H29" s="31"/>
    </row>
    <row r="30" spans="2:8" s="18" customFormat="1" ht="56.25" x14ac:dyDescent="0.25">
      <c r="B30" s="65" t="s">
        <v>132</v>
      </c>
      <c r="C30" s="78">
        <v>50100000</v>
      </c>
      <c r="D30" s="78" t="s">
        <v>44</v>
      </c>
      <c r="E30" s="56">
        <f>10000+30000</f>
        <v>40000</v>
      </c>
      <c r="F30" s="79" t="s">
        <v>61</v>
      </c>
      <c r="G30" s="80" t="s">
        <v>125</v>
      </c>
      <c r="H30" s="102" t="s">
        <v>66</v>
      </c>
    </row>
    <row r="31" spans="2:8" s="1" customFormat="1" ht="92.25" customHeight="1" x14ac:dyDescent="0.25">
      <c r="B31" s="104" t="s">
        <v>132</v>
      </c>
      <c r="C31" s="23" t="s">
        <v>59</v>
      </c>
      <c r="D31" s="23" t="s">
        <v>62</v>
      </c>
      <c r="E31" s="24">
        <f>120000-30000+15000</f>
        <v>105000</v>
      </c>
      <c r="F31" s="25" t="s">
        <v>64</v>
      </c>
      <c r="G31" s="26" t="s">
        <v>125</v>
      </c>
      <c r="H31" s="36"/>
    </row>
    <row r="32" spans="2:8" s="18" customFormat="1" ht="56.25" x14ac:dyDescent="0.25">
      <c r="B32" s="65" t="s">
        <v>132</v>
      </c>
      <c r="C32" s="78">
        <v>50100000</v>
      </c>
      <c r="D32" s="78" t="s">
        <v>44</v>
      </c>
      <c r="E32" s="56">
        <v>2080</v>
      </c>
      <c r="F32" s="79" t="s">
        <v>61</v>
      </c>
      <c r="G32" s="80" t="s">
        <v>160</v>
      </c>
      <c r="H32" s="102" t="s">
        <v>85</v>
      </c>
    </row>
    <row r="33" spans="2:8" s="18" customFormat="1" ht="92.25" customHeight="1" x14ac:dyDescent="0.25">
      <c r="B33" s="65" t="s">
        <v>132</v>
      </c>
      <c r="C33" s="23" t="s">
        <v>107</v>
      </c>
      <c r="D33" s="23" t="s">
        <v>108</v>
      </c>
      <c r="E33" s="56">
        <v>50000</v>
      </c>
      <c r="F33" s="25" t="s">
        <v>64</v>
      </c>
      <c r="G33" s="26" t="s">
        <v>125</v>
      </c>
      <c r="H33" s="31"/>
    </row>
    <row r="34" spans="2:8" s="18" customFormat="1" ht="92.25" customHeight="1" x14ac:dyDescent="0.25">
      <c r="B34" s="65" t="s">
        <v>132</v>
      </c>
      <c r="C34" s="23" t="s">
        <v>105</v>
      </c>
      <c r="D34" s="23" t="s">
        <v>106</v>
      </c>
      <c r="E34" s="56">
        <v>310000</v>
      </c>
      <c r="F34" s="25" t="s">
        <v>64</v>
      </c>
      <c r="G34" s="26" t="s">
        <v>125</v>
      </c>
      <c r="H34" s="36"/>
    </row>
    <row r="35" spans="2:8" s="18" customFormat="1" ht="92.25" customHeight="1" x14ac:dyDescent="0.25">
      <c r="B35" s="65" t="s">
        <v>147</v>
      </c>
      <c r="C35" s="23" t="s">
        <v>109</v>
      </c>
      <c r="D35" s="23" t="s">
        <v>110</v>
      </c>
      <c r="E35" s="56">
        <f>60000+45000-20000</f>
        <v>85000</v>
      </c>
      <c r="F35" s="25" t="s">
        <v>64</v>
      </c>
      <c r="G35" s="26" t="s">
        <v>125</v>
      </c>
      <c r="H35" s="36"/>
    </row>
    <row r="36" spans="2:8" s="18" customFormat="1" ht="102.75" customHeight="1" x14ac:dyDescent="0.25">
      <c r="B36" s="65" t="s">
        <v>132</v>
      </c>
      <c r="C36" s="23" t="s">
        <v>86</v>
      </c>
      <c r="D36" s="23" t="s">
        <v>87</v>
      </c>
      <c r="E36" s="56">
        <v>8000</v>
      </c>
      <c r="F36" s="25" t="s">
        <v>64</v>
      </c>
      <c r="G36" s="26" t="s">
        <v>125</v>
      </c>
      <c r="H36" s="23"/>
    </row>
    <row r="37" spans="2:8" s="18" customFormat="1" ht="115.5" customHeight="1" x14ac:dyDescent="0.25">
      <c r="B37" s="65" t="s">
        <v>132</v>
      </c>
      <c r="C37" s="23">
        <v>50700000</v>
      </c>
      <c r="D37" s="23" t="s">
        <v>13</v>
      </c>
      <c r="E37" s="56">
        <f>1600000-59200</f>
        <v>1540800</v>
      </c>
      <c r="F37" s="23" t="s">
        <v>61</v>
      </c>
      <c r="G37" s="26" t="s">
        <v>125</v>
      </c>
      <c r="H37" s="23" t="s">
        <v>99</v>
      </c>
    </row>
    <row r="38" spans="2:8" s="18" customFormat="1" ht="115.5" customHeight="1" x14ac:dyDescent="0.25">
      <c r="B38" s="67" t="s">
        <v>132</v>
      </c>
      <c r="C38" s="68">
        <v>50700000</v>
      </c>
      <c r="D38" s="68" t="s">
        <v>13</v>
      </c>
      <c r="E38" s="69">
        <f>93000-45000+20000+46148</f>
        <v>114148</v>
      </c>
      <c r="F38" s="68" t="s">
        <v>64</v>
      </c>
      <c r="G38" s="71" t="s">
        <v>125</v>
      </c>
      <c r="H38" s="68"/>
    </row>
    <row r="39" spans="2:8" s="18" customFormat="1" ht="115.5" customHeight="1" x14ac:dyDescent="0.25">
      <c r="B39" s="65" t="s">
        <v>132</v>
      </c>
      <c r="C39" s="78" t="s">
        <v>117</v>
      </c>
      <c r="D39" s="78" t="s">
        <v>118</v>
      </c>
      <c r="E39" s="56">
        <f>120000+68250</f>
        <v>188250</v>
      </c>
      <c r="F39" s="78" t="s">
        <v>64</v>
      </c>
      <c r="G39" s="80" t="s">
        <v>125</v>
      </c>
      <c r="H39" s="78"/>
    </row>
    <row r="40" spans="2:8" s="18" customFormat="1" ht="115.5" customHeight="1" x14ac:dyDescent="0.25">
      <c r="B40" s="65" t="s">
        <v>132</v>
      </c>
      <c r="C40" s="23" t="s">
        <v>111</v>
      </c>
      <c r="D40" s="23" t="s">
        <v>112</v>
      </c>
      <c r="E40" s="56">
        <v>120000</v>
      </c>
      <c r="F40" s="23" t="s">
        <v>64</v>
      </c>
      <c r="G40" s="26" t="s">
        <v>125</v>
      </c>
      <c r="H40" s="23"/>
    </row>
    <row r="41" spans="2:8" s="18" customFormat="1" ht="58.5" customHeight="1" x14ac:dyDescent="0.25">
      <c r="B41" s="65" t="s">
        <v>132</v>
      </c>
      <c r="C41" s="30">
        <v>63700000</v>
      </c>
      <c r="D41" s="23" t="s">
        <v>70</v>
      </c>
      <c r="E41" s="56">
        <v>2000</v>
      </c>
      <c r="F41" s="25" t="s">
        <v>61</v>
      </c>
      <c r="G41" s="26" t="s">
        <v>125</v>
      </c>
      <c r="H41" s="26" t="s">
        <v>85</v>
      </c>
    </row>
    <row r="42" spans="2:8" s="18" customFormat="1" ht="63.75" customHeight="1" x14ac:dyDescent="0.25">
      <c r="B42" s="65" t="s">
        <v>132</v>
      </c>
      <c r="C42" s="23" t="s">
        <v>47</v>
      </c>
      <c r="D42" s="23" t="s">
        <v>48</v>
      </c>
      <c r="E42" s="56">
        <v>6000</v>
      </c>
      <c r="F42" s="25" t="s">
        <v>64</v>
      </c>
      <c r="G42" s="26" t="s">
        <v>125</v>
      </c>
      <c r="H42" s="23"/>
    </row>
    <row r="43" spans="2:8" s="18" customFormat="1" ht="33.75" x14ac:dyDescent="0.25">
      <c r="B43" s="65" t="s">
        <v>132</v>
      </c>
      <c r="C43" s="38" t="s">
        <v>18</v>
      </c>
      <c r="D43" s="23" t="s">
        <v>46</v>
      </c>
      <c r="E43" s="56">
        <v>25000</v>
      </c>
      <c r="F43" s="25" t="s">
        <v>64</v>
      </c>
      <c r="G43" s="26" t="s">
        <v>125</v>
      </c>
      <c r="H43" s="33"/>
    </row>
    <row r="44" spans="2:8" s="18" customFormat="1" ht="56.25" x14ac:dyDescent="0.25">
      <c r="B44" s="65" t="s">
        <v>132</v>
      </c>
      <c r="C44" s="38" t="s">
        <v>18</v>
      </c>
      <c r="D44" s="23" t="s">
        <v>46</v>
      </c>
      <c r="E44" s="56">
        <v>25500</v>
      </c>
      <c r="F44" s="25" t="s">
        <v>61</v>
      </c>
      <c r="G44" s="26" t="s">
        <v>125</v>
      </c>
      <c r="H44" s="26" t="s">
        <v>96</v>
      </c>
    </row>
    <row r="45" spans="2:8" s="18" customFormat="1" ht="56.25" x14ac:dyDescent="0.25">
      <c r="B45" s="65" t="s">
        <v>132</v>
      </c>
      <c r="C45" s="77" t="s">
        <v>161</v>
      </c>
      <c r="D45" s="78" t="s">
        <v>46</v>
      </c>
      <c r="E45" s="56">
        <v>9000</v>
      </c>
      <c r="F45" s="79" t="s">
        <v>61</v>
      </c>
      <c r="G45" s="80" t="s">
        <v>152</v>
      </c>
      <c r="H45" s="80" t="s">
        <v>162</v>
      </c>
    </row>
    <row r="46" spans="2:8" s="18" customFormat="1" ht="33.75" x14ac:dyDescent="0.25">
      <c r="B46" s="65" t="s">
        <v>132</v>
      </c>
      <c r="C46" s="38" t="s">
        <v>18</v>
      </c>
      <c r="D46" s="23" t="s">
        <v>46</v>
      </c>
      <c r="E46" s="56">
        <v>24000</v>
      </c>
      <c r="F46" s="25" t="s">
        <v>60</v>
      </c>
      <c r="G46" s="26" t="s">
        <v>125</v>
      </c>
      <c r="H46" s="33"/>
    </row>
    <row r="47" spans="2:8" s="18" customFormat="1" ht="33.75" x14ac:dyDescent="0.25">
      <c r="B47" s="65" t="s">
        <v>134</v>
      </c>
      <c r="C47" s="38" t="s">
        <v>114</v>
      </c>
      <c r="D47" s="23" t="s">
        <v>113</v>
      </c>
      <c r="E47" s="56">
        <v>30000</v>
      </c>
      <c r="F47" s="25" t="s">
        <v>64</v>
      </c>
      <c r="G47" s="26" t="s">
        <v>125</v>
      </c>
      <c r="H47" s="26"/>
    </row>
    <row r="48" spans="2:8" s="18" customFormat="1" ht="33.75" x14ac:dyDescent="0.25">
      <c r="B48" s="65" t="s">
        <v>132</v>
      </c>
      <c r="C48" s="38" t="s">
        <v>55</v>
      </c>
      <c r="D48" s="23" t="s">
        <v>56</v>
      </c>
      <c r="E48" s="56">
        <v>1680</v>
      </c>
      <c r="F48" s="25" t="s">
        <v>91</v>
      </c>
      <c r="G48" s="26" t="s">
        <v>125</v>
      </c>
      <c r="H48" s="33"/>
    </row>
    <row r="49" spans="2:10" s="18" customFormat="1" ht="57" customHeight="1" x14ac:dyDescent="0.25">
      <c r="B49" s="65" t="s">
        <v>132</v>
      </c>
      <c r="C49" s="77" t="s">
        <v>17</v>
      </c>
      <c r="D49" s="78" t="s">
        <v>16</v>
      </c>
      <c r="E49" s="56">
        <f>90000+34000</f>
        <v>124000</v>
      </c>
      <c r="F49" s="79" t="s">
        <v>61</v>
      </c>
      <c r="G49" s="80" t="s">
        <v>125</v>
      </c>
      <c r="H49" s="80" t="s">
        <v>67</v>
      </c>
    </row>
    <row r="50" spans="2:10" s="18" customFormat="1" ht="65.25" customHeight="1" x14ac:dyDescent="0.25">
      <c r="B50" s="65" t="s">
        <v>132</v>
      </c>
      <c r="C50" s="77" t="s">
        <v>17</v>
      </c>
      <c r="D50" s="78" t="s">
        <v>16</v>
      </c>
      <c r="E50" s="56">
        <f>150+400+266</f>
        <v>816</v>
      </c>
      <c r="F50" s="79" t="s">
        <v>61</v>
      </c>
      <c r="G50" s="80" t="s">
        <v>125</v>
      </c>
      <c r="H50" s="80"/>
      <c r="J50" s="20"/>
    </row>
    <row r="51" spans="2:10" s="18" customFormat="1" ht="56.25" x14ac:dyDescent="0.25">
      <c r="B51" s="65" t="s">
        <v>132</v>
      </c>
      <c r="C51" s="38" t="s">
        <v>77</v>
      </c>
      <c r="D51" s="23" t="s">
        <v>78</v>
      </c>
      <c r="E51" s="56">
        <v>3000</v>
      </c>
      <c r="F51" s="25" t="s">
        <v>61</v>
      </c>
      <c r="G51" s="26" t="s">
        <v>125</v>
      </c>
      <c r="H51" s="26" t="s">
        <v>79</v>
      </c>
    </row>
    <row r="52" spans="2:10" s="18" customFormat="1" ht="56.25" x14ac:dyDescent="0.25">
      <c r="B52" s="65" t="s">
        <v>132</v>
      </c>
      <c r="C52" s="77" t="s">
        <v>163</v>
      </c>
      <c r="D52" s="78" t="s">
        <v>164</v>
      </c>
      <c r="E52" s="56">
        <v>500</v>
      </c>
      <c r="F52" s="79" t="s">
        <v>61</v>
      </c>
      <c r="G52" s="80" t="s">
        <v>152</v>
      </c>
      <c r="H52" s="80" t="s">
        <v>79</v>
      </c>
    </row>
    <row r="53" spans="2:10" s="18" customFormat="1" ht="75" customHeight="1" x14ac:dyDescent="0.25">
      <c r="B53" s="65" t="s">
        <v>132</v>
      </c>
      <c r="C53" s="77" t="s">
        <v>25</v>
      </c>
      <c r="D53" s="78" t="s">
        <v>119</v>
      </c>
      <c r="E53" s="56">
        <v>100000</v>
      </c>
      <c r="F53" s="79" t="s">
        <v>64</v>
      </c>
      <c r="G53" s="80" t="s">
        <v>125</v>
      </c>
      <c r="H53" s="80"/>
    </row>
    <row r="54" spans="2:10" s="1" customFormat="1" ht="63.75" customHeight="1" x14ac:dyDescent="0.25">
      <c r="B54" s="104" t="s">
        <v>132</v>
      </c>
      <c r="C54" s="23" t="s">
        <v>45</v>
      </c>
      <c r="D54" s="23" t="s">
        <v>63</v>
      </c>
      <c r="E54" s="24">
        <f>6000+3850</f>
        <v>9850</v>
      </c>
      <c r="F54" s="25" t="s">
        <v>64</v>
      </c>
      <c r="G54" s="26" t="s">
        <v>125</v>
      </c>
      <c r="H54" s="26"/>
    </row>
    <row r="55" spans="2:10" s="18" customFormat="1" ht="63.75" customHeight="1" x14ac:dyDescent="0.25">
      <c r="B55" s="65" t="s">
        <v>132</v>
      </c>
      <c r="C55" s="78" t="s">
        <v>120</v>
      </c>
      <c r="D55" s="78" t="s">
        <v>121</v>
      </c>
      <c r="E55" s="56">
        <v>450</v>
      </c>
      <c r="F55" s="79" t="s">
        <v>61</v>
      </c>
      <c r="G55" s="80" t="s">
        <v>125</v>
      </c>
      <c r="H55" s="80"/>
    </row>
    <row r="56" spans="2:10" s="18" customFormat="1" ht="77.25" customHeight="1" x14ac:dyDescent="0.25">
      <c r="B56" s="65" t="s">
        <v>132</v>
      </c>
      <c r="C56" s="30">
        <v>79700000</v>
      </c>
      <c r="D56" s="23" t="s">
        <v>27</v>
      </c>
      <c r="E56" s="56">
        <v>600000</v>
      </c>
      <c r="F56" s="25" t="s">
        <v>61</v>
      </c>
      <c r="G56" s="26" t="s">
        <v>125</v>
      </c>
      <c r="H56" s="26" t="s">
        <v>80</v>
      </c>
    </row>
    <row r="57" spans="2:10" s="18" customFormat="1" ht="62.25" customHeight="1" x14ac:dyDescent="0.25">
      <c r="B57" s="65" t="s">
        <v>132</v>
      </c>
      <c r="C57" s="30">
        <v>79800000</v>
      </c>
      <c r="D57" s="23" t="s">
        <v>81</v>
      </c>
      <c r="E57" s="56">
        <v>10000</v>
      </c>
      <c r="F57" s="25" t="s">
        <v>64</v>
      </c>
      <c r="G57" s="26" t="s">
        <v>125</v>
      </c>
      <c r="H57" s="26"/>
    </row>
    <row r="58" spans="2:10" s="18" customFormat="1" ht="62.25" customHeight="1" x14ac:dyDescent="0.25">
      <c r="B58" s="65" t="s">
        <v>132</v>
      </c>
      <c r="C58" s="23" t="s">
        <v>53</v>
      </c>
      <c r="D58" s="23" t="s">
        <v>65</v>
      </c>
      <c r="E58" s="56">
        <f>20000+12000</f>
        <v>32000</v>
      </c>
      <c r="F58" s="25" t="s">
        <v>61</v>
      </c>
      <c r="G58" s="26" t="s">
        <v>125</v>
      </c>
      <c r="H58" s="23" t="s">
        <v>68</v>
      </c>
    </row>
    <row r="59" spans="2:10" s="18" customFormat="1" ht="62.25" customHeight="1" x14ac:dyDescent="0.25">
      <c r="B59" s="65" t="s">
        <v>132</v>
      </c>
      <c r="C59" s="38" t="s">
        <v>24</v>
      </c>
      <c r="D59" s="23" t="s">
        <v>71</v>
      </c>
      <c r="E59" s="56">
        <v>12000</v>
      </c>
      <c r="F59" s="25" t="s">
        <v>64</v>
      </c>
      <c r="G59" s="26" t="s">
        <v>125</v>
      </c>
      <c r="H59" s="23"/>
    </row>
    <row r="60" spans="2:10" s="18" customFormat="1" ht="62.25" customHeight="1" x14ac:dyDescent="0.25">
      <c r="B60" s="65" t="s">
        <v>132</v>
      </c>
      <c r="C60" s="38" t="s">
        <v>122</v>
      </c>
      <c r="D60" s="23" t="s">
        <v>123</v>
      </c>
      <c r="E60" s="56">
        <v>1000</v>
      </c>
      <c r="F60" s="25" t="s">
        <v>61</v>
      </c>
      <c r="G60" s="26" t="s">
        <v>125</v>
      </c>
      <c r="H60" s="23"/>
    </row>
    <row r="61" spans="2:10" s="18" customFormat="1" ht="60.75" customHeight="1" x14ac:dyDescent="0.25">
      <c r="B61" s="65" t="s">
        <v>132</v>
      </c>
      <c r="C61" s="78" t="s">
        <v>82</v>
      </c>
      <c r="D61" s="78" t="s">
        <v>83</v>
      </c>
      <c r="E61" s="56">
        <v>10000</v>
      </c>
      <c r="F61" s="79" t="s">
        <v>61</v>
      </c>
      <c r="G61" s="80" t="s">
        <v>125</v>
      </c>
      <c r="H61" s="80" t="s">
        <v>79</v>
      </c>
    </row>
    <row r="62" spans="2:10" s="18" customFormat="1" ht="36.75" customHeight="1" x14ac:dyDescent="0.25">
      <c r="B62" s="65" t="s">
        <v>132</v>
      </c>
      <c r="C62" s="78" t="s">
        <v>12</v>
      </c>
      <c r="D62" s="78" t="s">
        <v>19</v>
      </c>
      <c r="E62" s="56">
        <f>80000+110000</f>
        <v>190000</v>
      </c>
      <c r="F62" s="79" t="s">
        <v>64</v>
      </c>
      <c r="G62" s="80" t="s">
        <v>125</v>
      </c>
      <c r="H62" s="81"/>
    </row>
    <row r="63" spans="2:10" s="18" customFormat="1" ht="54.75" customHeight="1" x14ac:dyDescent="0.25">
      <c r="B63" s="65" t="s">
        <v>132</v>
      </c>
      <c r="C63" s="78" t="s">
        <v>115</v>
      </c>
      <c r="D63" s="78" t="s">
        <v>116</v>
      </c>
      <c r="E63" s="56">
        <v>15000</v>
      </c>
      <c r="F63" s="79" t="s">
        <v>61</v>
      </c>
      <c r="G63" s="80" t="s">
        <v>125</v>
      </c>
      <c r="H63" s="80" t="s">
        <v>79</v>
      </c>
    </row>
    <row r="64" spans="2:10" s="18" customFormat="1" ht="54.75" customHeight="1" x14ac:dyDescent="0.25">
      <c r="B64" s="108" t="s">
        <v>132</v>
      </c>
      <c r="C64" s="78" t="s">
        <v>165</v>
      </c>
      <c r="D64" s="78" t="s">
        <v>166</v>
      </c>
      <c r="E64" s="56">
        <v>4900</v>
      </c>
      <c r="F64" s="79" t="s">
        <v>61</v>
      </c>
      <c r="G64" s="80" t="s">
        <v>152</v>
      </c>
      <c r="H64" s="80" t="s">
        <v>79</v>
      </c>
    </row>
    <row r="65" spans="2:13" s="1" customFormat="1" ht="75" customHeight="1" x14ac:dyDescent="0.25">
      <c r="B65" s="126" t="s">
        <v>135</v>
      </c>
      <c r="C65" s="127"/>
      <c r="D65" s="127"/>
      <c r="E65" s="16">
        <f>SUM(E66:E69)</f>
        <v>1710000</v>
      </c>
      <c r="F65" s="13"/>
      <c r="G65" s="14"/>
      <c r="H65" s="10"/>
      <c r="I65" s="61"/>
      <c r="J65" s="62"/>
    </row>
    <row r="66" spans="2:13" s="1" customFormat="1" ht="59.25" customHeight="1" x14ac:dyDescent="0.25">
      <c r="B66" s="104" t="s">
        <v>132</v>
      </c>
      <c r="C66" s="23" t="s">
        <v>24</v>
      </c>
      <c r="D66" s="23" t="s">
        <v>71</v>
      </c>
      <c r="E66" s="24">
        <f>1710000-142500-E68-E67</f>
        <v>1314302.3999999999</v>
      </c>
      <c r="F66" s="25" t="s">
        <v>64</v>
      </c>
      <c r="G66" s="26" t="s">
        <v>125</v>
      </c>
      <c r="H66" s="41"/>
      <c r="J66" s="62"/>
    </row>
    <row r="67" spans="2:13" s="1" customFormat="1" ht="67.5" x14ac:dyDescent="0.25">
      <c r="B67" s="104" t="s">
        <v>132</v>
      </c>
      <c r="C67" s="23" t="s">
        <v>103</v>
      </c>
      <c r="D67" s="23" t="s">
        <v>71</v>
      </c>
      <c r="E67" s="24">
        <v>33000</v>
      </c>
      <c r="F67" s="25" t="s">
        <v>61</v>
      </c>
      <c r="G67" s="26" t="s">
        <v>151</v>
      </c>
      <c r="H67" s="48" t="s">
        <v>98</v>
      </c>
      <c r="J67" s="62"/>
    </row>
    <row r="68" spans="2:13" s="1" customFormat="1" ht="67.5" x14ac:dyDescent="0.25">
      <c r="B68" s="104" t="s">
        <v>132</v>
      </c>
      <c r="C68" s="23" t="s">
        <v>103</v>
      </c>
      <c r="D68" s="23" t="s">
        <v>71</v>
      </c>
      <c r="E68" s="24">
        <v>220197.6</v>
      </c>
      <c r="F68" s="25" t="s">
        <v>61</v>
      </c>
      <c r="G68" s="26" t="s">
        <v>150</v>
      </c>
      <c r="H68" s="48" t="s">
        <v>98</v>
      </c>
    </row>
    <row r="69" spans="2:13" s="1" customFormat="1" ht="98.25" customHeight="1" x14ac:dyDescent="0.25">
      <c r="B69" s="104" t="s">
        <v>132</v>
      </c>
      <c r="C69" s="23" t="s">
        <v>24</v>
      </c>
      <c r="D69" s="23" t="s">
        <v>71</v>
      </c>
      <c r="E69" s="24">
        <v>142500</v>
      </c>
      <c r="F69" s="25" t="s">
        <v>61</v>
      </c>
      <c r="G69" s="26" t="s">
        <v>125</v>
      </c>
      <c r="H69" s="48" t="s">
        <v>128</v>
      </c>
      <c r="J69" s="62"/>
    </row>
    <row r="70" spans="2:13" s="1" customFormat="1" ht="31.5" customHeight="1" x14ac:dyDescent="0.25">
      <c r="B70" s="126" t="s">
        <v>136</v>
      </c>
      <c r="C70" s="127"/>
      <c r="D70" s="127"/>
      <c r="E70" s="16">
        <f>SUM(E71:E75)</f>
        <v>22370000</v>
      </c>
      <c r="F70" s="13"/>
      <c r="G70" s="9"/>
      <c r="H70" s="10"/>
      <c r="I70" s="61"/>
      <c r="J70" s="62"/>
    </row>
    <row r="71" spans="2:13" s="1" customFormat="1" ht="75.75" customHeight="1" x14ac:dyDescent="0.25">
      <c r="B71" s="104" t="s">
        <v>132</v>
      </c>
      <c r="C71" s="23" t="s">
        <v>7</v>
      </c>
      <c r="D71" s="23" t="s">
        <v>57</v>
      </c>
      <c r="E71" s="24">
        <f>3750000+400000</f>
        <v>4150000</v>
      </c>
      <c r="F71" s="25" t="s">
        <v>61</v>
      </c>
      <c r="G71" s="26" t="s">
        <v>125</v>
      </c>
      <c r="H71" s="48" t="s">
        <v>97</v>
      </c>
    </row>
    <row r="72" spans="2:13" s="1" customFormat="1" ht="75.75" customHeight="1" x14ac:dyDescent="0.25">
      <c r="B72" s="66" t="s">
        <v>133</v>
      </c>
      <c r="C72" s="23" t="s">
        <v>7</v>
      </c>
      <c r="D72" s="23" t="s">
        <v>57</v>
      </c>
      <c r="E72" s="24">
        <v>100000</v>
      </c>
      <c r="F72" s="25" t="s">
        <v>61</v>
      </c>
      <c r="G72" s="26" t="s">
        <v>125</v>
      </c>
      <c r="H72" s="48" t="s">
        <v>97</v>
      </c>
    </row>
    <row r="73" spans="2:13" s="1" customFormat="1" ht="121.5" customHeight="1" x14ac:dyDescent="0.25">
      <c r="B73" s="104" t="s">
        <v>132</v>
      </c>
      <c r="C73" s="23">
        <v>33600000</v>
      </c>
      <c r="D73" s="23" t="s">
        <v>29</v>
      </c>
      <c r="E73" s="24">
        <f>1440000+270000-22680</f>
        <v>1687320</v>
      </c>
      <c r="F73" s="25" t="s">
        <v>64</v>
      </c>
      <c r="G73" s="26" t="s">
        <v>125</v>
      </c>
      <c r="H73" s="41"/>
      <c r="J73" s="62"/>
      <c r="L73" s="62"/>
      <c r="M73" s="62"/>
    </row>
    <row r="74" spans="2:13" s="1" customFormat="1" ht="121.5" customHeight="1" x14ac:dyDescent="0.25">
      <c r="B74" s="104" t="s">
        <v>132</v>
      </c>
      <c r="C74" s="23" t="s">
        <v>32</v>
      </c>
      <c r="D74" s="23" t="s">
        <v>29</v>
      </c>
      <c r="E74" s="24">
        <v>22680</v>
      </c>
      <c r="F74" s="25" t="s">
        <v>61</v>
      </c>
      <c r="G74" s="26" t="s">
        <v>150</v>
      </c>
      <c r="H74" s="48" t="s">
        <v>157</v>
      </c>
      <c r="J74" s="62"/>
      <c r="L74" s="62"/>
      <c r="M74" s="62"/>
    </row>
    <row r="75" spans="2:13" s="1" customFormat="1" ht="87.75" customHeight="1" x14ac:dyDescent="0.25">
      <c r="B75" s="104" t="s">
        <v>132</v>
      </c>
      <c r="C75" s="23" t="s">
        <v>32</v>
      </c>
      <c r="D75" s="23" t="s">
        <v>29</v>
      </c>
      <c r="E75" s="24">
        <v>16410000</v>
      </c>
      <c r="F75" s="25" t="s">
        <v>61</v>
      </c>
      <c r="G75" s="26" t="s">
        <v>125</v>
      </c>
      <c r="H75" s="48" t="s">
        <v>98</v>
      </c>
      <c r="J75" s="62"/>
      <c r="K75" s="62"/>
    </row>
    <row r="76" spans="2:13" s="1" customFormat="1" ht="60" customHeight="1" x14ac:dyDescent="0.25">
      <c r="B76" s="126" t="s">
        <v>137</v>
      </c>
      <c r="C76" s="127"/>
      <c r="D76" s="127"/>
      <c r="E76" s="16">
        <f>SUM(E77:E81)</f>
        <v>1700000</v>
      </c>
      <c r="F76" s="13"/>
      <c r="G76" s="14"/>
      <c r="H76" s="10"/>
      <c r="I76" s="61"/>
      <c r="J76" s="105"/>
    </row>
    <row r="77" spans="2:13" s="1" customFormat="1" ht="36.75" customHeight="1" x14ac:dyDescent="0.25">
      <c r="B77" s="104" t="s">
        <v>132</v>
      </c>
      <c r="C77" s="23" t="s">
        <v>7</v>
      </c>
      <c r="D77" s="23" t="s">
        <v>28</v>
      </c>
      <c r="E77" s="24">
        <v>42272.9</v>
      </c>
      <c r="F77" s="25" t="s">
        <v>64</v>
      </c>
      <c r="G77" s="26" t="s">
        <v>125</v>
      </c>
      <c r="H77" s="41"/>
    </row>
    <row r="78" spans="2:13" s="1" customFormat="1" ht="51" customHeight="1" x14ac:dyDescent="0.25">
      <c r="B78" s="104" t="s">
        <v>132</v>
      </c>
      <c r="C78" s="23" t="s">
        <v>32</v>
      </c>
      <c r="D78" s="23" t="s">
        <v>29</v>
      </c>
      <c r="E78" s="24">
        <v>60607.14</v>
      </c>
      <c r="F78" s="25" t="s">
        <v>64</v>
      </c>
      <c r="G78" s="26" t="s">
        <v>125</v>
      </c>
      <c r="H78" s="41"/>
      <c r="J78" s="62"/>
    </row>
    <row r="79" spans="2:13" s="1" customFormat="1" ht="45" customHeight="1" x14ac:dyDescent="0.25">
      <c r="B79" s="104" t="s">
        <v>132</v>
      </c>
      <c r="C79" s="23" t="s">
        <v>89</v>
      </c>
      <c r="D79" s="23" t="s">
        <v>90</v>
      </c>
      <c r="E79" s="24">
        <v>798000</v>
      </c>
      <c r="F79" s="25" t="s">
        <v>64</v>
      </c>
      <c r="G79" s="26" t="s">
        <v>125</v>
      </c>
      <c r="H79" s="48"/>
    </row>
    <row r="80" spans="2:13" s="1" customFormat="1" ht="78.75" x14ac:dyDescent="0.25">
      <c r="B80" s="104" t="s">
        <v>132</v>
      </c>
      <c r="C80" s="23" t="s">
        <v>24</v>
      </c>
      <c r="D80" s="23" t="s">
        <v>71</v>
      </c>
      <c r="E80" s="24">
        <v>69239.960000000006</v>
      </c>
      <c r="F80" s="25" t="s">
        <v>61</v>
      </c>
      <c r="G80" s="26" t="s">
        <v>125</v>
      </c>
      <c r="H80" s="48" t="s">
        <v>129</v>
      </c>
      <c r="J80" s="62"/>
    </row>
    <row r="81" spans="2:11" s="1" customFormat="1" ht="67.5" x14ac:dyDescent="0.25">
      <c r="B81" s="104" t="s">
        <v>132</v>
      </c>
      <c r="C81" s="23" t="s">
        <v>24</v>
      </c>
      <c r="D81" s="23" t="s">
        <v>71</v>
      </c>
      <c r="E81" s="24">
        <v>729880</v>
      </c>
      <c r="F81" s="25" t="s">
        <v>61</v>
      </c>
      <c r="G81" s="26" t="s">
        <v>152</v>
      </c>
      <c r="H81" s="48" t="s">
        <v>98</v>
      </c>
    </row>
    <row r="82" spans="2:11" s="1" customFormat="1" ht="65.25" customHeight="1" x14ac:dyDescent="0.25">
      <c r="B82" s="126" t="s">
        <v>138</v>
      </c>
      <c r="C82" s="127"/>
      <c r="D82" s="127"/>
      <c r="E82" s="16">
        <f>SUM(E83:E85)</f>
        <v>1753700.5</v>
      </c>
      <c r="F82" s="13"/>
      <c r="G82" s="14"/>
      <c r="H82" s="10"/>
      <c r="I82" s="61"/>
      <c r="J82" s="62"/>
    </row>
    <row r="83" spans="2:11" s="1" customFormat="1" ht="33.75" x14ac:dyDescent="0.25">
      <c r="B83" s="104" t="s">
        <v>132</v>
      </c>
      <c r="C83" s="36" t="s">
        <v>25</v>
      </c>
      <c r="D83" s="36" t="s">
        <v>69</v>
      </c>
      <c r="E83" s="24">
        <v>55000</v>
      </c>
      <c r="F83" s="43" t="s">
        <v>64</v>
      </c>
      <c r="G83" s="26" t="s">
        <v>125</v>
      </c>
      <c r="H83" s="44"/>
    </row>
    <row r="84" spans="2:11" s="1" customFormat="1" ht="78.75" x14ac:dyDescent="0.25">
      <c r="B84" s="104" t="s">
        <v>132</v>
      </c>
      <c r="C84" s="23">
        <v>85100000</v>
      </c>
      <c r="D84" s="23" t="s">
        <v>71</v>
      </c>
      <c r="E84" s="24">
        <v>127500.5</v>
      </c>
      <c r="F84" s="25" t="s">
        <v>61</v>
      </c>
      <c r="G84" s="26" t="s">
        <v>125</v>
      </c>
      <c r="H84" s="45" t="s">
        <v>124</v>
      </c>
    </row>
    <row r="85" spans="2:11" s="1" customFormat="1" ht="60.75" customHeight="1" x14ac:dyDescent="0.25">
      <c r="B85" s="104" t="s">
        <v>132</v>
      </c>
      <c r="C85" s="23">
        <v>85100000</v>
      </c>
      <c r="D85" s="23" t="s">
        <v>71</v>
      </c>
      <c r="E85" s="24">
        <f>1460000+111200</f>
        <v>1571200</v>
      </c>
      <c r="F85" s="25" t="s">
        <v>61</v>
      </c>
      <c r="G85" s="26" t="s">
        <v>125</v>
      </c>
      <c r="H85" s="48" t="s">
        <v>98</v>
      </c>
      <c r="K85" s="62"/>
    </row>
    <row r="86" spans="2:11" s="1" customFormat="1" ht="61.5" customHeight="1" x14ac:dyDescent="0.25">
      <c r="B86" s="126" t="s">
        <v>139</v>
      </c>
      <c r="C86" s="127"/>
      <c r="D86" s="127"/>
      <c r="E86" s="16">
        <f>SUM(E87:E88)</f>
        <v>184166.6</v>
      </c>
      <c r="F86" s="13"/>
      <c r="G86" s="14"/>
      <c r="H86" s="10"/>
      <c r="I86" s="61"/>
      <c r="J86" s="62"/>
    </row>
    <row r="87" spans="2:11" s="18" customFormat="1" ht="70.5" customHeight="1" x14ac:dyDescent="0.25">
      <c r="B87" s="65" t="s">
        <v>132</v>
      </c>
      <c r="C87" s="23" t="s">
        <v>24</v>
      </c>
      <c r="D87" s="23" t="s">
        <v>71</v>
      </c>
      <c r="E87" s="56">
        <v>14166.6</v>
      </c>
      <c r="F87" s="25" t="s">
        <v>61</v>
      </c>
      <c r="G87" s="26" t="s">
        <v>125</v>
      </c>
      <c r="H87" s="48" t="s">
        <v>76</v>
      </c>
    </row>
    <row r="88" spans="2:11" s="1" customFormat="1" ht="75" customHeight="1" x14ac:dyDescent="0.25">
      <c r="B88" s="104" t="s">
        <v>132</v>
      </c>
      <c r="C88" s="23" t="s">
        <v>24</v>
      </c>
      <c r="D88" s="23" t="s">
        <v>71</v>
      </c>
      <c r="E88" s="24">
        <v>170000</v>
      </c>
      <c r="F88" s="25" t="s">
        <v>61</v>
      </c>
      <c r="G88" s="26" t="s">
        <v>125</v>
      </c>
      <c r="H88" s="48" t="s">
        <v>98</v>
      </c>
    </row>
    <row r="89" spans="2:11" s="1" customFormat="1" ht="65.25" customHeight="1" x14ac:dyDescent="0.25">
      <c r="B89" s="121" t="s">
        <v>140</v>
      </c>
      <c r="C89" s="122"/>
      <c r="D89" s="122"/>
      <c r="E89" s="16">
        <f>SUM(E90:E94)</f>
        <v>1090000</v>
      </c>
      <c r="F89" s="13"/>
      <c r="G89" s="14"/>
      <c r="H89" s="60"/>
      <c r="I89" s="61"/>
      <c r="J89" s="62"/>
    </row>
    <row r="90" spans="2:11" s="1" customFormat="1" ht="49.5" customHeight="1" x14ac:dyDescent="0.25">
      <c r="B90" s="104" t="s">
        <v>132</v>
      </c>
      <c r="C90" s="23" t="s">
        <v>14</v>
      </c>
      <c r="D90" s="23" t="s">
        <v>15</v>
      </c>
      <c r="E90" s="24">
        <v>24200</v>
      </c>
      <c r="F90" s="25" t="s">
        <v>60</v>
      </c>
      <c r="G90" s="26" t="s">
        <v>125</v>
      </c>
      <c r="H90" s="41"/>
    </row>
    <row r="91" spans="2:11" s="1" customFormat="1" ht="33.75" x14ac:dyDescent="0.25">
      <c r="B91" s="104" t="s">
        <v>132</v>
      </c>
      <c r="C91" s="28">
        <v>33100000</v>
      </c>
      <c r="D91" s="28" t="s">
        <v>28</v>
      </c>
      <c r="E91" s="24">
        <f>240004-87983</f>
        <v>152021</v>
      </c>
      <c r="F91" s="29" t="s">
        <v>64</v>
      </c>
      <c r="G91" s="26" t="s">
        <v>125</v>
      </c>
      <c r="H91" s="46"/>
    </row>
    <row r="92" spans="2:11" s="1" customFormat="1" ht="60.75" customHeight="1" x14ac:dyDescent="0.25">
      <c r="B92" s="104" t="s">
        <v>132</v>
      </c>
      <c r="C92" s="23" t="s">
        <v>59</v>
      </c>
      <c r="D92" s="23" t="s">
        <v>44</v>
      </c>
      <c r="E92" s="24">
        <v>15000</v>
      </c>
      <c r="F92" s="25" t="s">
        <v>64</v>
      </c>
      <c r="G92" s="26" t="s">
        <v>125</v>
      </c>
      <c r="H92" s="41"/>
    </row>
    <row r="93" spans="2:11" s="1" customFormat="1" ht="75" customHeight="1" x14ac:dyDescent="0.25">
      <c r="B93" s="104" t="s">
        <v>132</v>
      </c>
      <c r="C93" s="23">
        <v>85100000</v>
      </c>
      <c r="D93" s="23" t="s">
        <v>71</v>
      </c>
      <c r="E93" s="24">
        <v>48983</v>
      </c>
      <c r="F93" s="25" t="s">
        <v>61</v>
      </c>
      <c r="G93" s="26" t="s">
        <v>125</v>
      </c>
      <c r="H93" s="48" t="s">
        <v>126</v>
      </c>
      <c r="J93" s="62"/>
    </row>
    <row r="94" spans="2:11" s="18" customFormat="1" ht="65.25" customHeight="1" x14ac:dyDescent="0.25">
      <c r="B94" s="65" t="s">
        <v>132</v>
      </c>
      <c r="C94" s="78">
        <v>85100000</v>
      </c>
      <c r="D94" s="78" t="s">
        <v>71</v>
      </c>
      <c r="E94" s="56">
        <f>1071996+37800-260000</f>
        <v>849796</v>
      </c>
      <c r="F94" s="79" t="s">
        <v>61</v>
      </c>
      <c r="G94" s="80" t="s">
        <v>125</v>
      </c>
      <c r="H94" s="111" t="s">
        <v>98</v>
      </c>
    </row>
    <row r="95" spans="2:11" s="1" customFormat="1" ht="80.25" customHeight="1" x14ac:dyDescent="0.25">
      <c r="B95" s="126" t="s">
        <v>141</v>
      </c>
      <c r="C95" s="127"/>
      <c r="D95" s="127"/>
      <c r="E95" s="16">
        <f>SUM(E96:E96)</f>
        <v>1250000</v>
      </c>
      <c r="F95" s="13"/>
      <c r="G95" s="14"/>
      <c r="H95" s="10"/>
      <c r="I95" s="61"/>
      <c r="J95" s="62"/>
    </row>
    <row r="96" spans="2:11" s="1" customFormat="1" ht="84.75" customHeight="1" x14ac:dyDescent="0.25">
      <c r="B96" s="104" t="s">
        <v>132</v>
      </c>
      <c r="C96" s="23" t="s">
        <v>32</v>
      </c>
      <c r="D96" s="23" t="s">
        <v>29</v>
      </c>
      <c r="E96" s="24">
        <v>1250000</v>
      </c>
      <c r="F96" s="25" t="s">
        <v>61</v>
      </c>
      <c r="G96" s="26" t="s">
        <v>125</v>
      </c>
      <c r="H96" s="48" t="s">
        <v>98</v>
      </c>
    </row>
    <row r="97" spans="2:11" s="1" customFormat="1" ht="57.75" customHeight="1" x14ac:dyDescent="0.25">
      <c r="B97" s="119" t="s">
        <v>142</v>
      </c>
      <c r="C97" s="120"/>
      <c r="D97" s="120"/>
      <c r="E97" s="57">
        <f>SUM(E98:E101)</f>
        <v>4000000</v>
      </c>
      <c r="F97" s="58"/>
      <c r="G97" s="58"/>
      <c r="H97" s="59"/>
      <c r="I97" s="61"/>
      <c r="J97" s="62"/>
    </row>
    <row r="98" spans="2:11" s="18" customFormat="1" ht="29.25" customHeight="1" x14ac:dyDescent="0.25">
      <c r="B98" s="65" t="s">
        <v>132</v>
      </c>
      <c r="C98" s="38">
        <v>33100000</v>
      </c>
      <c r="D98" s="23" t="s">
        <v>8</v>
      </c>
      <c r="E98" s="56">
        <v>124876.2</v>
      </c>
      <c r="F98" s="25" t="s">
        <v>64</v>
      </c>
      <c r="G98" s="26" t="s">
        <v>125</v>
      </c>
      <c r="H98" s="26"/>
    </row>
    <row r="99" spans="2:11" s="1" customFormat="1" ht="33.75" x14ac:dyDescent="0.25">
      <c r="B99" s="104" t="s">
        <v>132</v>
      </c>
      <c r="C99" s="38" t="s">
        <v>32</v>
      </c>
      <c r="D99" s="23" t="s">
        <v>9</v>
      </c>
      <c r="E99" s="24">
        <f>2995349.4-3495.8-99984.41</f>
        <v>2891869.19</v>
      </c>
      <c r="F99" s="25" t="s">
        <v>64</v>
      </c>
      <c r="G99" s="26" t="s">
        <v>125</v>
      </c>
      <c r="H99" s="26"/>
    </row>
    <row r="100" spans="2:11" s="1" customFormat="1" ht="67.5" x14ac:dyDescent="0.25">
      <c r="B100" s="104" t="s">
        <v>132</v>
      </c>
      <c r="C100" s="38" t="s">
        <v>24</v>
      </c>
      <c r="D100" s="23" t="s">
        <v>71</v>
      </c>
      <c r="E100" s="24">
        <v>73605.850000000006</v>
      </c>
      <c r="F100" s="25" t="s">
        <v>61</v>
      </c>
      <c r="G100" s="26" t="s">
        <v>125</v>
      </c>
      <c r="H100" s="45" t="s">
        <v>127</v>
      </c>
    </row>
    <row r="101" spans="2:11" s="1" customFormat="1" ht="83.25" customHeight="1" x14ac:dyDescent="0.25">
      <c r="B101" s="104" t="s">
        <v>132</v>
      </c>
      <c r="C101" s="23" t="s">
        <v>24</v>
      </c>
      <c r="D101" s="23" t="s">
        <v>71</v>
      </c>
      <c r="E101" s="24">
        <v>909648.76</v>
      </c>
      <c r="F101" s="25" t="s">
        <v>61</v>
      </c>
      <c r="G101" s="26" t="s">
        <v>152</v>
      </c>
      <c r="H101" s="32" t="s">
        <v>98</v>
      </c>
    </row>
    <row r="102" spans="2:11" ht="122.25" customHeight="1" x14ac:dyDescent="0.25">
      <c r="B102" s="126" t="s">
        <v>143</v>
      </c>
      <c r="C102" s="127"/>
      <c r="D102" s="127"/>
      <c r="E102" s="16">
        <f>SUM(E103)</f>
        <v>2190000</v>
      </c>
      <c r="F102" s="13"/>
      <c r="G102" s="14"/>
      <c r="H102" s="10"/>
      <c r="I102" s="61"/>
      <c r="J102" s="63">
        <f>E97-4000000</f>
        <v>0</v>
      </c>
    </row>
    <row r="103" spans="2:11" s="1" customFormat="1" ht="117.75" customHeight="1" x14ac:dyDescent="0.25">
      <c r="B103" s="104" t="s">
        <v>132</v>
      </c>
      <c r="C103" s="23" t="s">
        <v>32</v>
      </c>
      <c r="D103" s="23" t="s">
        <v>29</v>
      </c>
      <c r="E103" s="24">
        <v>2190000</v>
      </c>
      <c r="F103" s="25" t="s">
        <v>61</v>
      </c>
      <c r="G103" s="26" t="s">
        <v>152</v>
      </c>
      <c r="H103" s="48" t="s">
        <v>98</v>
      </c>
    </row>
    <row r="104" spans="2:11" s="1" customFormat="1" ht="57" customHeight="1" x14ac:dyDescent="0.25">
      <c r="B104" s="121" t="s">
        <v>144</v>
      </c>
      <c r="C104" s="122"/>
      <c r="D104" s="122"/>
      <c r="E104" s="16">
        <f>SUM(E105:E109)</f>
        <v>474000</v>
      </c>
      <c r="F104" s="13"/>
      <c r="G104" s="60"/>
      <c r="H104" s="60"/>
      <c r="I104" s="61"/>
      <c r="J104" s="62"/>
    </row>
    <row r="105" spans="2:11" s="1" customFormat="1" ht="59.25" customHeight="1" x14ac:dyDescent="0.25">
      <c r="B105" s="104" t="s">
        <v>148</v>
      </c>
      <c r="C105" s="23">
        <v>33100000</v>
      </c>
      <c r="D105" s="23" t="s">
        <v>28</v>
      </c>
      <c r="E105" s="24">
        <f>20000+14559.87+22385.83</f>
        <v>56945.700000000004</v>
      </c>
      <c r="F105" s="25" t="s">
        <v>64</v>
      </c>
      <c r="G105" s="26" t="s">
        <v>125</v>
      </c>
      <c r="H105" s="41"/>
    </row>
    <row r="106" spans="2:11" s="1" customFormat="1" ht="38.25" x14ac:dyDescent="0.25">
      <c r="B106" s="104" t="s">
        <v>148</v>
      </c>
      <c r="C106" s="36">
        <v>33600000</v>
      </c>
      <c r="D106" s="36" t="s">
        <v>29</v>
      </c>
      <c r="E106" s="24">
        <f>266824.3+68000-17770</f>
        <v>317054.3</v>
      </c>
      <c r="F106" s="43" t="s">
        <v>64</v>
      </c>
      <c r="G106" s="26" t="s">
        <v>125</v>
      </c>
      <c r="H106" s="44"/>
    </row>
    <row r="107" spans="2:11" s="1" customFormat="1" ht="78.75" x14ac:dyDescent="0.25">
      <c r="B107" s="104" t="s">
        <v>132</v>
      </c>
      <c r="C107" s="38" t="s">
        <v>103</v>
      </c>
      <c r="D107" s="23" t="s">
        <v>71</v>
      </c>
      <c r="E107" s="24">
        <v>6870</v>
      </c>
      <c r="F107" s="25" t="s">
        <v>61</v>
      </c>
      <c r="G107" s="26" t="s">
        <v>125</v>
      </c>
      <c r="H107" s="45" t="s">
        <v>130</v>
      </c>
    </row>
    <row r="108" spans="2:11" s="1" customFormat="1" ht="67.5" x14ac:dyDescent="0.25">
      <c r="B108" s="104" t="s">
        <v>132</v>
      </c>
      <c r="C108" s="38" t="s">
        <v>103</v>
      </c>
      <c r="D108" s="23" t="s">
        <v>71</v>
      </c>
      <c r="E108" s="24">
        <f>13740+6870</f>
        <v>20610</v>
      </c>
      <c r="F108" s="25" t="s">
        <v>61</v>
      </c>
      <c r="G108" s="26" t="s">
        <v>152</v>
      </c>
      <c r="H108" s="48" t="s">
        <v>98</v>
      </c>
      <c r="J108" s="62"/>
      <c r="K108" s="62"/>
    </row>
    <row r="109" spans="2:11" s="1" customFormat="1" ht="51" customHeight="1" x14ac:dyDescent="0.25">
      <c r="B109" s="104" t="s">
        <v>132</v>
      </c>
      <c r="C109" s="38" t="s">
        <v>24</v>
      </c>
      <c r="D109" s="23" t="s">
        <v>71</v>
      </c>
      <c r="E109" s="24">
        <v>72520</v>
      </c>
      <c r="F109" s="25" t="s">
        <v>64</v>
      </c>
      <c r="G109" s="26" t="s">
        <v>153</v>
      </c>
      <c r="H109" s="45"/>
      <c r="J109" s="62"/>
      <c r="K109" s="62"/>
    </row>
    <row r="110" spans="2:11" ht="59.25" customHeight="1" x14ac:dyDescent="0.25">
      <c r="B110" s="126" t="s">
        <v>145</v>
      </c>
      <c r="C110" s="127"/>
      <c r="D110" s="127"/>
      <c r="E110" s="16">
        <f>SUM(E111:E113)</f>
        <v>2100000</v>
      </c>
      <c r="F110" s="13"/>
      <c r="G110" s="14"/>
      <c r="H110" s="10"/>
      <c r="I110" s="61"/>
      <c r="J110" s="63"/>
    </row>
    <row r="111" spans="2:11" s="18" customFormat="1" ht="42.75" customHeight="1" x14ac:dyDescent="0.25">
      <c r="B111" s="65" t="s">
        <v>132</v>
      </c>
      <c r="C111" s="23" t="s">
        <v>25</v>
      </c>
      <c r="D111" s="23" t="s">
        <v>69</v>
      </c>
      <c r="E111" s="56">
        <f>2100000-115976</f>
        <v>1984024</v>
      </c>
      <c r="F111" s="25" t="s">
        <v>64</v>
      </c>
      <c r="G111" s="26" t="s">
        <v>125</v>
      </c>
      <c r="H111" s="53"/>
    </row>
    <row r="112" spans="2:11" s="1" customFormat="1" ht="42.75" customHeight="1" x14ac:dyDescent="0.25">
      <c r="B112" s="104" t="s">
        <v>132</v>
      </c>
      <c r="C112" s="23" t="s">
        <v>156</v>
      </c>
      <c r="D112" s="23" t="s">
        <v>69</v>
      </c>
      <c r="E112" s="24">
        <f>5976</f>
        <v>5976</v>
      </c>
      <c r="F112" s="25" t="s">
        <v>61</v>
      </c>
      <c r="G112" s="26" t="s">
        <v>152</v>
      </c>
      <c r="H112" s="48" t="s">
        <v>98</v>
      </c>
    </row>
    <row r="113" spans="2:10" s="1" customFormat="1" ht="80.25" customHeight="1" x14ac:dyDescent="0.25">
      <c r="B113" s="104" t="s">
        <v>132</v>
      </c>
      <c r="C113" s="23" t="s">
        <v>154</v>
      </c>
      <c r="D113" s="23" t="s">
        <v>155</v>
      </c>
      <c r="E113" s="24">
        <f>115976-5976</f>
        <v>110000</v>
      </c>
      <c r="F113" s="25" t="s">
        <v>61</v>
      </c>
      <c r="G113" s="26" t="s">
        <v>152</v>
      </c>
      <c r="H113" s="48" t="s">
        <v>98</v>
      </c>
    </row>
    <row r="114" spans="2:10" ht="70.5" customHeight="1" x14ac:dyDescent="0.25">
      <c r="B114" s="126" t="s">
        <v>146</v>
      </c>
      <c r="C114" s="127"/>
      <c r="D114" s="127"/>
      <c r="E114" s="16">
        <f>SUM(E115:E117)</f>
        <v>442800</v>
      </c>
      <c r="F114" s="13"/>
      <c r="G114" s="14"/>
      <c r="H114" s="10"/>
      <c r="I114" s="61"/>
      <c r="J114" s="63"/>
    </row>
    <row r="115" spans="2:10" s="18" customFormat="1" ht="33.75" x14ac:dyDescent="0.25">
      <c r="B115" s="65" t="s">
        <v>132</v>
      </c>
      <c r="C115" s="99" t="s">
        <v>32</v>
      </c>
      <c r="D115" s="99" t="s">
        <v>29</v>
      </c>
      <c r="E115" s="56">
        <f>264000-4020</f>
        <v>259980</v>
      </c>
      <c r="F115" s="100" t="s">
        <v>64</v>
      </c>
      <c r="G115" s="80" t="s">
        <v>125</v>
      </c>
      <c r="H115" s="101"/>
    </row>
    <row r="116" spans="2:10" s="18" customFormat="1" ht="33.75" x14ac:dyDescent="0.25">
      <c r="B116" s="65" t="s">
        <v>132</v>
      </c>
      <c r="C116" s="28" t="s">
        <v>7</v>
      </c>
      <c r="D116" s="28" t="s">
        <v>28</v>
      </c>
      <c r="E116" s="24">
        <v>132000</v>
      </c>
      <c r="F116" s="29" t="s">
        <v>64</v>
      </c>
      <c r="G116" s="26" t="s">
        <v>125</v>
      </c>
      <c r="H116" s="55"/>
    </row>
    <row r="117" spans="2:10" s="1" customFormat="1" ht="33.75" x14ac:dyDescent="0.25">
      <c r="B117" s="104" t="s">
        <v>132</v>
      </c>
      <c r="C117" s="23" t="s">
        <v>14</v>
      </c>
      <c r="D117" s="23" t="s">
        <v>40</v>
      </c>
      <c r="E117" s="24">
        <f>4020+46800</f>
        <v>50820</v>
      </c>
      <c r="F117" s="25" t="s">
        <v>60</v>
      </c>
      <c r="G117" s="26" t="s">
        <v>125</v>
      </c>
      <c r="H117" s="23"/>
    </row>
  </sheetData>
  <autoFilter ref="A8:H117"/>
  <mergeCells count="20">
    <mergeCell ref="B82:D82"/>
    <mergeCell ref="B2:H2"/>
    <mergeCell ref="B3:H3"/>
    <mergeCell ref="B4:E4"/>
    <mergeCell ref="F4:H4"/>
    <mergeCell ref="B5:E5"/>
    <mergeCell ref="F5:H5"/>
    <mergeCell ref="B6:F6"/>
    <mergeCell ref="B9:D9"/>
    <mergeCell ref="B65:D65"/>
    <mergeCell ref="B70:D70"/>
    <mergeCell ref="B76:D76"/>
    <mergeCell ref="B110:D110"/>
    <mergeCell ref="B114:D114"/>
    <mergeCell ref="B86:D86"/>
    <mergeCell ref="B89:D89"/>
    <mergeCell ref="B95:D95"/>
    <mergeCell ref="B97:D97"/>
    <mergeCell ref="B102:D102"/>
    <mergeCell ref="B104:D104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19"/>
  <sheetViews>
    <sheetView topLeftCell="B55" zoomScaleNormal="100" zoomScaleSheetLayoutView="80" workbookViewId="0">
      <selection activeCell="H61" sqref="H61"/>
    </sheetView>
  </sheetViews>
  <sheetFormatPr defaultRowHeight="15" x14ac:dyDescent="0.2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1.5703125" bestFit="1" customWidth="1"/>
    <col min="12" max="12" width="14.28515625" bestFit="1" customWidth="1"/>
    <col min="13" max="13" width="11.5703125" bestFit="1" customWidth="1"/>
  </cols>
  <sheetData>
    <row r="2" spans="2:9" ht="18.75" x14ac:dyDescent="0.25">
      <c r="B2" s="123" t="s">
        <v>41</v>
      </c>
      <c r="C2" s="123"/>
      <c r="D2" s="123"/>
      <c r="E2" s="123"/>
      <c r="F2" s="123"/>
      <c r="G2" s="123"/>
      <c r="H2" s="123"/>
    </row>
    <row r="3" spans="2:9" ht="18.75" x14ac:dyDescent="0.3">
      <c r="B3" s="124" t="s">
        <v>4</v>
      </c>
      <c r="C3" s="124"/>
      <c r="D3" s="124"/>
      <c r="E3" s="124"/>
      <c r="F3" s="124"/>
      <c r="G3" s="124"/>
      <c r="H3" s="124"/>
    </row>
    <row r="4" spans="2:9" x14ac:dyDescent="0.25">
      <c r="B4" s="125" t="s">
        <v>54</v>
      </c>
      <c r="C4" s="125"/>
      <c r="D4" s="125"/>
      <c r="E4" s="125"/>
      <c r="F4" s="125" t="s">
        <v>21</v>
      </c>
      <c r="G4" s="125"/>
      <c r="H4" s="125"/>
    </row>
    <row r="5" spans="2:9" x14ac:dyDescent="0.25">
      <c r="B5" s="125" t="s">
        <v>20</v>
      </c>
      <c r="C5" s="125"/>
      <c r="D5" s="125"/>
      <c r="E5" s="125"/>
      <c r="F5" s="125" t="s">
        <v>10</v>
      </c>
      <c r="G5" s="125"/>
      <c r="H5" s="125"/>
      <c r="I5" s="109"/>
    </row>
    <row r="6" spans="2:9" ht="24.75" customHeight="1" x14ac:dyDescent="0.25">
      <c r="B6" s="115" t="s">
        <v>22</v>
      </c>
      <c r="C6" s="116"/>
      <c r="D6" s="116"/>
      <c r="E6" s="116"/>
      <c r="F6" s="116"/>
      <c r="G6" s="2">
        <f>E9+E67+E72+E78+E84+E88+E91+E97+E99+E104+E106+E112+E116</f>
        <v>43519740.100000001</v>
      </c>
      <c r="H6" s="3" t="s">
        <v>23</v>
      </c>
    </row>
    <row r="7" spans="2:9" ht="25.5" x14ac:dyDescent="0.2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9" x14ac:dyDescent="0.25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9" ht="60.75" customHeight="1" x14ac:dyDescent="0.25">
      <c r="B9" s="117" t="s">
        <v>131</v>
      </c>
      <c r="C9" s="118"/>
      <c r="D9" s="118"/>
      <c r="E9" s="15">
        <f>SUM(E10:E65)</f>
        <v>4255073</v>
      </c>
      <c r="F9" s="11"/>
      <c r="G9" s="9"/>
      <c r="H9" s="10"/>
    </row>
    <row r="10" spans="2:9" s="18" customFormat="1" ht="33.75" x14ac:dyDescent="0.2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9" s="18" customFormat="1" ht="33.75" x14ac:dyDescent="0.2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9" s="18" customFormat="1" ht="25.5" x14ac:dyDescent="0.25">
      <c r="B12" s="65" t="s">
        <v>132</v>
      </c>
      <c r="C12" s="78" t="s">
        <v>169</v>
      </c>
      <c r="D12" s="78" t="s">
        <v>170</v>
      </c>
      <c r="E12" s="56">
        <v>6100</v>
      </c>
      <c r="F12" s="79" t="s">
        <v>60</v>
      </c>
      <c r="G12" s="110" t="s">
        <v>160</v>
      </c>
      <c r="H12" s="78"/>
    </row>
    <row r="13" spans="2:9" s="18" customFormat="1" ht="33.75" x14ac:dyDescent="0.25">
      <c r="B13" s="65" t="s">
        <v>132</v>
      </c>
      <c r="C13" s="23" t="s">
        <v>100</v>
      </c>
      <c r="D13" s="23" t="s">
        <v>101</v>
      </c>
      <c r="E13" s="56">
        <v>500</v>
      </c>
      <c r="F13" s="25" t="s">
        <v>61</v>
      </c>
      <c r="G13" s="26" t="s">
        <v>125</v>
      </c>
      <c r="H13" s="23"/>
    </row>
    <row r="14" spans="2:9" s="19" customFormat="1" ht="33.75" x14ac:dyDescent="0.25">
      <c r="B14" s="65" t="s">
        <v>132</v>
      </c>
      <c r="C14" s="28" t="s">
        <v>50</v>
      </c>
      <c r="D14" s="28" t="s">
        <v>52</v>
      </c>
      <c r="E14" s="56">
        <v>1600</v>
      </c>
      <c r="F14" s="29" t="s">
        <v>61</v>
      </c>
      <c r="G14" s="26" t="s">
        <v>125</v>
      </c>
      <c r="H14" s="28"/>
    </row>
    <row r="15" spans="2:9" s="106" customFormat="1" ht="38.25" customHeight="1" x14ac:dyDescent="0.25">
      <c r="B15" s="104" t="s">
        <v>132</v>
      </c>
      <c r="C15" s="28" t="s">
        <v>159</v>
      </c>
      <c r="D15" s="28" t="s">
        <v>158</v>
      </c>
      <c r="E15" s="24">
        <v>1973</v>
      </c>
      <c r="F15" s="29" t="s">
        <v>61</v>
      </c>
      <c r="G15" s="26" t="s">
        <v>152</v>
      </c>
      <c r="H15" s="28"/>
    </row>
    <row r="16" spans="2:9" s="18" customFormat="1" ht="49.5" customHeight="1" x14ac:dyDescent="0.25">
      <c r="B16" s="65" t="s">
        <v>132</v>
      </c>
      <c r="C16" s="23" t="s">
        <v>39</v>
      </c>
      <c r="D16" s="23" t="s">
        <v>58</v>
      </c>
      <c r="E16" s="56">
        <f>23100</f>
        <v>23100</v>
      </c>
      <c r="F16" s="25" t="s">
        <v>60</v>
      </c>
      <c r="G16" s="26" t="s">
        <v>125</v>
      </c>
      <c r="H16" s="23"/>
    </row>
    <row r="17" spans="2:8" s="18" customFormat="1" ht="49.5" customHeight="1" x14ac:dyDescent="0.25">
      <c r="B17" s="65" t="s">
        <v>132</v>
      </c>
      <c r="C17" s="23" t="s">
        <v>39</v>
      </c>
      <c r="D17" s="23" t="s">
        <v>58</v>
      </c>
      <c r="E17" s="56">
        <f>60000+9000</f>
        <v>69000</v>
      </c>
      <c r="F17" s="25" t="s">
        <v>64</v>
      </c>
      <c r="G17" s="26" t="s">
        <v>125</v>
      </c>
      <c r="H17" s="23"/>
    </row>
    <row r="18" spans="2:8" s="18" customFormat="1" ht="38.25" customHeight="1" x14ac:dyDescent="0.25">
      <c r="B18" s="65" t="s">
        <v>147</v>
      </c>
      <c r="C18" s="84">
        <v>31400000</v>
      </c>
      <c r="D18" s="78" t="s">
        <v>11</v>
      </c>
      <c r="E18" s="56">
        <f>3000+1800</f>
        <v>4800</v>
      </c>
      <c r="F18" s="79" t="s">
        <v>60</v>
      </c>
      <c r="G18" s="80" t="s">
        <v>125</v>
      </c>
      <c r="H18" s="81"/>
    </row>
    <row r="19" spans="2:8" s="18" customFormat="1" ht="56.25" x14ac:dyDescent="0.25">
      <c r="B19" s="65" t="s">
        <v>147</v>
      </c>
      <c r="C19" s="84">
        <v>33100000</v>
      </c>
      <c r="D19" s="78" t="s">
        <v>57</v>
      </c>
      <c r="E19" s="56">
        <v>2000</v>
      </c>
      <c r="F19" s="79" t="s">
        <v>61</v>
      </c>
      <c r="G19" s="80" t="s">
        <v>160</v>
      </c>
      <c r="H19" s="102" t="s">
        <v>85</v>
      </c>
    </row>
    <row r="20" spans="2:8" s="18" customFormat="1" ht="25.5" x14ac:dyDescent="0.25">
      <c r="B20" s="67" t="s">
        <v>147</v>
      </c>
      <c r="C20" s="82">
        <v>35800000</v>
      </c>
      <c r="D20" s="68" t="s">
        <v>171</v>
      </c>
      <c r="E20" s="69">
        <v>405</v>
      </c>
      <c r="F20" s="70" t="s">
        <v>61</v>
      </c>
      <c r="G20" s="71" t="s">
        <v>172</v>
      </c>
      <c r="H20" s="90"/>
    </row>
    <row r="21" spans="2:8" s="18" customFormat="1" ht="56.25" x14ac:dyDescent="0.25">
      <c r="B21" s="65" t="s">
        <v>147</v>
      </c>
      <c r="C21" s="84">
        <v>33600000</v>
      </c>
      <c r="D21" s="78" t="s">
        <v>29</v>
      </c>
      <c r="E21" s="56">
        <v>10000</v>
      </c>
      <c r="F21" s="79" t="s">
        <v>61</v>
      </c>
      <c r="G21" s="80" t="s">
        <v>160</v>
      </c>
      <c r="H21" s="102" t="s">
        <v>85</v>
      </c>
    </row>
    <row r="22" spans="2:8" s="18" customFormat="1" ht="38.25" customHeight="1" x14ac:dyDescent="0.25">
      <c r="B22" s="65" t="s">
        <v>147</v>
      </c>
      <c r="C22" s="78" t="s">
        <v>43</v>
      </c>
      <c r="D22" s="78" t="s">
        <v>42</v>
      </c>
      <c r="E22" s="56">
        <f>10000+7260</f>
        <v>17260</v>
      </c>
      <c r="F22" s="79" t="s">
        <v>60</v>
      </c>
      <c r="G22" s="80" t="s">
        <v>125</v>
      </c>
      <c r="H22" s="110"/>
    </row>
    <row r="23" spans="2:8" s="18" customFormat="1" ht="33.75" x14ac:dyDescent="0.25">
      <c r="B23" s="65" t="s">
        <v>132</v>
      </c>
      <c r="C23" s="23" t="s">
        <v>92</v>
      </c>
      <c r="D23" s="23" t="s">
        <v>93</v>
      </c>
      <c r="E23" s="56">
        <v>4800</v>
      </c>
      <c r="F23" s="25" t="s">
        <v>91</v>
      </c>
      <c r="G23" s="26" t="s">
        <v>125</v>
      </c>
      <c r="H23" s="31"/>
    </row>
    <row r="24" spans="2:8" s="18" customFormat="1" ht="33.75" x14ac:dyDescent="0.25">
      <c r="B24" s="65" t="s">
        <v>132</v>
      </c>
      <c r="C24" s="23" t="s">
        <v>94</v>
      </c>
      <c r="D24" s="23" t="s">
        <v>95</v>
      </c>
      <c r="E24" s="56">
        <v>4800</v>
      </c>
      <c r="F24" s="25" t="s">
        <v>91</v>
      </c>
      <c r="G24" s="26" t="s">
        <v>125</v>
      </c>
      <c r="H24" s="31"/>
    </row>
    <row r="25" spans="2:8" s="18" customFormat="1" ht="33.75" x14ac:dyDescent="0.25">
      <c r="B25" s="65" t="s">
        <v>132</v>
      </c>
      <c r="C25" s="34">
        <v>39800000</v>
      </c>
      <c r="D25" s="34" t="s">
        <v>84</v>
      </c>
      <c r="E25" s="56">
        <v>4800</v>
      </c>
      <c r="F25" s="25" t="s">
        <v>91</v>
      </c>
      <c r="G25" s="26" t="s">
        <v>125</v>
      </c>
      <c r="H25" s="31"/>
    </row>
    <row r="26" spans="2:8" s="18" customFormat="1" ht="33.75" x14ac:dyDescent="0.25">
      <c r="B26" s="65" t="s">
        <v>132</v>
      </c>
      <c r="C26" s="85">
        <v>42900000</v>
      </c>
      <c r="D26" s="85" t="s">
        <v>168</v>
      </c>
      <c r="E26" s="56">
        <v>1920</v>
      </c>
      <c r="F26" s="79" t="s">
        <v>60</v>
      </c>
      <c r="G26" s="110" t="s">
        <v>160</v>
      </c>
      <c r="H26" s="110"/>
    </row>
    <row r="27" spans="2:8" s="18" customFormat="1" ht="51.75" customHeight="1" x14ac:dyDescent="0.25">
      <c r="B27" s="65" t="s">
        <v>132</v>
      </c>
      <c r="C27" s="84">
        <v>41100000</v>
      </c>
      <c r="D27" s="85" t="s">
        <v>149</v>
      </c>
      <c r="E27" s="56">
        <v>6750</v>
      </c>
      <c r="F27" s="79" t="s">
        <v>64</v>
      </c>
      <c r="G27" s="80" t="s">
        <v>125</v>
      </c>
      <c r="H27" s="81"/>
    </row>
    <row r="28" spans="2:8" s="18" customFormat="1" ht="51.75" customHeight="1" x14ac:dyDescent="0.25">
      <c r="B28" s="65" t="s">
        <v>132</v>
      </c>
      <c r="C28" s="84">
        <v>44400000</v>
      </c>
      <c r="D28" s="85" t="s">
        <v>167</v>
      </c>
      <c r="E28" s="56">
        <v>4120</v>
      </c>
      <c r="F28" s="79" t="s">
        <v>64</v>
      </c>
      <c r="G28" s="80" t="s">
        <v>160</v>
      </c>
      <c r="H28" s="81"/>
    </row>
    <row r="29" spans="2:8" s="18" customFormat="1" ht="51.75" customHeight="1" x14ac:dyDescent="0.25">
      <c r="B29" s="65" t="s">
        <v>132</v>
      </c>
      <c r="C29" s="30">
        <v>45400000</v>
      </c>
      <c r="D29" s="34" t="s">
        <v>102</v>
      </c>
      <c r="E29" s="56">
        <v>40000</v>
      </c>
      <c r="F29" s="25" t="s">
        <v>64</v>
      </c>
      <c r="G29" s="26" t="s">
        <v>125</v>
      </c>
      <c r="H29" s="31"/>
    </row>
    <row r="30" spans="2:8" s="18" customFormat="1" ht="37.5" customHeight="1" x14ac:dyDescent="0.25">
      <c r="B30" s="65" t="s">
        <v>133</v>
      </c>
      <c r="C30" s="30">
        <v>48700000</v>
      </c>
      <c r="D30" s="23" t="s">
        <v>104</v>
      </c>
      <c r="E30" s="56">
        <v>30000</v>
      </c>
      <c r="F30" s="25" t="s">
        <v>64</v>
      </c>
      <c r="G30" s="26" t="s">
        <v>125</v>
      </c>
      <c r="H30" s="31"/>
    </row>
    <row r="31" spans="2:8" s="18" customFormat="1" ht="56.25" x14ac:dyDescent="0.25">
      <c r="B31" s="65" t="s">
        <v>132</v>
      </c>
      <c r="C31" s="78">
        <v>50100000</v>
      </c>
      <c r="D31" s="78" t="s">
        <v>44</v>
      </c>
      <c r="E31" s="56">
        <f>10000+30000</f>
        <v>40000</v>
      </c>
      <c r="F31" s="79" t="s">
        <v>61</v>
      </c>
      <c r="G31" s="80" t="s">
        <v>125</v>
      </c>
      <c r="H31" s="102" t="s">
        <v>66</v>
      </c>
    </row>
    <row r="32" spans="2:8" s="1" customFormat="1" ht="92.25" customHeight="1" x14ac:dyDescent="0.25">
      <c r="B32" s="104" t="s">
        <v>132</v>
      </c>
      <c r="C32" s="23" t="s">
        <v>59</v>
      </c>
      <c r="D32" s="23" t="s">
        <v>62</v>
      </c>
      <c r="E32" s="24">
        <f>120000-30000+15000</f>
        <v>105000</v>
      </c>
      <c r="F32" s="25" t="s">
        <v>64</v>
      </c>
      <c r="G32" s="26" t="s">
        <v>125</v>
      </c>
      <c r="H32" s="36"/>
    </row>
    <row r="33" spans="2:8" s="18" customFormat="1" ht="56.25" x14ac:dyDescent="0.25">
      <c r="B33" s="65" t="s">
        <v>132</v>
      </c>
      <c r="C33" s="78">
        <v>50100000</v>
      </c>
      <c r="D33" s="78" t="s">
        <v>44</v>
      </c>
      <c r="E33" s="56">
        <v>2080</v>
      </c>
      <c r="F33" s="79" t="s">
        <v>61</v>
      </c>
      <c r="G33" s="80" t="s">
        <v>160</v>
      </c>
      <c r="H33" s="102" t="s">
        <v>85</v>
      </c>
    </row>
    <row r="34" spans="2:8" s="18" customFormat="1" ht="92.25" customHeight="1" x14ac:dyDescent="0.25">
      <c r="B34" s="65" t="s">
        <v>132</v>
      </c>
      <c r="C34" s="23" t="s">
        <v>107</v>
      </c>
      <c r="D34" s="23" t="s">
        <v>108</v>
      </c>
      <c r="E34" s="56">
        <v>50000</v>
      </c>
      <c r="F34" s="25" t="s">
        <v>64</v>
      </c>
      <c r="G34" s="26" t="s">
        <v>125</v>
      </c>
      <c r="H34" s="31"/>
    </row>
    <row r="35" spans="2:8" s="18" customFormat="1" ht="92.25" customHeight="1" x14ac:dyDescent="0.25">
      <c r="B35" s="65" t="s">
        <v>132</v>
      </c>
      <c r="C35" s="23" t="s">
        <v>105</v>
      </c>
      <c r="D35" s="23" t="s">
        <v>106</v>
      </c>
      <c r="E35" s="56">
        <v>310000</v>
      </c>
      <c r="F35" s="25" t="s">
        <v>64</v>
      </c>
      <c r="G35" s="26" t="s">
        <v>125</v>
      </c>
      <c r="H35" s="36"/>
    </row>
    <row r="36" spans="2:8" s="18" customFormat="1" ht="92.25" customHeight="1" x14ac:dyDescent="0.25">
      <c r="B36" s="65" t="s">
        <v>147</v>
      </c>
      <c r="C36" s="23" t="s">
        <v>109</v>
      </c>
      <c r="D36" s="23" t="s">
        <v>110</v>
      </c>
      <c r="E36" s="56">
        <f>60000+45000-20000</f>
        <v>85000</v>
      </c>
      <c r="F36" s="25" t="s">
        <v>64</v>
      </c>
      <c r="G36" s="26" t="s">
        <v>125</v>
      </c>
      <c r="H36" s="36"/>
    </row>
    <row r="37" spans="2:8" s="18" customFormat="1" ht="102.75" customHeight="1" x14ac:dyDescent="0.25">
      <c r="B37" s="65" t="s">
        <v>132</v>
      </c>
      <c r="C37" s="23" t="s">
        <v>86</v>
      </c>
      <c r="D37" s="23" t="s">
        <v>87</v>
      </c>
      <c r="E37" s="56">
        <v>8000</v>
      </c>
      <c r="F37" s="25" t="s">
        <v>64</v>
      </c>
      <c r="G37" s="26" t="s">
        <v>125</v>
      </c>
      <c r="H37" s="23"/>
    </row>
    <row r="38" spans="2:8" s="18" customFormat="1" ht="115.5" customHeight="1" x14ac:dyDescent="0.25">
      <c r="B38" s="65" t="s">
        <v>132</v>
      </c>
      <c r="C38" s="23">
        <v>50700000</v>
      </c>
      <c r="D38" s="23" t="s">
        <v>13</v>
      </c>
      <c r="E38" s="56">
        <f>1600000-59200</f>
        <v>1540800</v>
      </c>
      <c r="F38" s="23" t="s">
        <v>61</v>
      </c>
      <c r="G38" s="26" t="s">
        <v>125</v>
      </c>
      <c r="H38" s="23" t="s">
        <v>99</v>
      </c>
    </row>
    <row r="39" spans="2:8" s="18" customFormat="1" ht="115.5" customHeight="1" x14ac:dyDescent="0.25">
      <c r="B39" s="65" t="s">
        <v>132</v>
      </c>
      <c r="C39" s="78">
        <v>50700000</v>
      </c>
      <c r="D39" s="78" t="s">
        <v>13</v>
      </c>
      <c r="E39" s="56">
        <f>93000-45000+20000+46148</f>
        <v>114148</v>
      </c>
      <c r="F39" s="78" t="s">
        <v>64</v>
      </c>
      <c r="G39" s="80" t="s">
        <v>125</v>
      </c>
      <c r="H39" s="78"/>
    </row>
    <row r="40" spans="2:8" s="18" customFormat="1" ht="115.5" customHeight="1" x14ac:dyDescent="0.25">
      <c r="B40" s="65" t="s">
        <v>132</v>
      </c>
      <c r="C40" s="78" t="s">
        <v>117</v>
      </c>
      <c r="D40" s="78" t="s">
        <v>118</v>
      </c>
      <c r="E40" s="56">
        <f>120000+68250</f>
        <v>188250</v>
      </c>
      <c r="F40" s="78" t="s">
        <v>64</v>
      </c>
      <c r="G40" s="80" t="s">
        <v>125</v>
      </c>
      <c r="H40" s="78"/>
    </row>
    <row r="41" spans="2:8" s="18" customFormat="1" ht="115.5" customHeight="1" x14ac:dyDescent="0.25">
      <c r="B41" s="65" t="s">
        <v>132</v>
      </c>
      <c r="C41" s="23" t="s">
        <v>111</v>
      </c>
      <c r="D41" s="23" t="s">
        <v>112</v>
      </c>
      <c r="E41" s="56">
        <v>120000</v>
      </c>
      <c r="F41" s="23" t="s">
        <v>64</v>
      </c>
      <c r="G41" s="26" t="s">
        <v>125</v>
      </c>
      <c r="H41" s="23"/>
    </row>
    <row r="42" spans="2:8" s="18" customFormat="1" ht="58.5" customHeight="1" x14ac:dyDescent="0.25">
      <c r="B42" s="65" t="s">
        <v>132</v>
      </c>
      <c r="C42" s="30">
        <v>63700000</v>
      </c>
      <c r="D42" s="23" t="s">
        <v>70</v>
      </c>
      <c r="E42" s="56">
        <v>2000</v>
      </c>
      <c r="F42" s="25" t="s">
        <v>61</v>
      </c>
      <c r="G42" s="26" t="s">
        <v>125</v>
      </c>
      <c r="H42" s="26" t="s">
        <v>85</v>
      </c>
    </row>
    <row r="43" spans="2:8" s="18" customFormat="1" ht="63.75" customHeight="1" x14ac:dyDescent="0.25">
      <c r="B43" s="65" t="s">
        <v>132</v>
      </c>
      <c r="C43" s="23" t="s">
        <v>47</v>
      </c>
      <c r="D43" s="23" t="s">
        <v>48</v>
      </c>
      <c r="E43" s="56">
        <v>6000</v>
      </c>
      <c r="F43" s="25" t="s">
        <v>64</v>
      </c>
      <c r="G43" s="26" t="s">
        <v>125</v>
      </c>
      <c r="H43" s="23"/>
    </row>
    <row r="44" spans="2:8" s="18" customFormat="1" ht="33.75" x14ac:dyDescent="0.25">
      <c r="B44" s="65" t="s">
        <v>132</v>
      </c>
      <c r="C44" s="38" t="s">
        <v>18</v>
      </c>
      <c r="D44" s="23" t="s">
        <v>46</v>
      </c>
      <c r="E44" s="56">
        <v>25000</v>
      </c>
      <c r="F44" s="25" t="s">
        <v>64</v>
      </c>
      <c r="G44" s="26" t="s">
        <v>125</v>
      </c>
      <c r="H44" s="33"/>
    </row>
    <row r="45" spans="2:8" s="18" customFormat="1" ht="56.25" x14ac:dyDescent="0.25">
      <c r="B45" s="65" t="s">
        <v>132</v>
      </c>
      <c r="C45" s="38" t="s">
        <v>18</v>
      </c>
      <c r="D45" s="23" t="s">
        <v>46</v>
      </c>
      <c r="E45" s="56">
        <v>25500</v>
      </c>
      <c r="F45" s="25" t="s">
        <v>61</v>
      </c>
      <c r="G45" s="26" t="s">
        <v>125</v>
      </c>
      <c r="H45" s="26" t="s">
        <v>96</v>
      </c>
    </row>
    <row r="46" spans="2:8" s="18" customFormat="1" ht="56.25" x14ac:dyDescent="0.25">
      <c r="B46" s="65" t="s">
        <v>132</v>
      </c>
      <c r="C46" s="77" t="s">
        <v>161</v>
      </c>
      <c r="D46" s="78" t="s">
        <v>46</v>
      </c>
      <c r="E46" s="56">
        <v>9000</v>
      </c>
      <c r="F46" s="79" t="s">
        <v>61</v>
      </c>
      <c r="G46" s="80" t="s">
        <v>152</v>
      </c>
      <c r="H46" s="80" t="s">
        <v>162</v>
      </c>
    </row>
    <row r="47" spans="2:8" s="18" customFormat="1" ht="33.75" x14ac:dyDescent="0.25">
      <c r="B47" s="65" t="s">
        <v>132</v>
      </c>
      <c r="C47" s="38" t="s">
        <v>18</v>
      </c>
      <c r="D47" s="23" t="s">
        <v>46</v>
      </c>
      <c r="E47" s="56">
        <v>24000</v>
      </c>
      <c r="F47" s="25" t="s">
        <v>60</v>
      </c>
      <c r="G47" s="26" t="s">
        <v>125</v>
      </c>
      <c r="H47" s="33"/>
    </row>
    <row r="48" spans="2:8" s="18" customFormat="1" ht="33.75" x14ac:dyDescent="0.25">
      <c r="B48" s="65" t="s">
        <v>134</v>
      </c>
      <c r="C48" s="38" t="s">
        <v>114</v>
      </c>
      <c r="D48" s="23" t="s">
        <v>113</v>
      </c>
      <c r="E48" s="56">
        <v>30000</v>
      </c>
      <c r="F48" s="25" t="s">
        <v>64</v>
      </c>
      <c r="G48" s="26" t="s">
        <v>125</v>
      </c>
      <c r="H48" s="26"/>
    </row>
    <row r="49" spans="2:10" s="18" customFormat="1" ht="33.75" x14ac:dyDescent="0.25">
      <c r="B49" s="65" t="s">
        <v>132</v>
      </c>
      <c r="C49" s="38" t="s">
        <v>55</v>
      </c>
      <c r="D49" s="23" t="s">
        <v>56</v>
      </c>
      <c r="E49" s="56">
        <v>1680</v>
      </c>
      <c r="F49" s="25" t="s">
        <v>91</v>
      </c>
      <c r="G49" s="26" t="s">
        <v>125</v>
      </c>
      <c r="H49" s="33"/>
    </row>
    <row r="50" spans="2:10" s="18" customFormat="1" ht="57" customHeight="1" x14ac:dyDescent="0.25">
      <c r="B50" s="65" t="s">
        <v>132</v>
      </c>
      <c r="C50" s="77" t="s">
        <v>17</v>
      </c>
      <c r="D50" s="78" t="s">
        <v>16</v>
      </c>
      <c r="E50" s="56">
        <f>90000+34000</f>
        <v>124000</v>
      </c>
      <c r="F50" s="79" t="s">
        <v>61</v>
      </c>
      <c r="G50" s="80" t="s">
        <v>125</v>
      </c>
      <c r="H50" s="80" t="s">
        <v>67</v>
      </c>
    </row>
    <row r="51" spans="2:10" s="18" customFormat="1" ht="65.25" customHeight="1" x14ac:dyDescent="0.25">
      <c r="B51" s="67" t="s">
        <v>132</v>
      </c>
      <c r="C51" s="76" t="s">
        <v>17</v>
      </c>
      <c r="D51" s="68" t="s">
        <v>16</v>
      </c>
      <c r="E51" s="69">
        <f>150+400+266+21+350</f>
        <v>1187</v>
      </c>
      <c r="F51" s="70" t="s">
        <v>61</v>
      </c>
      <c r="G51" s="71" t="s">
        <v>125</v>
      </c>
      <c r="H51" s="71"/>
      <c r="J51" s="20"/>
    </row>
    <row r="52" spans="2:10" s="18" customFormat="1" ht="56.25" x14ac:dyDescent="0.25">
      <c r="B52" s="65" t="s">
        <v>132</v>
      </c>
      <c r="C52" s="38" t="s">
        <v>77</v>
      </c>
      <c r="D52" s="23" t="s">
        <v>78</v>
      </c>
      <c r="E52" s="56">
        <v>3000</v>
      </c>
      <c r="F52" s="25" t="s">
        <v>61</v>
      </c>
      <c r="G52" s="26" t="s">
        <v>125</v>
      </c>
      <c r="H52" s="26" t="s">
        <v>79</v>
      </c>
    </row>
    <row r="53" spans="2:10" s="18" customFormat="1" ht="56.25" x14ac:dyDescent="0.25">
      <c r="B53" s="65" t="s">
        <v>132</v>
      </c>
      <c r="C53" s="77" t="s">
        <v>163</v>
      </c>
      <c r="D53" s="78" t="s">
        <v>164</v>
      </c>
      <c r="E53" s="56">
        <v>500</v>
      </c>
      <c r="F53" s="79" t="s">
        <v>61</v>
      </c>
      <c r="G53" s="80" t="s">
        <v>152</v>
      </c>
      <c r="H53" s="80" t="s">
        <v>79</v>
      </c>
    </row>
    <row r="54" spans="2:10" s="18" customFormat="1" ht="75" customHeight="1" x14ac:dyDescent="0.25">
      <c r="B54" s="65" t="s">
        <v>132</v>
      </c>
      <c r="C54" s="77" t="s">
        <v>25</v>
      </c>
      <c r="D54" s="78" t="s">
        <v>119</v>
      </c>
      <c r="E54" s="56">
        <v>100000</v>
      </c>
      <c r="F54" s="79" t="s">
        <v>64</v>
      </c>
      <c r="G54" s="80" t="s">
        <v>125</v>
      </c>
      <c r="H54" s="80"/>
    </row>
    <row r="55" spans="2:10" s="1" customFormat="1" ht="63.75" customHeight="1" x14ac:dyDescent="0.25">
      <c r="B55" s="104" t="s">
        <v>132</v>
      </c>
      <c r="C55" s="23" t="s">
        <v>45</v>
      </c>
      <c r="D55" s="23" t="s">
        <v>63</v>
      </c>
      <c r="E55" s="24">
        <f>6000+3850</f>
        <v>9850</v>
      </c>
      <c r="F55" s="25" t="s">
        <v>64</v>
      </c>
      <c r="G55" s="26" t="s">
        <v>125</v>
      </c>
      <c r="H55" s="26"/>
    </row>
    <row r="56" spans="2:10" s="18" customFormat="1" ht="63.75" customHeight="1" x14ac:dyDescent="0.25">
      <c r="B56" s="65" t="s">
        <v>132</v>
      </c>
      <c r="C56" s="78" t="s">
        <v>120</v>
      </c>
      <c r="D56" s="78" t="s">
        <v>121</v>
      </c>
      <c r="E56" s="56">
        <v>450</v>
      </c>
      <c r="F56" s="79" t="s">
        <v>61</v>
      </c>
      <c r="G56" s="80" t="s">
        <v>125</v>
      </c>
      <c r="H56" s="80"/>
    </row>
    <row r="57" spans="2:10" s="18" customFormat="1" ht="77.25" customHeight="1" x14ac:dyDescent="0.25">
      <c r="B57" s="65" t="s">
        <v>132</v>
      </c>
      <c r="C57" s="30">
        <v>79700000</v>
      </c>
      <c r="D57" s="23" t="s">
        <v>27</v>
      </c>
      <c r="E57" s="56">
        <v>600000</v>
      </c>
      <c r="F57" s="25" t="s">
        <v>61</v>
      </c>
      <c r="G57" s="26" t="s">
        <v>125</v>
      </c>
      <c r="H57" s="26" t="s">
        <v>80</v>
      </c>
    </row>
    <row r="58" spans="2:10" s="18" customFormat="1" ht="62.25" customHeight="1" x14ac:dyDescent="0.25">
      <c r="B58" s="65" t="s">
        <v>132</v>
      </c>
      <c r="C58" s="30">
        <v>79800000</v>
      </c>
      <c r="D58" s="23" t="s">
        <v>81</v>
      </c>
      <c r="E58" s="56">
        <v>10000</v>
      </c>
      <c r="F58" s="25" t="s">
        <v>64</v>
      </c>
      <c r="G58" s="26" t="s">
        <v>125</v>
      </c>
      <c r="H58" s="26"/>
    </row>
    <row r="59" spans="2:10" s="18" customFormat="1" ht="62.25" customHeight="1" x14ac:dyDescent="0.25">
      <c r="B59" s="67" t="s">
        <v>132</v>
      </c>
      <c r="C59" s="68" t="s">
        <v>53</v>
      </c>
      <c r="D59" s="68" t="s">
        <v>65</v>
      </c>
      <c r="E59" s="69">
        <f>20000+12000-2305</f>
        <v>29695</v>
      </c>
      <c r="F59" s="70" t="s">
        <v>61</v>
      </c>
      <c r="G59" s="71" t="s">
        <v>125</v>
      </c>
      <c r="H59" s="68" t="s">
        <v>68</v>
      </c>
    </row>
    <row r="60" spans="2:10" s="18" customFormat="1" ht="62.25" customHeight="1" x14ac:dyDescent="0.25">
      <c r="B60" s="67" t="s">
        <v>132</v>
      </c>
      <c r="C60" s="68" t="s">
        <v>53</v>
      </c>
      <c r="D60" s="68" t="s">
        <v>65</v>
      </c>
      <c r="E60" s="69">
        <v>2305</v>
      </c>
      <c r="F60" s="70" t="s">
        <v>61</v>
      </c>
      <c r="G60" s="71" t="s">
        <v>173</v>
      </c>
      <c r="H60" s="68"/>
    </row>
    <row r="61" spans="2:10" s="18" customFormat="1" ht="62.25" customHeight="1" x14ac:dyDescent="0.25">
      <c r="B61" s="65" t="s">
        <v>132</v>
      </c>
      <c r="C61" s="38" t="s">
        <v>24</v>
      </c>
      <c r="D61" s="23" t="s">
        <v>71</v>
      </c>
      <c r="E61" s="56">
        <v>12000</v>
      </c>
      <c r="F61" s="25" t="s">
        <v>64</v>
      </c>
      <c r="G61" s="26" t="s">
        <v>125</v>
      </c>
      <c r="H61" s="23"/>
    </row>
    <row r="62" spans="2:10" s="18" customFormat="1" ht="62.25" customHeight="1" x14ac:dyDescent="0.25">
      <c r="B62" s="65" t="s">
        <v>132</v>
      </c>
      <c r="C62" s="38" t="s">
        <v>122</v>
      </c>
      <c r="D62" s="23" t="s">
        <v>123</v>
      </c>
      <c r="E62" s="56">
        <v>1000</v>
      </c>
      <c r="F62" s="25" t="s">
        <v>61</v>
      </c>
      <c r="G62" s="26" t="s">
        <v>125</v>
      </c>
      <c r="H62" s="23"/>
    </row>
    <row r="63" spans="2:10" s="18" customFormat="1" ht="60.75" customHeight="1" x14ac:dyDescent="0.25">
      <c r="B63" s="65" t="s">
        <v>132</v>
      </c>
      <c r="C63" s="78" t="s">
        <v>82</v>
      </c>
      <c r="D63" s="78" t="s">
        <v>83</v>
      </c>
      <c r="E63" s="56">
        <v>10000</v>
      </c>
      <c r="F63" s="79" t="s">
        <v>61</v>
      </c>
      <c r="G63" s="80" t="s">
        <v>125</v>
      </c>
      <c r="H63" s="80" t="s">
        <v>79</v>
      </c>
    </row>
    <row r="64" spans="2:10" s="18" customFormat="1" ht="36.75" customHeight="1" x14ac:dyDescent="0.25">
      <c r="B64" s="65" t="s">
        <v>132</v>
      </c>
      <c r="C64" s="78" t="s">
        <v>12</v>
      </c>
      <c r="D64" s="78" t="s">
        <v>19</v>
      </c>
      <c r="E64" s="56">
        <f>80000+110000</f>
        <v>190000</v>
      </c>
      <c r="F64" s="79" t="s">
        <v>64</v>
      </c>
      <c r="G64" s="80" t="s">
        <v>125</v>
      </c>
      <c r="H64" s="81"/>
    </row>
    <row r="65" spans="2:13" s="18" customFormat="1" ht="54.75" customHeight="1" x14ac:dyDescent="0.25">
      <c r="B65" s="65" t="s">
        <v>132</v>
      </c>
      <c r="C65" s="78" t="s">
        <v>115</v>
      </c>
      <c r="D65" s="78" t="s">
        <v>116</v>
      </c>
      <c r="E65" s="56">
        <v>15000</v>
      </c>
      <c r="F65" s="79" t="s">
        <v>61</v>
      </c>
      <c r="G65" s="80" t="s">
        <v>125</v>
      </c>
      <c r="H65" s="80" t="s">
        <v>79</v>
      </c>
    </row>
    <row r="66" spans="2:13" s="18" customFormat="1" ht="54.75" customHeight="1" x14ac:dyDescent="0.25">
      <c r="B66" s="108" t="s">
        <v>132</v>
      </c>
      <c r="C66" s="78" t="s">
        <v>165</v>
      </c>
      <c r="D66" s="78" t="s">
        <v>166</v>
      </c>
      <c r="E66" s="56">
        <v>4900</v>
      </c>
      <c r="F66" s="79" t="s">
        <v>61</v>
      </c>
      <c r="G66" s="80" t="s">
        <v>152</v>
      </c>
      <c r="H66" s="80" t="s">
        <v>79</v>
      </c>
    </row>
    <row r="67" spans="2:13" s="1" customFormat="1" ht="75" customHeight="1" x14ac:dyDescent="0.25">
      <c r="B67" s="126" t="s">
        <v>135</v>
      </c>
      <c r="C67" s="127"/>
      <c r="D67" s="127"/>
      <c r="E67" s="16">
        <f>SUM(E68:E71)</f>
        <v>1710000</v>
      </c>
      <c r="F67" s="13"/>
      <c r="G67" s="14"/>
      <c r="H67" s="10"/>
      <c r="I67" s="61"/>
      <c r="J67" s="62"/>
    </row>
    <row r="68" spans="2:13" s="1" customFormat="1" ht="59.25" customHeight="1" x14ac:dyDescent="0.25">
      <c r="B68" s="104" t="s">
        <v>132</v>
      </c>
      <c r="C68" s="23" t="s">
        <v>24</v>
      </c>
      <c r="D68" s="23" t="s">
        <v>71</v>
      </c>
      <c r="E68" s="24">
        <f>1710000-142500-E70-E69</f>
        <v>1314302.3999999999</v>
      </c>
      <c r="F68" s="25" t="s">
        <v>64</v>
      </c>
      <c r="G68" s="26" t="s">
        <v>125</v>
      </c>
      <c r="H68" s="41"/>
      <c r="J68" s="62"/>
    </row>
    <row r="69" spans="2:13" s="1" customFormat="1" ht="67.5" x14ac:dyDescent="0.25">
      <c r="B69" s="104" t="s">
        <v>132</v>
      </c>
      <c r="C69" s="23" t="s">
        <v>103</v>
      </c>
      <c r="D69" s="23" t="s">
        <v>71</v>
      </c>
      <c r="E69" s="24">
        <v>33000</v>
      </c>
      <c r="F69" s="25" t="s">
        <v>61</v>
      </c>
      <c r="G69" s="26" t="s">
        <v>151</v>
      </c>
      <c r="H69" s="48" t="s">
        <v>98</v>
      </c>
      <c r="J69" s="62"/>
    </row>
    <row r="70" spans="2:13" s="1" customFormat="1" ht="67.5" x14ac:dyDescent="0.25">
      <c r="B70" s="104" t="s">
        <v>132</v>
      </c>
      <c r="C70" s="23" t="s">
        <v>103</v>
      </c>
      <c r="D70" s="23" t="s">
        <v>71</v>
      </c>
      <c r="E70" s="24">
        <v>220197.6</v>
      </c>
      <c r="F70" s="25" t="s">
        <v>61</v>
      </c>
      <c r="G70" s="26" t="s">
        <v>150</v>
      </c>
      <c r="H70" s="48" t="s">
        <v>98</v>
      </c>
    </row>
    <row r="71" spans="2:13" s="1" customFormat="1" ht="98.25" customHeight="1" x14ac:dyDescent="0.25">
      <c r="B71" s="104" t="s">
        <v>132</v>
      </c>
      <c r="C71" s="23" t="s">
        <v>24</v>
      </c>
      <c r="D71" s="23" t="s">
        <v>71</v>
      </c>
      <c r="E71" s="24">
        <v>142500</v>
      </c>
      <c r="F71" s="25" t="s">
        <v>61</v>
      </c>
      <c r="G71" s="26" t="s">
        <v>125</v>
      </c>
      <c r="H71" s="48" t="s">
        <v>128</v>
      </c>
      <c r="J71" s="62"/>
    </row>
    <row r="72" spans="2:13" s="1" customFormat="1" ht="31.5" customHeight="1" x14ac:dyDescent="0.25">
      <c r="B72" s="126" t="s">
        <v>136</v>
      </c>
      <c r="C72" s="127"/>
      <c r="D72" s="127"/>
      <c r="E72" s="16">
        <f>SUM(E73:E77)</f>
        <v>22370000</v>
      </c>
      <c r="F72" s="13"/>
      <c r="G72" s="9"/>
      <c r="H72" s="10"/>
      <c r="I72" s="61"/>
      <c r="J72" s="62"/>
    </row>
    <row r="73" spans="2:13" s="1" customFormat="1" ht="75.75" customHeight="1" x14ac:dyDescent="0.25">
      <c r="B73" s="104" t="s">
        <v>132</v>
      </c>
      <c r="C73" s="23" t="s">
        <v>7</v>
      </c>
      <c r="D73" s="23" t="s">
        <v>57</v>
      </c>
      <c r="E73" s="24">
        <f>3750000+400000</f>
        <v>4150000</v>
      </c>
      <c r="F73" s="25" t="s">
        <v>61</v>
      </c>
      <c r="G73" s="26" t="s">
        <v>125</v>
      </c>
      <c r="H73" s="48" t="s">
        <v>97</v>
      </c>
    </row>
    <row r="74" spans="2:13" s="1" customFormat="1" ht="75.75" customHeight="1" x14ac:dyDescent="0.25">
      <c r="B74" s="66" t="s">
        <v>133</v>
      </c>
      <c r="C74" s="23" t="s">
        <v>7</v>
      </c>
      <c r="D74" s="23" t="s">
        <v>57</v>
      </c>
      <c r="E74" s="24">
        <v>100000</v>
      </c>
      <c r="F74" s="25" t="s">
        <v>61</v>
      </c>
      <c r="G74" s="26" t="s">
        <v>125</v>
      </c>
      <c r="H74" s="48" t="s">
        <v>97</v>
      </c>
    </row>
    <row r="75" spans="2:13" s="1" customFormat="1" ht="121.5" customHeight="1" x14ac:dyDescent="0.25">
      <c r="B75" s="104" t="s">
        <v>132</v>
      </c>
      <c r="C75" s="23">
        <v>33600000</v>
      </c>
      <c r="D75" s="23" t="s">
        <v>29</v>
      </c>
      <c r="E75" s="24">
        <f>1440000+270000-22680</f>
        <v>1687320</v>
      </c>
      <c r="F75" s="25" t="s">
        <v>64</v>
      </c>
      <c r="G75" s="26" t="s">
        <v>125</v>
      </c>
      <c r="H75" s="41"/>
      <c r="J75" s="62"/>
      <c r="L75" s="62"/>
      <c r="M75" s="62"/>
    </row>
    <row r="76" spans="2:13" s="1" customFormat="1" ht="121.5" customHeight="1" x14ac:dyDescent="0.25">
      <c r="B76" s="104" t="s">
        <v>132</v>
      </c>
      <c r="C76" s="23" t="s">
        <v>32</v>
      </c>
      <c r="D76" s="23" t="s">
        <v>29</v>
      </c>
      <c r="E76" s="24">
        <v>22680</v>
      </c>
      <c r="F76" s="25" t="s">
        <v>61</v>
      </c>
      <c r="G76" s="26" t="s">
        <v>150</v>
      </c>
      <c r="H76" s="48" t="s">
        <v>157</v>
      </c>
      <c r="J76" s="62"/>
      <c r="L76" s="62"/>
      <c r="M76" s="62"/>
    </row>
    <row r="77" spans="2:13" s="1" customFormat="1" ht="87.75" customHeight="1" x14ac:dyDescent="0.25">
      <c r="B77" s="104" t="s">
        <v>132</v>
      </c>
      <c r="C77" s="23" t="s">
        <v>32</v>
      </c>
      <c r="D77" s="23" t="s">
        <v>29</v>
      </c>
      <c r="E77" s="24">
        <v>16410000</v>
      </c>
      <c r="F77" s="25" t="s">
        <v>61</v>
      </c>
      <c r="G77" s="26" t="s">
        <v>125</v>
      </c>
      <c r="H77" s="48" t="s">
        <v>98</v>
      </c>
      <c r="J77" s="62"/>
      <c r="K77" s="62"/>
    </row>
    <row r="78" spans="2:13" s="1" customFormat="1" ht="60" customHeight="1" x14ac:dyDescent="0.25">
      <c r="B78" s="126" t="s">
        <v>137</v>
      </c>
      <c r="C78" s="127"/>
      <c r="D78" s="127"/>
      <c r="E78" s="16">
        <f>SUM(E79:E83)</f>
        <v>1700000</v>
      </c>
      <c r="F78" s="13"/>
      <c r="G78" s="14"/>
      <c r="H78" s="10"/>
      <c r="I78" s="61"/>
      <c r="J78" s="105"/>
    </row>
    <row r="79" spans="2:13" s="1" customFormat="1" ht="36.75" customHeight="1" x14ac:dyDescent="0.25">
      <c r="B79" s="104" t="s">
        <v>132</v>
      </c>
      <c r="C79" s="23" t="s">
        <v>7</v>
      </c>
      <c r="D79" s="23" t="s">
        <v>28</v>
      </c>
      <c r="E79" s="24">
        <v>42272.9</v>
      </c>
      <c r="F79" s="25" t="s">
        <v>64</v>
      </c>
      <c r="G79" s="26" t="s">
        <v>125</v>
      </c>
      <c r="H79" s="41"/>
    </row>
    <row r="80" spans="2:13" s="1" customFormat="1" ht="51" customHeight="1" x14ac:dyDescent="0.25">
      <c r="B80" s="104" t="s">
        <v>132</v>
      </c>
      <c r="C80" s="23" t="s">
        <v>32</v>
      </c>
      <c r="D80" s="23" t="s">
        <v>29</v>
      </c>
      <c r="E80" s="24">
        <v>60607.14</v>
      </c>
      <c r="F80" s="25" t="s">
        <v>64</v>
      </c>
      <c r="G80" s="26" t="s">
        <v>125</v>
      </c>
      <c r="H80" s="41"/>
      <c r="J80" s="62"/>
    </row>
    <row r="81" spans="2:11" s="1" customFormat="1" ht="45" customHeight="1" x14ac:dyDescent="0.25">
      <c r="B81" s="104" t="s">
        <v>132</v>
      </c>
      <c r="C81" s="23" t="s">
        <v>89</v>
      </c>
      <c r="D81" s="23" t="s">
        <v>90</v>
      </c>
      <c r="E81" s="24">
        <v>798000</v>
      </c>
      <c r="F81" s="25" t="s">
        <v>64</v>
      </c>
      <c r="G81" s="26" t="s">
        <v>125</v>
      </c>
      <c r="H81" s="48"/>
    </row>
    <row r="82" spans="2:11" s="1" customFormat="1" ht="78.75" x14ac:dyDescent="0.25">
      <c r="B82" s="104" t="s">
        <v>132</v>
      </c>
      <c r="C82" s="23" t="s">
        <v>24</v>
      </c>
      <c r="D82" s="23" t="s">
        <v>71</v>
      </c>
      <c r="E82" s="24">
        <v>69239.960000000006</v>
      </c>
      <c r="F82" s="25" t="s">
        <v>61</v>
      </c>
      <c r="G82" s="26" t="s">
        <v>125</v>
      </c>
      <c r="H82" s="48" t="s">
        <v>129</v>
      </c>
      <c r="J82" s="62"/>
    </row>
    <row r="83" spans="2:11" s="1" customFormat="1" ht="67.5" x14ac:dyDescent="0.25">
      <c r="B83" s="104" t="s">
        <v>132</v>
      </c>
      <c r="C83" s="23" t="s">
        <v>24</v>
      </c>
      <c r="D83" s="23" t="s">
        <v>71</v>
      </c>
      <c r="E83" s="24">
        <v>729880</v>
      </c>
      <c r="F83" s="25" t="s">
        <v>61</v>
      </c>
      <c r="G83" s="26" t="s">
        <v>152</v>
      </c>
      <c r="H83" s="48" t="s">
        <v>98</v>
      </c>
    </row>
    <row r="84" spans="2:11" s="1" customFormat="1" ht="65.25" customHeight="1" x14ac:dyDescent="0.25">
      <c r="B84" s="126" t="s">
        <v>138</v>
      </c>
      <c r="C84" s="127"/>
      <c r="D84" s="127"/>
      <c r="E84" s="16">
        <f>SUM(E85:E87)</f>
        <v>1753700.5</v>
      </c>
      <c r="F84" s="13"/>
      <c r="G84" s="14"/>
      <c r="H84" s="10"/>
      <c r="I84" s="61"/>
      <c r="J84" s="62"/>
    </row>
    <row r="85" spans="2:11" s="1" customFormat="1" ht="33.75" x14ac:dyDescent="0.25">
      <c r="B85" s="104" t="s">
        <v>132</v>
      </c>
      <c r="C85" s="36" t="s">
        <v>25</v>
      </c>
      <c r="D85" s="36" t="s">
        <v>69</v>
      </c>
      <c r="E85" s="24">
        <v>55000</v>
      </c>
      <c r="F85" s="43" t="s">
        <v>64</v>
      </c>
      <c r="G85" s="26" t="s">
        <v>125</v>
      </c>
      <c r="H85" s="44"/>
    </row>
    <row r="86" spans="2:11" s="1" customFormat="1" ht="78.75" x14ac:dyDescent="0.25">
      <c r="B86" s="104" t="s">
        <v>132</v>
      </c>
      <c r="C86" s="23">
        <v>85100000</v>
      </c>
      <c r="D86" s="23" t="s">
        <v>71</v>
      </c>
      <c r="E86" s="24">
        <v>127500.5</v>
      </c>
      <c r="F86" s="25" t="s">
        <v>61</v>
      </c>
      <c r="G86" s="26" t="s">
        <v>125</v>
      </c>
      <c r="H86" s="45" t="s">
        <v>124</v>
      </c>
    </row>
    <row r="87" spans="2:11" s="1" customFormat="1" ht="60.75" customHeight="1" x14ac:dyDescent="0.25">
      <c r="B87" s="104" t="s">
        <v>132</v>
      </c>
      <c r="C87" s="23">
        <v>85100000</v>
      </c>
      <c r="D87" s="23" t="s">
        <v>71</v>
      </c>
      <c r="E87" s="24">
        <f>1460000+111200</f>
        <v>1571200</v>
      </c>
      <c r="F87" s="25" t="s">
        <v>61</v>
      </c>
      <c r="G87" s="26" t="s">
        <v>125</v>
      </c>
      <c r="H87" s="48" t="s">
        <v>98</v>
      </c>
      <c r="K87" s="62"/>
    </row>
    <row r="88" spans="2:11" s="1" customFormat="1" ht="61.5" customHeight="1" x14ac:dyDescent="0.25">
      <c r="B88" s="126" t="s">
        <v>139</v>
      </c>
      <c r="C88" s="127"/>
      <c r="D88" s="127"/>
      <c r="E88" s="16">
        <f>SUM(E89:E90)</f>
        <v>184166.6</v>
      </c>
      <c r="F88" s="13"/>
      <c r="G88" s="14"/>
      <c r="H88" s="10"/>
      <c r="I88" s="61"/>
      <c r="J88" s="62"/>
    </row>
    <row r="89" spans="2:11" s="18" customFormat="1" ht="70.5" customHeight="1" x14ac:dyDescent="0.25">
      <c r="B89" s="65" t="s">
        <v>132</v>
      </c>
      <c r="C89" s="23" t="s">
        <v>24</v>
      </c>
      <c r="D89" s="23" t="s">
        <v>71</v>
      </c>
      <c r="E89" s="56">
        <v>14166.6</v>
      </c>
      <c r="F89" s="25" t="s">
        <v>61</v>
      </c>
      <c r="G89" s="26" t="s">
        <v>125</v>
      </c>
      <c r="H89" s="48" t="s">
        <v>76</v>
      </c>
    </row>
    <row r="90" spans="2:11" s="1" customFormat="1" ht="75" customHeight="1" x14ac:dyDescent="0.25">
      <c r="B90" s="104" t="s">
        <v>132</v>
      </c>
      <c r="C90" s="23" t="s">
        <v>24</v>
      </c>
      <c r="D90" s="23" t="s">
        <v>71</v>
      </c>
      <c r="E90" s="24">
        <v>170000</v>
      </c>
      <c r="F90" s="25" t="s">
        <v>61</v>
      </c>
      <c r="G90" s="26" t="s">
        <v>125</v>
      </c>
      <c r="H90" s="48" t="s">
        <v>98</v>
      </c>
    </row>
    <row r="91" spans="2:11" s="1" customFormat="1" ht="65.25" customHeight="1" x14ac:dyDescent="0.25">
      <c r="B91" s="121" t="s">
        <v>140</v>
      </c>
      <c r="C91" s="122"/>
      <c r="D91" s="122"/>
      <c r="E91" s="16">
        <f>SUM(E92:E96)</f>
        <v>1090000</v>
      </c>
      <c r="F91" s="13"/>
      <c r="G91" s="14"/>
      <c r="H91" s="60"/>
      <c r="I91" s="61"/>
      <c r="J91" s="62"/>
    </row>
    <row r="92" spans="2:11" s="1" customFormat="1" ht="49.5" customHeight="1" x14ac:dyDescent="0.25">
      <c r="B92" s="104" t="s">
        <v>132</v>
      </c>
      <c r="C92" s="23" t="s">
        <v>14</v>
      </c>
      <c r="D92" s="23" t="s">
        <v>15</v>
      </c>
      <c r="E92" s="24">
        <v>24200</v>
      </c>
      <c r="F92" s="25" t="s">
        <v>60</v>
      </c>
      <c r="G92" s="26" t="s">
        <v>125</v>
      </c>
      <c r="H92" s="41"/>
    </row>
    <row r="93" spans="2:11" s="1" customFormat="1" ht="33.75" x14ac:dyDescent="0.25">
      <c r="B93" s="104" t="s">
        <v>132</v>
      </c>
      <c r="C93" s="28">
        <v>33100000</v>
      </c>
      <c r="D93" s="28" t="s">
        <v>28</v>
      </c>
      <c r="E93" s="24">
        <f>240004-87983</f>
        <v>152021</v>
      </c>
      <c r="F93" s="29" t="s">
        <v>64</v>
      </c>
      <c r="G93" s="26" t="s">
        <v>125</v>
      </c>
      <c r="H93" s="46"/>
    </row>
    <row r="94" spans="2:11" s="1" customFormat="1" ht="60.75" customHeight="1" x14ac:dyDescent="0.25">
      <c r="B94" s="104" t="s">
        <v>132</v>
      </c>
      <c r="C94" s="23" t="s">
        <v>59</v>
      </c>
      <c r="D94" s="23" t="s">
        <v>44</v>
      </c>
      <c r="E94" s="24">
        <v>15000</v>
      </c>
      <c r="F94" s="25" t="s">
        <v>64</v>
      </c>
      <c r="G94" s="26" t="s">
        <v>125</v>
      </c>
      <c r="H94" s="41"/>
    </row>
    <row r="95" spans="2:11" s="1" customFormat="1" ht="75" customHeight="1" x14ac:dyDescent="0.25">
      <c r="B95" s="104" t="s">
        <v>132</v>
      </c>
      <c r="C95" s="23">
        <v>85100000</v>
      </c>
      <c r="D95" s="23" t="s">
        <v>71</v>
      </c>
      <c r="E95" s="24">
        <v>48983</v>
      </c>
      <c r="F95" s="25" t="s">
        <v>61</v>
      </c>
      <c r="G95" s="26" t="s">
        <v>125</v>
      </c>
      <c r="H95" s="48" t="s">
        <v>126</v>
      </c>
      <c r="J95" s="62"/>
    </row>
    <row r="96" spans="2:11" s="18" customFormat="1" ht="65.25" customHeight="1" x14ac:dyDescent="0.25">
      <c r="B96" s="65" t="s">
        <v>132</v>
      </c>
      <c r="C96" s="78">
        <v>85100000</v>
      </c>
      <c r="D96" s="78" t="s">
        <v>71</v>
      </c>
      <c r="E96" s="56">
        <f>1071996+37800-260000</f>
        <v>849796</v>
      </c>
      <c r="F96" s="79" t="s">
        <v>61</v>
      </c>
      <c r="G96" s="80" t="s">
        <v>125</v>
      </c>
      <c r="H96" s="111" t="s">
        <v>98</v>
      </c>
    </row>
    <row r="97" spans="2:11" s="1" customFormat="1" ht="80.25" customHeight="1" x14ac:dyDescent="0.25">
      <c r="B97" s="126" t="s">
        <v>141</v>
      </c>
      <c r="C97" s="127"/>
      <c r="D97" s="127"/>
      <c r="E97" s="16">
        <f>SUM(E98:E98)</f>
        <v>1250000</v>
      </c>
      <c r="F97" s="13"/>
      <c r="G97" s="14"/>
      <c r="H97" s="10"/>
      <c r="I97" s="61"/>
      <c r="J97" s="62"/>
    </row>
    <row r="98" spans="2:11" s="1" customFormat="1" ht="84.75" customHeight="1" x14ac:dyDescent="0.25">
      <c r="B98" s="104" t="s">
        <v>132</v>
      </c>
      <c r="C98" s="23" t="s">
        <v>32</v>
      </c>
      <c r="D98" s="23" t="s">
        <v>29</v>
      </c>
      <c r="E98" s="24">
        <v>1250000</v>
      </c>
      <c r="F98" s="25" t="s">
        <v>61</v>
      </c>
      <c r="G98" s="26" t="s">
        <v>125</v>
      </c>
      <c r="H98" s="48" t="s">
        <v>98</v>
      </c>
    </row>
    <row r="99" spans="2:11" s="1" customFormat="1" ht="57.75" customHeight="1" x14ac:dyDescent="0.25">
      <c r="B99" s="119" t="s">
        <v>142</v>
      </c>
      <c r="C99" s="120"/>
      <c r="D99" s="120"/>
      <c r="E99" s="57">
        <f>SUM(E100:E103)</f>
        <v>4000000</v>
      </c>
      <c r="F99" s="58"/>
      <c r="G99" s="58"/>
      <c r="H99" s="59"/>
      <c r="I99" s="61"/>
      <c r="J99" s="62"/>
    </row>
    <row r="100" spans="2:11" s="18" customFormat="1" ht="29.25" customHeight="1" x14ac:dyDescent="0.25">
      <c r="B100" s="65" t="s">
        <v>132</v>
      </c>
      <c r="C100" s="38">
        <v>33100000</v>
      </c>
      <c r="D100" s="23" t="s">
        <v>8</v>
      </c>
      <c r="E100" s="56">
        <v>124876.2</v>
      </c>
      <c r="F100" s="25" t="s">
        <v>64</v>
      </c>
      <c r="G100" s="26" t="s">
        <v>125</v>
      </c>
      <c r="H100" s="26"/>
    </row>
    <row r="101" spans="2:11" s="1" customFormat="1" ht="33.75" x14ac:dyDescent="0.25">
      <c r="B101" s="104" t="s">
        <v>132</v>
      </c>
      <c r="C101" s="38" t="s">
        <v>32</v>
      </c>
      <c r="D101" s="23" t="s">
        <v>9</v>
      </c>
      <c r="E101" s="24">
        <f>2995349.4-3495.8-99984.41</f>
        <v>2891869.19</v>
      </c>
      <c r="F101" s="25" t="s">
        <v>64</v>
      </c>
      <c r="G101" s="26" t="s">
        <v>125</v>
      </c>
      <c r="H101" s="26"/>
    </row>
    <row r="102" spans="2:11" s="1" customFormat="1" ht="67.5" x14ac:dyDescent="0.25">
      <c r="B102" s="104" t="s">
        <v>132</v>
      </c>
      <c r="C102" s="38" t="s">
        <v>24</v>
      </c>
      <c r="D102" s="23" t="s">
        <v>71</v>
      </c>
      <c r="E102" s="24">
        <v>73605.850000000006</v>
      </c>
      <c r="F102" s="25" t="s">
        <v>61</v>
      </c>
      <c r="G102" s="26" t="s">
        <v>125</v>
      </c>
      <c r="H102" s="45" t="s">
        <v>127</v>
      </c>
    </row>
    <row r="103" spans="2:11" s="1" customFormat="1" ht="83.25" customHeight="1" x14ac:dyDescent="0.25">
      <c r="B103" s="104" t="s">
        <v>132</v>
      </c>
      <c r="C103" s="23" t="s">
        <v>24</v>
      </c>
      <c r="D103" s="23" t="s">
        <v>71</v>
      </c>
      <c r="E103" s="24">
        <v>909648.76</v>
      </c>
      <c r="F103" s="25" t="s">
        <v>61</v>
      </c>
      <c r="G103" s="26" t="s">
        <v>152</v>
      </c>
      <c r="H103" s="32" t="s">
        <v>98</v>
      </c>
    </row>
    <row r="104" spans="2:11" ht="122.25" customHeight="1" x14ac:dyDescent="0.25">
      <c r="B104" s="126" t="s">
        <v>143</v>
      </c>
      <c r="C104" s="127"/>
      <c r="D104" s="127"/>
      <c r="E104" s="16">
        <f>SUM(E105)</f>
        <v>2190000</v>
      </c>
      <c r="F104" s="13"/>
      <c r="G104" s="14"/>
      <c r="H104" s="10"/>
      <c r="I104" s="61"/>
      <c r="J104" s="63">
        <f>E99-4000000</f>
        <v>0</v>
      </c>
    </row>
    <row r="105" spans="2:11" s="1" customFormat="1" ht="117.75" customHeight="1" x14ac:dyDescent="0.25">
      <c r="B105" s="104" t="s">
        <v>132</v>
      </c>
      <c r="C105" s="23" t="s">
        <v>32</v>
      </c>
      <c r="D105" s="23" t="s">
        <v>29</v>
      </c>
      <c r="E105" s="24">
        <v>2190000</v>
      </c>
      <c r="F105" s="25" t="s">
        <v>61</v>
      </c>
      <c r="G105" s="26" t="s">
        <v>152</v>
      </c>
      <c r="H105" s="48" t="s">
        <v>98</v>
      </c>
    </row>
    <row r="106" spans="2:11" s="1" customFormat="1" ht="57" customHeight="1" x14ac:dyDescent="0.25">
      <c r="B106" s="121" t="s">
        <v>144</v>
      </c>
      <c r="C106" s="122"/>
      <c r="D106" s="122"/>
      <c r="E106" s="16">
        <f>SUM(E107:E111)</f>
        <v>474000</v>
      </c>
      <c r="F106" s="13"/>
      <c r="G106" s="60"/>
      <c r="H106" s="60"/>
      <c r="I106" s="61"/>
      <c r="J106" s="62"/>
    </row>
    <row r="107" spans="2:11" s="1" customFormat="1" ht="59.25" customHeight="1" x14ac:dyDescent="0.25">
      <c r="B107" s="104" t="s">
        <v>148</v>
      </c>
      <c r="C107" s="23">
        <v>33100000</v>
      </c>
      <c r="D107" s="23" t="s">
        <v>28</v>
      </c>
      <c r="E107" s="24">
        <f>20000+14559.87+22385.83</f>
        <v>56945.700000000004</v>
      </c>
      <c r="F107" s="25" t="s">
        <v>64</v>
      </c>
      <c r="G107" s="26" t="s">
        <v>125</v>
      </c>
      <c r="H107" s="41"/>
    </row>
    <row r="108" spans="2:11" s="1" customFormat="1" ht="38.25" x14ac:dyDescent="0.25">
      <c r="B108" s="104" t="s">
        <v>148</v>
      </c>
      <c r="C108" s="36">
        <v>33600000</v>
      </c>
      <c r="D108" s="36" t="s">
        <v>29</v>
      </c>
      <c r="E108" s="24">
        <f>266824.3+68000-17770</f>
        <v>317054.3</v>
      </c>
      <c r="F108" s="43" t="s">
        <v>64</v>
      </c>
      <c r="G108" s="26" t="s">
        <v>125</v>
      </c>
      <c r="H108" s="44"/>
    </row>
    <row r="109" spans="2:11" s="1" customFormat="1" ht="78.75" x14ac:dyDescent="0.25">
      <c r="B109" s="104" t="s">
        <v>132</v>
      </c>
      <c r="C109" s="38" t="s">
        <v>103</v>
      </c>
      <c r="D109" s="23" t="s">
        <v>71</v>
      </c>
      <c r="E109" s="24">
        <v>6870</v>
      </c>
      <c r="F109" s="25" t="s">
        <v>61</v>
      </c>
      <c r="G109" s="26" t="s">
        <v>125</v>
      </c>
      <c r="H109" s="45" t="s">
        <v>130</v>
      </c>
    </row>
    <row r="110" spans="2:11" s="1" customFormat="1" ht="67.5" x14ac:dyDescent="0.25">
      <c r="B110" s="104" t="s">
        <v>132</v>
      </c>
      <c r="C110" s="38" t="s">
        <v>103</v>
      </c>
      <c r="D110" s="23" t="s">
        <v>71</v>
      </c>
      <c r="E110" s="24">
        <f>13740+6870</f>
        <v>20610</v>
      </c>
      <c r="F110" s="25" t="s">
        <v>61</v>
      </c>
      <c r="G110" s="26" t="s">
        <v>152</v>
      </c>
      <c r="H110" s="48" t="s">
        <v>98</v>
      </c>
      <c r="J110" s="62"/>
      <c r="K110" s="62"/>
    </row>
    <row r="111" spans="2:11" s="1" customFormat="1" ht="51" customHeight="1" x14ac:dyDescent="0.25">
      <c r="B111" s="104" t="s">
        <v>132</v>
      </c>
      <c r="C111" s="38" t="s">
        <v>24</v>
      </c>
      <c r="D111" s="23" t="s">
        <v>71</v>
      </c>
      <c r="E111" s="24">
        <v>72520</v>
      </c>
      <c r="F111" s="25" t="s">
        <v>64</v>
      </c>
      <c r="G111" s="26" t="s">
        <v>153</v>
      </c>
      <c r="H111" s="45"/>
      <c r="J111" s="62"/>
      <c r="K111" s="62"/>
    </row>
    <row r="112" spans="2:11" ht="59.25" customHeight="1" x14ac:dyDescent="0.25">
      <c r="B112" s="126" t="s">
        <v>145</v>
      </c>
      <c r="C112" s="127"/>
      <c r="D112" s="127"/>
      <c r="E112" s="16">
        <f>SUM(E113:E115)</f>
        <v>2100000</v>
      </c>
      <c r="F112" s="13"/>
      <c r="G112" s="14"/>
      <c r="H112" s="10"/>
      <c r="I112" s="61"/>
      <c r="J112" s="63"/>
    </row>
    <row r="113" spans="2:10" s="18" customFormat="1" ht="42.75" customHeight="1" x14ac:dyDescent="0.25">
      <c r="B113" s="65" t="s">
        <v>132</v>
      </c>
      <c r="C113" s="23" t="s">
        <v>25</v>
      </c>
      <c r="D113" s="23" t="s">
        <v>69</v>
      </c>
      <c r="E113" s="56">
        <f>2100000-115976</f>
        <v>1984024</v>
      </c>
      <c r="F113" s="25" t="s">
        <v>64</v>
      </c>
      <c r="G113" s="26" t="s">
        <v>125</v>
      </c>
      <c r="H113" s="53"/>
    </row>
    <row r="114" spans="2:10" s="1" customFormat="1" ht="42.75" customHeight="1" x14ac:dyDescent="0.25">
      <c r="B114" s="104" t="s">
        <v>132</v>
      </c>
      <c r="C114" s="23" t="s">
        <v>156</v>
      </c>
      <c r="D114" s="23" t="s">
        <v>69</v>
      </c>
      <c r="E114" s="24">
        <f>5976</f>
        <v>5976</v>
      </c>
      <c r="F114" s="25" t="s">
        <v>61</v>
      </c>
      <c r="G114" s="26" t="s">
        <v>152</v>
      </c>
      <c r="H114" s="48" t="s">
        <v>98</v>
      </c>
    </row>
    <row r="115" spans="2:10" s="1" customFormat="1" ht="80.25" customHeight="1" x14ac:dyDescent="0.25">
      <c r="B115" s="104" t="s">
        <v>132</v>
      </c>
      <c r="C115" s="23" t="s">
        <v>154</v>
      </c>
      <c r="D115" s="23" t="s">
        <v>155</v>
      </c>
      <c r="E115" s="24">
        <f>115976-5976</f>
        <v>110000</v>
      </c>
      <c r="F115" s="25" t="s">
        <v>61</v>
      </c>
      <c r="G115" s="26" t="s">
        <v>152</v>
      </c>
      <c r="H115" s="48" t="s">
        <v>98</v>
      </c>
    </row>
    <row r="116" spans="2:10" ht="70.5" customHeight="1" x14ac:dyDescent="0.25">
      <c r="B116" s="126" t="s">
        <v>146</v>
      </c>
      <c r="C116" s="127"/>
      <c r="D116" s="127"/>
      <c r="E116" s="16">
        <f>SUM(E117:E119)</f>
        <v>442800</v>
      </c>
      <c r="F116" s="13"/>
      <c r="G116" s="14"/>
      <c r="H116" s="10"/>
      <c r="I116" s="61"/>
      <c r="J116" s="63"/>
    </row>
    <row r="117" spans="2:10" s="18" customFormat="1" ht="33.75" x14ac:dyDescent="0.25">
      <c r="B117" s="65" t="s">
        <v>132</v>
      </c>
      <c r="C117" s="99" t="s">
        <v>32</v>
      </c>
      <c r="D117" s="99" t="s">
        <v>29</v>
      </c>
      <c r="E117" s="56">
        <f>264000-4020</f>
        <v>259980</v>
      </c>
      <c r="F117" s="100" t="s">
        <v>64</v>
      </c>
      <c r="G117" s="80" t="s">
        <v>125</v>
      </c>
      <c r="H117" s="101"/>
    </row>
    <row r="118" spans="2:10" s="18" customFormat="1" ht="33.75" x14ac:dyDescent="0.25">
      <c r="B118" s="65" t="s">
        <v>132</v>
      </c>
      <c r="C118" s="28" t="s">
        <v>7</v>
      </c>
      <c r="D118" s="28" t="s">
        <v>28</v>
      </c>
      <c r="E118" s="24">
        <v>132000</v>
      </c>
      <c r="F118" s="29" t="s">
        <v>64</v>
      </c>
      <c r="G118" s="26" t="s">
        <v>125</v>
      </c>
      <c r="H118" s="55"/>
    </row>
    <row r="119" spans="2:10" s="1" customFormat="1" ht="33.75" x14ac:dyDescent="0.25">
      <c r="B119" s="104" t="s">
        <v>132</v>
      </c>
      <c r="C119" s="23" t="s">
        <v>14</v>
      </c>
      <c r="D119" s="23" t="s">
        <v>40</v>
      </c>
      <c r="E119" s="24">
        <f>4020+46800</f>
        <v>50820</v>
      </c>
      <c r="F119" s="25" t="s">
        <v>60</v>
      </c>
      <c r="G119" s="26" t="s">
        <v>125</v>
      </c>
      <c r="H119" s="23"/>
    </row>
  </sheetData>
  <autoFilter ref="A8:H119"/>
  <mergeCells count="20">
    <mergeCell ref="B84:D84"/>
    <mergeCell ref="B2:H2"/>
    <mergeCell ref="B3:H3"/>
    <mergeCell ref="B4:E4"/>
    <mergeCell ref="F4:H4"/>
    <mergeCell ref="B5:E5"/>
    <mergeCell ref="F5:H5"/>
    <mergeCell ref="B6:F6"/>
    <mergeCell ref="B9:D9"/>
    <mergeCell ref="B67:D67"/>
    <mergeCell ref="B72:D72"/>
    <mergeCell ref="B78:D78"/>
    <mergeCell ref="B112:D112"/>
    <mergeCell ref="B116:D116"/>
    <mergeCell ref="B88:D88"/>
    <mergeCell ref="B91:D91"/>
    <mergeCell ref="B97:D97"/>
    <mergeCell ref="B99:D99"/>
    <mergeCell ref="B104:D104"/>
    <mergeCell ref="B106:D106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20"/>
  <sheetViews>
    <sheetView topLeftCell="B16" zoomScaleNormal="100" zoomScaleSheetLayoutView="80" workbookViewId="0">
      <selection activeCell="E87" sqref="E87:E88"/>
    </sheetView>
  </sheetViews>
  <sheetFormatPr defaultRowHeight="15" x14ac:dyDescent="0.2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1.5703125" bestFit="1" customWidth="1"/>
    <col min="12" max="12" width="14.28515625" bestFit="1" customWidth="1"/>
    <col min="13" max="13" width="11.5703125" bestFit="1" customWidth="1"/>
  </cols>
  <sheetData>
    <row r="2" spans="2:9" ht="18.75" x14ac:dyDescent="0.25">
      <c r="B2" s="123" t="s">
        <v>41</v>
      </c>
      <c r="C2" s="123"/>
      <c r="D2" s="123"/>
      <c r="E2" s="123"/>
      <c r="F2" s="123"/>
      <c r="G2" s="123"/>
      <c r="H2" s="123"/>
    </row>
    <row r="3" spans="2:9" ht="18.75" x14ac:dyDescent="0.3">
      <c r="B3" s="124" t="s">
        <v>4</v>
      </c>
      <c r="C3" s="124"/>
      <c r="D3" s="124"/>
      <c r="E3" s="124"/>
      <c r="F3" s="124"/>
      <c r="G3" s="124"/>
      <c r="H3" s="124"/>
    </row>
    <row r="4" spans="2:9" x14ac:dyDescent="0.25">
      <c r="B4" s="125" t="s">
        <v>54</v>
      </c>
      <c r="C4" s="125"/>
      <c r="D4" s="125"/>
      <c r="E4" s="125"/>
      <c r="F4" s="125" t="s">
        <v>21</v>
      </c>
      <c r="G4" s="125"/>
      <c r="H4" s="125"/>
    </row>
    <row r="5" spans="2:9" x14ac:dyDescent="0.25">
      <c r="B5" s="125" t="s">
        <v>20</v>
      </c>
      <c r="C5" s="125"/>
      <c r="D5" s="125"/>
      <c r="E5" s="125"/>
      <c r="F5" s="125" t="s">
        <v>10</v>
      </c>
      <c r="G5" s="125"/>
      <c r="H5" s="125"/>
      <c r="I5" s="109"/>
    </row>
    <row r="6" spans="2:9" ht="24.75" customHeight="1" x14ac:dyDescent="0.25">
      <c r="B6" s="115" t="s">
        <v>22</v>
      </c>
      <c r="C6" s="116"/>
      <c r="D6" s="116"/>
      <c r="E6" s="116"/>
      <c r="F6" s="116"/>
      <c r="G6" s="2">
        <f>E9+E68+E73+E79+E85+E89+E92+E98+E100+E105+E107+E113+E117</f>
        <v>43523496.100000001</v>
      </c>
      <c r="H6" s="3" t="s">
        <v>23</v>
      </c>
    </row>
    <row r="7" spans="2:9" ht="25.5" x14ac:dyDescent="0.2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9" x14ac:dyDescent="0.25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9" ht="60.75" customHeight="1" x14ac:dyDescent="0.25">
      <c r="B9" s="117" t="s">
        <v>131</v>
      </c>
      <c r="C9" s="118"/>
      <c r="D9" s="118"/>
      <c r="E9" s="15">
        <f>SUM(E10:E66)</f>
        <v>4258829</v>
      </c>
      <c r="F9" s="11"/>
      <c r="G9" s="9"/>
      <c r="H9" s="10"/>
    </row>
    <row r="10" spans="2:9" s="18" customFormat="1" ht="33.75" x14ac:dyDescent="0.2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9" s="18" customFormat="1" ht="33.75" x14ac:dyDescent="0.2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9" s="18" customFormat="1" ht="25.5" x14ac:dyDescent="0.25">
      <c r="B12" s="65" t="s">
        <v>132</v>
      </c>
      <c r="C12" s="78" t="s">
        <v>169</v>
      </c>
      <c r="D12" s="78" t="s">
        <v>170</v>
      </c>
      <c r="E12" s="56">
        <v>6100</v>
      </c>
      <c r="F12" s="79" t="s">
        <v>60</v>
      </c>
      <c r="G12" s="110" t="s">
        <v>160</v>
      </c>
      <c r="H12" s="78"/>
    </row>
    <row r="13" spans="2:9" s="18" customFormat="1" ht="33.75" x14ac:dyDescent="0.25">
      <c r="B13" s="65" t="s">
        <v>132</v>
      </c>
      <c r="C13" s="23" t="s">
        <v>100</v>
      </c>
      <c r="D13" s="23" t="s">
        <v>101</v>
      </c>
      <c r="E13" s="56">
        <v>500</v>
      </c>
      <c r="F13" s="25" t="s">
        <v>61</v>
      </c>
      <c r="G13" s="26" t="s">
        <v>125</v>
      </c>
      <c r="H13" s="23"/>
    </row>
    <row r="14" spans="2:9" s="19" customFormat="1" ht="33.75" x14ac:dyDescent="0.25">
      <c r="B14" s="65" t="s">
        <v>132</v>
      </c>
      <c r="C14" s="28" t="s">
        <v>50</v>
      </c>
      <c r="D14" s="28" t="s">
        <v>52</v>
      </c>
      <c r="E14" s="56">
        <v>1600</v>
      </c>
      <c r="F14" s="29" t="s">
        <v>61</v>
      </c>
      <c r="G14" s="26" t="s">
        <v>125</v>
      </c>
      <c r="H14" s="28"/>
    </row>
    <row r="15" spans="2:9" s="106" customFormat="1" ht="38.25" customHeight="1" x14ac:dyDescent="0.25">
      <c r="B15" s="104" t="s">
        <v>132</v>
      </c>
      <c r="C15" s="28" t="s">
        <v>159</v>
      </c>
      <c r="D15" s="28" t="s">
        <v>158</v>
      </c>
      <c r="E15" s="24">
        <v>1973</v>
      </c>
      <c r="F15" s="29" t="s">
        <v>61</v>
      </c>
      <c r="G15" s="26" t="s">
        <v>152</v>
      </c>
      <c r="H15" s="28"/>
    </row>
    <row r="16" spans="2:9" s="18" customFormat="1" ht="49.5" customHeight="1" x14ac:dyDescent="0.25">
      <c r="B16" s="65" t="s">
        <v>132</v>
      </c>
      <c r="C16" s="23" t="s">
        <v>39</v>
      </c>
      <c r="D16" s="23" t="s">
        <v>58</v>
      </c>
      <c r="E16" s="56">
        <f>23100</f>
        <v>23100</v>
      </c>
      <c r="F16" s="25" t="s">
        <v>60</v>
      </c>
      <c r="G16" s="26" t="s">
        <v>125</v>
      </c>
      <c r="H16" s="23"/>
    </row>
    <row r="17" spans="2:8" s="18" customFormat="1" ht="49.5" customHeight="1" x14ac:dyDescent="0.25">
      <c r="B17" s="65" t="s">
        <v>132</v>
      </c>
      <c r="C17" s="23" t="s">
        <v>39</v>
      </c>
      <c r="D17" s="23" t="s">
        <v>58</v>
      </c>
      <c r="E17" s="56">
        <f>60000+9000</f>
        <v>69000</v>
      </c>
      <c r="F17" s="25" t="s">
        <v>64</v>
      </c>
      <c r="G17" s="26" t="s">
        <v>125</v>
      </c>
      <c r="H17" s="23"/>
    </row>
    <row r="18" spans="2:8" s="18" customFormat="1" ht="38.25" customHeight="1" x14ac:dyDescent="0.25">
      <c r="B18" s="65" t="s">
        <v>147</v>
      </c>
      <c r="C18" s="84">
        <v>31400000</v>
      </c>
      <c r="D18" s="78" t="s">
        <v>11</v>
      </c>
      <c r="E18" s="56">
        <f>3000+1800</f>
        <v>4800</v>
      </c>
      <c r="F18" s="79" t="s">
        <v>60</v>
      </c>
      <c r="G18" s="80" t="s">
        <v>125</v>
      </c>
      <c r="H18" s="81"/>
    </row>
    <row r="19" spans="2:8" s="18" customFormat="1" ht="56.25" x14ac:dyDescent="0.25">
      <c r="B19" s="65" t="s">
        <v>147</v>
      </c>
      <c r="C19" s="84">
        <v>33100000</v>
      </c>
      <c r="D19" s="78" t="s">
        <v>57</v>
      </c>
      <c r="E19" s="56">
        <v>2000</v>
      </c>
      <c r="F19" s="79" t="s">
        <v>61</v>
      </c>
      <c r="G19" s="80" t="s">
        <v>160</v>
      </c>
      <c r="H19" s="102" t="s">
        <v>85</v>
      </c>
    </row>
    <row r="20" spans="2:8" s="18" customFormat="1" ht="25.5" x14ac:dyDescent="0.25">
      <c r="B20" s="65" t="s">
        <v>147</v>
      </c>
      <c r="C20" s="84">
        <v>35800000</v>
      </c>
      <c r="D20" s="78" t="s">
        <v>171</v>
      </c>
      <c r="E20" s="56">
        <v>405</v>
      </c>
      <c r="F20" s="79" t="s">
        <v>61</v>
      </c>
      <c r="G20" s="80" t="s">
        <v>172</v>
      </c>
      <c r="H20" s="102"/>
    </row>
    <row r="21" spans="2:8" s="18" customFormat="1" ht="56.25" x14ac:dyDescent="0.25">
      <c r="B21" s="65" t="s">
        <v>147</v>
      </c>
      <c r="C21" s="84">
        <v>33600000</v>
      </c>
      <c r="D21" s="78" t="s">
        <v>29</v>
      </c>
      <c r="E21" s="56">
        <v>10000</v>
      </c>
      <c r="F21" s="79" t="s">
        <v>61</v>
      </c>
      <c r="G21" s="80" t="s">
        <v>160</v>
      </c>
      <c r="H21" s="102" t="s">
        <v>85</v>
      </c>
    </row>
    <row r="22" spans="2:8" s="18" customFormat="1" ht="38.25" customHeight="1" x14ac:dyDescent="0.25">
      <c r="B22" s="65" t="s">
        <v>147</v>
      </c>
      <c r="C22" s="78" t="s">
        <v>43</v>
      </c>
      <c r="D22" s="78" t="s">
        <v>42</v>
      </c>
      <c r="E22" s="56">
        <f>10000+7260</f>
        <v>17260</v>
      </c>
      <c r="F22" s="79" t="s">
        <v>60</v>
      </c>
      <c r="G22" s="80" t="s">
        <v>125</v>
      </c>
      <c r="H22" s="110"/>
    </row>
    <row r="23" spans="2:8" s="18" customFormat="1" ht="42" customHeight="1" x14ac:dyDescent="0.25">
      <c r="B23" s="67" t="s">
        <v>132</v>
      </c>
      <c r="C23" s="68" t="s">
        <v>174</v>
      </c>
      <c r="D23" s="68" t="s">
        <v>175</v>
      </c>
      <c r="E23" s="69">
        <v>3756</v>
      </c>
      <c r="F23" s="70" t="s">
        <v>91</v>
      </c>
      <c r="G23" s="71" t="s">
        <v>172</v>
      </c>
      <c r="H23" s="72"/>
    </row>
    <row r="24" spans="2:8" s="18" customFormat="1" ht="33.75" x14ac:dyDescent="0.25">
      <c r="B24" s="65" t="s">
        <v>132</v>
      </c>
      <c r="C24" s="23" t="s">
        <v>92</v>
      </c>
      <c r="D24" s="23" t="s">
        <v>93</v>
      </c>
      <c r="E24" s="56">
        <v>4800</v>
      </c>
      <c r="F24" s="25" t="s">
        <v>91</v>
      </c>
      <c r="G24" s="26" t="s">
        <v>125</v>
      </c>
      <c r="H24" s="31"/>
    </row>
    <row r="25" spans="2:8" s="18" customFormat="1" ht="33.75" x14ac:dyDescent="0.25">
      <c r="B25" s="65" t="s">
        <v>132</v>
      </c>
      <c r="C25" s="23" t="s">
        <v>94</v>
      </c>
      <c r="D25" s="23" t="s">
        <v>95</v>
      </c>
      <c r="E25" s="56">
        <v>4800</v>
      </c>
      <c r="F25" s="25" t="s">
        <v>91</v>
      </c>
      <c r="G25" s="26" t="s">
        <v>125</v>
      </c>
      <c r="H25" s="31"/>
    </row>
    <row r="26" spans="2:8" s="18" customFormat="1" ht="33.75" x14ac:dyDescent="0.25">
      <c r="B26" s="65" t="s">
        <v>132</v>
      </c>
      <c r="C26" s="34">
        <v>39800000</v>
      </c>
      <c r="D26" s="34" t="s">
        <v>84</v>
      </c>
      <c r="E26" s="56">
        <v>4800</v>
      </c>
      <c r="F26" s="25" t="s">
        <v>91</v>
      </c>
      <c r="G26" s="26" t="s">
        <v>125</v>
      </c>
      <c r="H26" s="31"/>
    </row>
    <row r="27" spans="2:8" s="18" customFormat="1" ht="33.75" x14ac:dyDescent="0.25">
      <c r="B27" s="65" t="s">
        <v>132</v>
      </c>
      <c r="C27" s="85">
        <v>42900000</v>
      </c>
      <c r="D27" s="85" t="s">
        <v>168</v>
      </c>
      <c r="E27" s="56">
        <v>1920</v>
      </c>
      <c r="F27" s="79" t="s">
        <v>60</v>
      </c>
      <c r="G27" s="110" t="s">
        <v>160</v>
      </c>
      <c r="H27" s="110"/>
    </row>
    <row r="28" spans="2:8" s="18" customFormat="1" ht="51.75" customHeight="1" x14ac:dyDescent="0.25">
      <c r="B28" s="65" t="s">
        <v>132</v>
      </c>
      <c r="C28" s="84">
        <v>41100000</v>
      </c>
      <c r="D28" s="85" t="s">
        <v>149</v>
      </c>
      <c r="E28" s="56">
        <v>6750</v>
      </c>
      <c r="F28" s="79" t="s">
        <v>64</v>
      </c>
      <c r="G28" s="80" t="s">
        <v>125</v>
      </c>
      <c r="H28" s="81"/>
    </row>
    <row r="29" spans="2:8" s="18" customFormat="1" ht="51.75" customHeight="1" x14ac:dyDescent="0.25">
      <c r="B29" s="65" t="s">
        <v>132</v>
      </c>
      <c r="C29" s="84">
        <v>44400000</v>
      </c>
      <c r="D29" s="85" t="s">
        <v>167</v>
      </c>
      <c r="E29" s="56">
        <v>4120</v>
      </c>
      <c r="F29" s="79" t="s">
        <v>64</v>
      </c>
      <c r="G29" s="80" t="s">
        <v>160</v>
      </c>
      <c r="H29" s="81"/>
    </row>
    <row r="30" spans="2:8" s="18" customFormat="1" ht="51.75" customHeight="1" x14ac:dyDescent="0.25">
      <c r="B30" s="65" t="s">
        <v>132</v>
      </c>
      <c r="C30" s="30">
        <v>45400000</v>
      </c>
      <c r="D30" s="34" t="s">
        <v>102</v>
      </c>
      <c r="E30" s="56">
        <v>40000</v>
      </c>
      <c r="F30" s="25" t="s">
        <v>64</v>
      </c>
      <c r="G30" s="26" t="s">
        <v>125</v>
      </c>
      <c r="H30" s="31"/>
    </row>
    <row r="31" spans="2:8" s="18" customFormat="1" ht="37.5" customHeight="1" x14ac:dyDescent="0.25">
      <c r="B31" s="65" t="s">
        <v>133</v>
      </c>
      <c r="C31" s="30">
        <v>48700000</v>
      </c>
      <c r="D31" s="23" t="s">
        <v>104</v>
      </c>
      <c r="E31" s="56">
        <v>30000</v>
      </c>
      <c r="F31" s="25" t="s">
        <v>64</v>
      </c>
      <c r="G31" s="26" t="s">
        <v>125</v>
      </c>
      <c r="H31" s="31"/>
    </row>
    <row r="32" spans="2:8" s="18" customFormat="1" ht="56.25" x14ac:dyDescent="0.25">
      <c r="B32" s="65" t="s">
        <v>132</v>
      </c>
      <c r="C32" s="78">
        <v>50100000</v>
      </c>
      <c r="D32" s="78" t="s">
        <v>44</v>
      </c>
      <c r="E32" s="56">
        <f>10000+30000</f>
        <v>40000</v>
      </c>
      <c r="F32" s="79" t="s">
        <v>61</v>
      </c>
      <c r="G32" s="80" t="s">
        <v>125</v>
      </c>
      <c r="H32" s="102" t="s">
        <v>66</v>
      </c>
    </row>
    <row r="33" spans="2:8" s="1" customFormat="1" ht="92.25" customHeight="1" x14ac:dyDescent="0.25">
      <c r="B33" s="104" t="s">
        <v>132</v>
      </c>
      <c r="C33" s="23" t="s">
        <v>59</v>
      </c>
      <c r="D33" s="23" t="s">
        <v>62</v>
      </c>
      <c r="E33" s="24">
        <f>120000-30000+15000</f>
        <v>105000</v>
      </c>
      <c r="F33" s="25" t="s">
        <v>64</v>
      </c>
      <c r="G33" s="26" t="s">
        <v>125</v>
      </c>
      <c r="H33" s="36"/>
    </row>
    <row r="34" spans="2:8" s="18" customFormat="1" ht="56.25" x14ac:dyDescent="0.25">
      <c r="B34" s="65" t="s">
        <v>132</v>
      </c>
      <c r="C34" s="78">
        <v>50100000</v>
      </c>
      <c r="D34" s="78" t="s">
        <v>44</v>
      </c>
      <c r="E34" s="56">
        <v>2080</v>
      </c>
      <c r="F34" s="79" t="s">
        <v>61</v>
      </c>
      <c r="G34" s="80" t="s">
        <v>160</v>
      </c>
      <c r="H34" s="102" t="s">
        <v>85</v>
      </c>
    </row>
    <row r="35" spans="2:8" s="18" customFormat="1" ht="92.25" customHeight="1" x14ac:dyDescent="0.25">
      <c r="B35" s="65" t="s">
        <v>132</v>
      </c>
      <c r="C35" s="23" t="s">
        <v>107</v>
      </c>
      <c r="D35" s="23" t="s">
        <v>108</v>
      </c>
      <c r="E35" s="56">
        <v>50000</v>
      </c>
      <c r="F35" s="25" t="s">
        <v>64</v>
      </c>
      <c r="G35" s="26" t="s">
        <v>125</v>
      </c>
      <c r="H35" s="31"/>
    </row>
    <row r="36" spans="2:8" s="18" customFormat="1" ht="92.25" customHeight="1" x14ac:dyDescent="0.25">
      <c r="B36" s="65" t="s">
        <v>132</v>
      </c>
      <c r="C36" s="23" t="s">
        <v>105</v>
      </c>
      <c r="D36" s="23" t="s">
        <v>106</v>
      </c>
      <c r="E36" s="56">
        <v>310000</v>
      </c>
      <c r="F36" s="25" t="s">
        <v>64</v>
      </c>
      <c r="G36" s="26" t="s">
        <v>125</v>
      </c>
      <c r="H36" s="36"/>
    </row>
    <row r="37" spans="2:8" s="18" customFormat="1" ht="92.25" customHeight="1" x14ac:dyDescent="0.25">
      <c r="B37" s="65" t="s">
        <v>147</v>
      </c>
      <c r="C37" s="23" t="s">
        <v>109</v>
      </c>
      <c r="D37" s="23" t="s">
        <v>110</v>
      </c>
      <c r="E37" s="56">
        <f>60000+45000-20000</f>
        <v>85000</v>
      </c>
      <c r="F37" s="25" t="s">
        <v>64</v>
      </c>
      <c r="G37" s="26" t="s">
        <v>125</v>
      </c>
      <c r="H37" s="36"/>
    </row>
    <row r="38" spans="2:8" s="18" customFormat="1" ht="102.75" customHeight="1" x14ac:dyDescent="0.25">
      <c r="B38" s="65" t="s">
        <v>132</v>
      </c>
      <c r="C38" s="23" t="s">
        <v>86</v>
      </c>
      <c r="D38" s="23" t="s">
        <v>87</v>
      </c>
      <c r="E38" s="56">
        <v>8000</v>
      </c>
      <c r="F38" s="25" t="s">
        <v>64</v>
      </c>
      <c r="G38" s="26" t="s">
        <v>125</v>
      </c>
      <c r="H38" s="23"/>
    </row>
    <row r="39" spans="2:8" s="18" customFormat="1" ht="115.5" customHeight="1" x14ac:dyDescent="0.25">
      <c r="B39" s="65" t="s">
        <v>132</v>
      </c>
      <c r="C39" s="23">
        <v>50700000</v>
      </c>
      <c r="D39" s="23" t="s">
        <v>13</v>
      </c>
      <c r="E39" s="56">
        <f>1600000-59200</f>
        <v>1540800</v>
      </c>
      <c r="F39" s="23" t="s">
        <v>61</v>
      </c>
      <c r="G39" s="26" t="s">
        <v>125</v>
      </c>
      <c r="H39" s="23" t="s">
        <v>99</v>
      </c>
    </row>
    <row r="40" spans="2:8" s="18" customFormat="1" ht="115.5" customHeight="1" x14ac:dyDescent="0.25">
      <c r="B40" s="65" t="s">
        <v>132</v>
      </c>
      <c r="C40" s="78">
        <v>50700000</v>
      </c>
      <c r="D40" s="78" t="s">
        <v>13</v>
      </c>
      <c r="E40" s="56">
        <f>93000-45000+20000+46148</f>
        <v>114148</v>
      </c>
      <c r="F40" s="78" t="s">
        <v>64</v>
      </c>
      <c r="G40" s="80" t="s">
        <v>125</v>
      </c>
      <c r="H40" s="78"/>
    </row>
    <row r="41" spans="2:8" s="18" customFormat="1" ht="115.5" customHeight="1" x14ac:dyDescent="0.25">
      <c r="B41" s="65" t="s">
        <v>132</v>
      </c>
      <c r="C41" s="78" t="s">
        <v>117</v>
      </c>
      <c r="D41" s="78" t="s">
        <v>118</v>
      </c>
      <c r="E41" s="56">
        <f>120000+68250</f>
        <v>188250</v>
      </c>
      <c r="F41" s="78" t="s">
        <v>64</v>
      </c>
      <c r="G41" s="80" t="s">
        <v>125</v>
      </c>
      <c r="H41" s="78"/>
    </row>
    <row r="42" spans="2:8" s="18" customFormat="1" ht="115.5" customHeight="1" x14ac:dyDescent="0.25">
      <c r="B42" s="65" t="s">
        <v>132</v>
      </c>
      <c r="C42" s="23" t="s">
        <v>111</v>
      </c>
      <c r="D42" s="23" t="s">
        <v>112</v>
      </c>
      <c r="E42" s="56">
        <v>120000</v>
      </c>
      <c r="F42" s="23" t="s">
        <v>64</v>
      </c>
      <c r="G42" s="26" t="s">
        <v>125</v>
      </c>
      <c r="H42" s="23"/>
    </row>
    <row r="43" spans="2:8" s="18" customFormat="1" ht="58.5" customHeight="1" x14ac:dyDescent="0.25">
      <c r="B43" s="65" t="s">
        <v>132</v>
      </c>
      <c r="C43" s="30">
        <v>63700000</v>
      </c>
      <c r="D43" s="23" t="s">
        <v>70</v>
      </c>
      <c r="E43" s="56">
        <v>2000</v>
      </c>
      <c r="F43" s="25" t="s">
        <v>61</v>
      </c>
      <c r="G43" s="26" t="s">
        <v>125</v>
      </c>
      <c r="H43" s="26" t="s">
        <v>85</v>
      </c>
    </row>
    <row r="44" spans="2:8" s="18" customFormat="1" ht="63.75" customHeight="1" x14ac:dyDescent="0.25">
      <c r="B44" s="65" t="s">
        <v>132</v>
      </c>
      <c r="C44" s="23" t="s">
        <v>47</v>
      </c>
      <c r="D44" s="23" t="s">
        <v>48</v>
      </c>
      <c r="E44" s="56">
        <v>6000</v>
      </c>
      <c r="F44" s="25" t="s">
        <v>64</v>
      </c>
      <c r="G44" s="26" t="s">
        <v>125</v>
      </c>
      <c r="H44" s="23"/>
    </row>
    <row r="45" spans="2:8" s="18" customFormat="1" ht="33.75" x14ac:dyDescent="0.25">
      <c r="B45" s="65" t="s">
        <v>132</v>
      </c>
      <c r="C45" s="38" t="s">
        <v>18</v>
      </c>
      <c r="D45" s="23" t="s">
        <v>46</v>
      </c>
      <c r="E45" s="56">
        <v>25000</v>
      </c>
      <c r="F45" s="25" t="s">
        <v>64</v>
      </c>
      <c r="G45" s="26" t="s">
        <v>125</v>
      </c>
      <c r="H45" s="33"/>
    </row>
    <row r="46" spans="2:8" s="18" customFormat="1" ht="56.25" x14ac:dyDescent="0.25">
      <c r="B46" s="65" t="s">
        <v>132</v>
      </c>
      <c r="C46" s="38" t="s">
        <v>18</v>
      </c>
      <c r="D46" s="23" t="s">
        <v>46</v>
      </c>
      <c r="E46" s="56">
        <v>25500</v>
      </c>
      <c r="F46" s="25" t="s">
        <v>61</v>
      </c>
      <c r="G46" s="26" t="s">
        <v>125</v>
      </c>
      <c r="H46" s="26" t="s">
        <v>96</v>
      </c>
    </row>
    <row r="47" spans="2:8" s="18" customFormat="1" ht="56.25" x14ac:dyDescent="0.25">
      <c r="B47" s="65" t="s">
        <v>132</v>
      </c>
      <c r="C47" s="77" t="s">
        <v>161</v>
      </c>
      <c r="D47" s="78" t="s">
        <v>46</v>
      </c>
      <c r="E47" s="56">
        <v>9000</v>
      </c>
      <c r="F47" s="79" t="s">
        <v>61</v>
      </c>
      <c r="G47" s="80" t="s">
        <v>152</v>
      </c>
      <c r="H47" s="80" t="s">
        <v>162</v>
      </c>
    </row>
    <row r="48" spans="2:8" s="18" customFormat="1" ht="33.75" x14ac:dyDescent="0.25">
      <c r="B48" s="65" t="s">
        <v>132</v>
      </c>
      <c r="C48" s="38" t="s">
        <v>18</v>
      </c>
      <c r="D48" s="23" t="s">
        <v>46</v>
      </c>
      <c r="E48" s="56">
        <v>24000</v>
      </c>
      <c r="F48" s="25" t="s">
        <v>60</v>
      </c>
      <c r="G48" s="26" t="s">
        <v>125</v>
      </c>
      <c r="H48" s="33"/>
    </row>
    <row r="49" spans="2:10" s="18" customFormat="1" ht="33.75" x14ac:dyDescent="0.25">
      <c r="B49" s="65" t="s">
        <v>134</v>
      </c>
      <c r="C49" s="38" t="s">
        <v>114</v>
      </c>
      <c r="D49" s="23" t="s">
        <v>113</v>
      </c>
      <c r="E49" s="56">
        <v>30000</v>
      </c>
      <c r="F49" s="25" t="s">
        <v>64</v>
      </c>
      <c r="G49" s="26" t="s">
        <v>125</v>
      </c>
      <c r="H49" s="26"/>
    </row>
    <row r="50" spans="2:10" s="18" customFormat="1" ht="33.75" x14ac:dyDescent="0.25">
      <c r="B50" s="65" t="s">
        <v>132</v>
      </c>
      <c r="C50" s="38" t="s">
        <v>55</v>
      </c>
      <c r="D50" s="23" t="s">
        <v>56</v>
      </c>
      <c r="E50" s="56">
        <v>1680</v>
      </c>
      <c r="F50" s="25" t="s">
        <v>91</v>
      </c>
      <c r="G50" s="26" t="s">
        <v>125</v>
      </c>
      <c r="H50" s="33"/>
    </row>
    <row r="51" spans="2:10" s="18" customFormat="1" ht="57" customHeight="1" x14ac:dyDescent="0.25">
      <c r="B51" s="65" t="s">
        <v>132</v>
      </c>
      <c r="C51" s="77" t="s">
        <v>17</v>
      </c>
      <c r="D51" s="78" t="s">
        <v>16</v>
      </c>
      <c r="E51" s="56">
        <f>90000+34000</f>
        <v>124000</v>
      </c>
      <c r="F51" s="79" t="s">
        <v>61</v>
      </c>
      <c r="G51" s="80" t="s">
        <v>125</v>
      </c>
      <c r="H51" s="80" t="s">
        <v>67</v>
      </c>
    </row>
    <row r="52" spans="2:10" s="18" customFormat="1" ht="65.25" customHeight="1" x14ac:dyDescent="0.25">
      <c r="B52" s="65" t="s">
        <v>132</v>
      </c>
      <c r="C52" s="77" t="s">
        <v>17</v>
      </c>
      <c r="D52" s="78" t="s">
        <v>16</v>
      </c>
      <c r="E52" s="56">
        <f>150+400+266+21+350</f>
        <v>1187</v>
      </c>
      <c r="F52" s="79" t="s">
        <v>61</v>
      </c>
      <c r="G52" s="80" t="s">
        <v>125</v>
      </c>
      <c r="H52" s="80"/>
      <c r="J52" s="20"/>
    </row>
    <row r="53" spans="2:10" s="18" customFormat="1" ht="56.25" x14ac:dyDescent="0.25">
      <c r="B53" s="65" t="s">
        <v>132</v>
      </c>
      <c r="C53" s="38" t="s">
        <v>77</v>
      </c>
      <c r="D53" s="23" t="s">
        <v>78</v>
      </c>
      <c r="E53" s="56">
        <v>3000</v>
      </c>
      <c r="F53" s="25" t="s">
        <v>61</v>
      </c>
      <c r="G53" s="26" t="s">
        <v>125</v>
      </c>
      <c r="H53" s="26" t="s">
        <v>79</v>
      </c>
    </row>
    <row r="54" spans="2:10" s="18" customFormat="1" ht="56.25" x14ac:dyDescent="0.25">
      <c r="B54" s="65" t="s">
        <v>132</v>
      </c>
      <c r="C54" s="77" t="s">
        <v>163</v>
      </c>
      <c r="D54" s="78" t="s">
        <v>164</v>
      </c>
      <c r="E54" s="56">
        <v>500</v>
      </c>
      <c r="F54" s="79" t="s">
        <v>61</v>
      </c>
      <c r="G54" s="80" t="s">
        <v>152</v>
      </c>
      <c r="H54" s="80" t="s">
        <v>79</v>
      </c>
    </row>
    <row r="55" spans="2:10" s="18" customFormat="1" ht="75" customHeight="1" x14ac:dyDescent="0.25">
      <c r="B55" s="65" t="s">
        <v>132</v>
      </c>
      <c r="C55" s="77" t="s">
        <v>25</v>
      </c>
      <c r="D55" s="78" t="s">
        <v>119</v>
      </c>
      <c r="E55" s="56">
        <v>100000</v>
      </c>
      <c r="F55" s="79" t="s">
        <v>64</v>
      </c>
      <c r="G55" s="80" t="s">
        <v>125</v>
      </c>
      <c r="H55" s="80"/>
    </row>
    <row r="56" spans="2:10" s="1" customFormat="1" ht="63.75" customHeight="1" x14ac:dyDescent="0.25">
      <c r="B56" s="104" t="s">
        <v>132</v>
      </c>
      <c r="C56" s="23" t="s">
        <v>45</v>
      </c>
      <c r="D56" s="23" t="s">
        <v>63</v>
      </c>
      <c r="E56" s="24">
        <f>6000+3850</f>
        <v>9850</v>
      </c>
      <c r="F56" s="25" t="s">
        <v>64</v>
      </c>
      <c r="G56" s="26" t="s">
        <v>125</v>
      </c>
      <c r="H56" s="26"/>
    </row>
    <row r="57" spans="2:10" s="18" customFormat="1" ht="63.75" customHeight="1" x14ac:dyDescent="0.25">
      <c r="B57" s="65" t="s">
        <v>132</v>
      </c>
      <c r="C57" s="78" t="s">
        <v>120</v>
      </c>
      <c r="D57" s="78" t="s">
        <v>121</v>
      </c>
      <c r="E57" s="56">
        <v>450</v>
      </c>
      <c r="F57" s="79" t="s">
        <v>61</v>
      </c>
      <c r="G57" s="80" t="s">
        <v>125</v>
      </c>
      <c r="H57" s="80"/>
    </row>
    <row r="58" spans="2:10" s="18" customFormat="1" ht="77.25" customHeight="1" x14ac:dyDescent="0.25">
      <c r="B58" s="65" t="s">
        <v>132</v>
      </c>
      <c r="C58" s="30">
        <v>79700000</v>
      </c>
      <c r="D58" s="23" t="s">
        <v>27</v>
      </c>
      <c r="E58" s="56">
        <v>600000</v>
      </c>
      <c r="F58" s="25" t="s">
        <v>61</v>
      </c>
      <c r="G58" s="26" t="s">
        <v>125</v>
      </c>
      <c r="H58" s="26" t="s">
        <v>80</v>
      </c>
    </row>
    <row r="59" spans="2:10" s="18" customFormat="1" ht="62.25" customHeight="1" x14ac:dyDescent="0.25">
      <c r="B59" s="65" t="s">
        <v>132</v>
      </c>
      <c r="C59" s="30">
        <v>79800000</v>
      </c>
      <c r="D59" s="23" t="s">
        <v>81</v>
      </c>
      <c r="E59" s="56">
        <v>10000</v>
      </c>
      <c r="F59" s="25" t="s">
        <v>64</v>
      </c>
      <c r="G59" s="26" t="s">
        <v>125</v>
      </c>
      <c r="H59" s="26"/>
    </row>
    <row r="60" spans="2:10" s="18" customFormat="1" ht="62.25" customHeight="1" x14ac:dyDescent="0.25">
      <c r="B60" s="65" t="s">
        <v>132</v>
      </c>
      <c r="C60" s="78" t="s">
        <v>53</v>
      </c>
      <c r="D60" s="78" t="s">
        <v>65</v>
      </c>
      <c r="E60" s="56">
        <f>20000+12000-2305</f>
        <v>29695</v>
      </c>
      <c r="F60" s="79" t="s">
        <v>61</v>
      </c>
      <c r="G60" s="80" t="s">
        <v>125</v>
      </c>
      <c r="H60" s="78" t="s">
        <v>68</v>
      </c>
    </row>
    <row r="61" spans="2:10" s="18" customFormat="1" ht="62.25" customHeight="1" x14ac:dyDescent="0.25">
      <c r="B61" s="65" t="s">
        <v>132</v>
      </c>
      <c r="C61" s="78" t="s">
        <v>53</v>
      </c>
      <c r="D61" s="78" t="s">
        <v>65</v>
      </c>
      <c r="E61" s="56">
        <v>2305</v>
      </c>
      <c r="F61" s="79" t="s">
        <v>61</v>
      </c>
      <c r="G61" s="80" t="s">
        <v>173</v>
      </c>
      <c r="H61" s="78"/>
    </row>
    <row r="62" spans="2:10" s="18" customFormat="1" ht="62.25" customHeight="1" x14ac:dyDescent="0.25">
      <c r="B62" s="65" t="s">
        <v>132</v>
      </c>
      <c r="C62" s="38" t="s">
        <v>24</v>
      </c>
      <c r="D62" s="23" t="s">
        <v>71</v>
      </c>
      <c r="E62" s="56">
        <v>12000</v>
      </c>
      <c r="F62" s="25" t="s">
        <v>64</v>
      </c>
      <c r="G62" s="26" t="s">
        <v>125</v>
      </c>
      <c r="H62" s="23"/>
    </row>
    <row r="63" spans="2:10" s="18" customFormat="1" ht="62.25" customHeight="1" x14ac:dyDescent="0.25">
      <c r="B63" s="65" t="s">
        <v>132</v>
      </c>
      <c r="C63" s="38" t="s">
        <v>122</v>
      </c>
      <c r="D63" s="23" t="s">
        <v>123</v>
      </c>
      <c r="E63" s="56">
        <v>1000</v>
      </c>
      <c r="F63" s="25" t="s">
        <v>61</v>
      </c>
      <c r="G63" s="26" t="s">
        <v>125</v>
      </c>
      <c r="H63" s="23"/>
    </row>
    <row r="64" spans="2:10" s="18" customFormat="1" ht="60.75" customHeight="1" x14ac:dyDescent="0.25">
      <c r="B64" s="65" t="s">
        <v>132</v>
      </c>
      <c r="C64" s="78" t="s">
        <v>82</v>
      </c>
      <c r="D64" s="78" t="s">
        <v>83</v>
      </c>
      <c r="E64" s="56">
        <v>10000</v>
      </c>
      <c r="F64" s="79" t="s">
        <v>61</v>
      </c>
      <c r="G64" s="80" t="s">
        <v>125</v>
      </c>
      <c r="H64" s="80" t="s">
        <v>79</v>
      </c>
    </row>
    <row r="65" spans="2:13" s="18" customFormat="1" ht="36.75" customHeight="1" x14ac:dyDescent="0.25">
      <c r="B65" s="65" t="s">
        <v>132</v>
      </c>
      <c r="C65" s="78" t="s">
        <v>12</v>
      </c>
      <c r="D65" s="78" t="s">
        <v>19</v>
      </c>
      <c r="E65" s="56">
        <f>80000+110000</f>
        <v>190000</v>
      </c>
      <c r="F65" s="79" t="s">
        <v>64</v>
      </c>
      <c r="G65" s="80" t="s">
        <v>125</v>
      </c>
      <c r="H65" s="81"/>
    </row>
    <row r="66" spans="2:13" s="18" customFormat="1" ht="54.75" customHeight="1" x14ac:dyDescent="0.25">
      <c r="B66" s="65" t="s">
        <v>132</v>
      </c>
      <c r="C66" s="78" t="s">
        <v>115</v>
      </c>
      <c r="D66" s="78" t="s">
        <v>116</v>
      </c>
      <c r="E66" s="56">
        <v>15000</v>
      </c>
      <c r="F66" s="79" t="s">
        <v>61</v>
      </c>
      <c r="G66" s="80" t="s">
        <v>125</v>
      </c>
      <c r="H66" s="80" t="s">
        <v>79</v>
      </c>
    </row>
    <row r="67" spans="2:13" s="18" customFormat="1" ht="54.75" customHeight="1" x14ac:dyDescent="0.25">
      <c r="B67" s="108" t="s">
        <v>132</v>
      </c>
      <c r="C67" s="78" t="s">
        <v>165</v>
      </c>
      <c r="D67" s="78" t="s">
        <v>166</v>
      </c>
      <c r="E67" s="56">
        <v>4900</v>
      </c>
      <c r="F67" s="79" t="s">
        <v>61</v>
      </c>
      <c r="G67" s="80" t="s">
        <v>152</v>
      </c>
      <c r="H67" s="80" t="s">
        <v>79</v>
      </c>
    </row>
    <row r="68" spans="2:13" s="1" customFormat="1" ht="75" customHeight="1" x14ac:dyDescent="0.25">
      <c r="B68" s="126" t="s">
        <v>135</v>
      </c>
      <c r="C68" s="127"/>
      <c r="D68" s="127"/>
      <c r="E68" s="16">
        <f>SUM(E69:E72)</f>
        <v>1710000</v>
      </c>
      <c r="F68" s="13"/>
      <c r="G68" s="14"/>
      <c r="H68" s="10"/>
      <c r="I68" s="61"/>
      <c r="J68" s="62"/>
    </row>
    <row r="69" spans="2:13" s="1" customFormat="1" ht="59.25" customHeight="1" x14ac:dyDescent="0.25">
      <c r="B69" s="104" t="s">
        <v>132</v>
      </c>
      <c r="C69" s="23" t="s">
        <v>24</v>
      </c>
      <c r="D69" s="23" t="s">
        <v>71</v>
      </c>
      <c r="E69" s="24">
        <f>1710000-142500-E71-E70</f>
        <v>1314302.3999999999</v>
      </c>
      <c r="F69" s="25" t="s">
        <v>64</v>
      </c>
      <c r="G69" s="26" t="s">
        <v>125</v>
      </c>
      <c r="H69" s="41"/>
      <c r="J69" s="62"/>
    </row>
    <row r="70" spans="2:13" s="1" customFormat="1" ht="67.5" x14ac:dyDescent="0.25">
      <c r="B70" s="104" t="s">
        <v>132</v>
      </c>
      <c r="C70" s="23" t="s">
        <v>103</v>
      </c>
      <c r="D70" s="23" t="s">
        <v>71</v>
      </c>
      <c r="E70" s="24">
        <v>33000</v>
      </c>
      <c r="F70" s="25" t="s">
        <v>61</v>
      </c>
      <c r="G70" s="26" t="s">
        <v>151</v>
      </c>
      <c r="H70" s="48" t="s">
        <v>98</v>
      </c>
      <c r="J70" s="62"/>
    </row>
    <row r="71" spans="2:13" s="1" customFormat="1" ht="67.5" x14ac:dyDescent="0.25">
      <c r="B71" s="104" t="s">
        <v>132</v>
      </c>
      <c r="C71" s="23" t="s">
        <v>103</v>
      </c>
      <c r="D71" s="23" t="s">
        <v>71</v>
      </c>
      <c r="E71" s="24">
        <v>220197.6</v>
      </c>
      <c r="F71" s="25" t="s">
        <v>61</v>
      </c>
      <c r="G71" s="26" t="s">
        <v>150</v>
      </c>
      <c r="H71" s="48" t="s">
        <v>98</v>
      </c>
    </row>
    <row r="72" spans="2:13" s="1" customFormat="1" ht="98.25" customHeight="1" x14ac:dyDescent="0.25">
      <c r="B72" s="104" t="s">
        <v>132</v>
      </c>
      <c r="C72" s="23" t="s">
        <v>24</v>
      </c>
      <c r="D72" s="23" t="s">
        <v>71</v>
      </c>
      <c r="E72" s="24">
        <v>142500</v>
      </c>
      <c r="F72" s="25" t="s">
        <v>61</v>
      </c>
      <c r="G72" s="26" t="s">
        <v>125</v>
      </c>
      <c r="H72" s="48" t="s">
        <v>128</v>
      </c>
      <c r="J72" s="62"/>
    </row>
    <row r="73" spans="2:13" s="1" customFormat="1" ht="31.5" customHeight="1" x14ac:dyDescent="0.25">
      <c r="B73" s="126" t="s">
        <v>136</v>
      </c>
      <c r="C73" s="127"/>
      <c r="D73" s="127"/>
      <c r="E73" s="16">
        <f>SUM(E74:E78)</f>
        <v>22370000</v>
      </c>
      <c r="F73" s="13"/>
      <c r="G73" s="9"/>
      <c r="H73" s="10"/>
      <c r="I73" s="61"/>
      <c r="J73" s="62"/>
    </row>
    <row r="74" spans="2:13" s="1" customFormat="1" ht="75.75" customHeight="1" x14ac:dyDescent="0.25">
      <c r="B74" s="104" t="s">
        <v>132</v>
      </c>
      <c r="C74" s="23" t="s">
        <v>7</v>
      </c>
      <c r="D74" s="23" t="s">
        <v>57</v>
      </c>
      <c r="E74" s="24">
        <f>3750000+400000</f>
        <v>4150000</v>
      </c>
      <c r="F74" s="25" t="s">
        <v>61</v>
      </c>
      <c r="G74" s="26" t="s">
        <v>125</v>
      </c>
      <c r="H74" s="48" t="s">
        <v>97</v>
      </c>
    </row>
    <row r="75" spans="2:13" s="1" customFormat="1" ht="75.75" customHeight="1" x14ac:dyDescent="0.25">
      <c r="B75" s="66" t="s">
        <v>133</v>
      </c>
      <c r="C75" s="23" t="s">
        <v>7</v>
      </c>
      <c r="D75" s="23" t="s">
        <v>57</v>
      </c>
      <c r="E75" s="24">
        <v>100000</v>
      </c>
      <c r="F75" s="25" t="s">
        <v>61</v>
      </c>
      <c r="G75" s="26" t="s">
        <v>125</v>
      </c>
      <c r="H75" s="48" t="s">
        <v>97</v>
      </c>
    </row>
    <row r="76" spans="2:13" s="1" customFormat="1" ht="121.5" customHeight="1" x14ac:dyDescent="0.25">
      <c r="B76" s="104" t="s">
        <v>132</v>
      </c>
      <c r="C76" s="23">
        <v>33600000</v>
      </c>
      <c r="D76" s="23" t="s">
        <v>29</v>
      </c>
      <c r="E76" s="24">
        <f>1440000+270000-22680</f>
        <v>1687320</v>
      </c>
      <c r="F76" s="25" t="s">
        <v>64</v>
      </c>
      <c r="G76" s="26" t="s">
        <v>125</v>
      </c>
      <c r="H76" s="41"/>
      <c r="J76" s="62"/>
      <c r="L76" s="62"/>
      <c r="M76" s="62"/>
    </row>
    <row r="77" spans="2:13" s="1" customFormat="1" ht="121.5" customHeight="1" x14ac:dyDescent="0.25">
      <c r="B77" s="104" t="s">
        <v>132</v>
      </c>
      <c r="C77" s="23" t="s">
        <v>32</v>
      </c>
      <c r="D77" s="23" t="s">
        <v>29</v>
      </c>
      <c r="E77" s="24">
        <v>22680</v>
      </c>
      <c r="F77" s="25" t="s">
        <v>61</v>
      </c>
      <c r="G77" s="26" t="s">
        <v>150</v>
      </c>
      <c r="H77" s="48" t="s">
        <v>157</v>
      </c>
      <c r="J77" s="62"/>
      <c r="L77" s="62"/>
      <c r="M77" s="62"/>
    </row>
    <row r="78" spans="2:13" s="1" customFormat="1" ht="87.75" customHeight="1" x14ac:dyDescent="0.25">
      <c r="B78" s="104" t="s">
        <v>132</v>
      </c>
      <c r="C78" s="23" t="s">
        <v>32</v>
      </c>
      <c r="D78" s="23" t="s">
        <v>29</v>
      </c>
      <c r="E78" s="24">
        <v>16410000</v>
      </c>
      <c r="F78" s="25" t="s">
        <v>61</v>
      </c>
      <c r="G78" s="26" t="s">
        <v>125</v>
      </c>
      <c r="H78" s="48" t="s">
        <v>98</v>
      </c>
      <c r="J78" s="62"/>
      <c r="K78" s="62"/>
    </row>
    <row r="79" spans="2:13" s="1" customFormat="1" ht="60" customHeight="1" x14ac:dyDescent="0.25">
      <c r="B79" s="126" t="s">
        <v>137</v>
      </c>
      <c r="C79" s="127"/>
      <c r="D79" s="127"/>
      <c r="E79" s="16">
        <f>SUM(E80:E84)</f>
        <v>1700000</v>
      </c>
      <c r="F79" s="13"/>
      <c r="G79" s="14"/>
      <c r="H79" s="10"/>
      <c r="I79" s="61"/>
      <c r="J79" s="105"/>
    </row>
    <row r="80" spans="2:13" s="1" customFormat="1" ht="36.75" customHeight="1" x14ac:dyDescent="0.25">
      <c r="B80" s="104" t="s">
        <v>132</v>
      </c>
      <c r="C80" s="23" t="s">
        <v>7</v>
      </c>
      <c r="D80" s="23" t="s">
        <v>28</v>
      </c>
      <c r="E80" s="24">
        <v>42272.9</v>
      </c>
      <c r="F80" s="25" t="s">
        <v>64</v>
      </c>
      <c r="G80" s="26" t="s">
        <v>125</v>
      </c>
      <c r="H80" s="41"/>
    </row>
    <row r="81" spans="2:11" s="1" customFormat="1" ht="51" customHeight="1" x14ac:dyDescent="0.25">
      <c r="B81" s="104" t="s">
        <v>132</v>
      </c>
      <c r="C81" s="23" t="s">
        <v>32</v>
      </c>
      <c r="D81" s="23" t="s">
        <v>29</v>
      </c>
      <c r="E81" s="24">
        <v>60607.14</v>
      </c>
      <c r="F81" s="25" t="s">
        <v>64</v>
      </c>
      <c r="G81" s="26" t="s">
        <v>125</v>
      </c>
      <c r="H81" s="41"/>
      <c r="J81" s="62"/>
    </row>
    <row r="82" spans="2:11" s="1" customFormat="1" ht="45" customHeight="1" x14ac:dyDescent="0.25">
      <c r="B82" s="104" t="s">
        <v>132</v>
      </c>
      <c r="C82" s="23" t="s">
        <v>89</v>
      </c>
      <c r="D82" s="23" t="s">
        <v>90</v>
      </c>
      <c r="E82" s="24">
        <v>798000</v>
      </c>
      <c r="F82" s="25" t="s">
        <v>64</v>
      </c>
      <c r="G82" s="26" t="s">
        <v>125</v>
      </c>
      <c r="H82" s="48"/>
    </row>
    <row r="83" spans="2:11" s="1" customFormat="1" ht="78.75" x14ac:dyDescent="0.25">
      <c r="B83" s="104" t="s">
        <v>132</v>
      </c>
      <c r="C83" s="23" t="s">
        <v>24</v>
      </c>
      <c r="D83" s="23" t="s">
        <v>71</v>
      </c>
      <c r="E83" s="24">
        <v>69239.960000000006</v>
      </c>
      <c r="F83" s="25" t="s">
        <v>61</v>
      </c>
      <c r="G83" s="26" t="s">
        <v>125</v>
      </c>
      <c r="H83" s="48" t="s">
        <v>129</v>
      </c>
      <c r="J83" s="62"/>
    </row>
    <row r="84" spans="2:11" s="1" customFormat="1" ht="67.5" x14ac:dyDescent="0.25">
      <c r="B84" s="104" t="s">
        <v>132</v>
      </c>
      <c r="C84" s="23" t="s">
        <v>24</v>
      </c>
      <c r="D84" s="23" t="s">
        <v>71</v>
      </c>
      <c r="E84" s="24">
        <v>729880</v>
      </c>
      <c r="F84" s="25" t="s">
        <v>61</v>
      </c>
      <c r="G84" s="26" t="s">
        <v>152</v>
      </c>
      <c r="H84" s="48" t="s">
        <v>98</v>
      </c>
    </row>
    <row r="85" spans="2:11" s="1" customFormat="1" ht="65.25" customHeight="1" x14ac:dyDescent="0.25">
      <c r="B85" s="126" t="s">
        <v>138</v>
      </c>
      <c r="C85" s="127"/>
      <c r="D85" s="127"/>
      <c r="E85" s="16">
        <f>SUM(E86:E88)</f>
        <v>1753700.5</v>
      </c>
      <c r="F85" s="13"/>
      <c r="G85" s="14"/>
      <c r="H85" s="10"/>
      <c r="I85" s="61"/>
      <c r="J85" s="62"/>
    </row>
    <row r="86" spans="2:11" s="1" customFormat="1" ht="33.75" x14ac:dyDescent="0.25">
      <c r="B86" s="104" t="s">
        <v>132</v>
      </c>
      <c r="C86" s="36" t="s">
        <v>25</v>
      </c>
      <c r="D86" s="36" t="s">
        <v>69</v>
      </c>
      <c r="E86" s="24">
        <v>55000</v>
      </c>
      <c r="F86" s="43" t="s">
        <v>64</v>
      </c>
      <c r="G86" s="26" t="s">
        <v>125</v>
      </c>
      <c r="H86" s="44"/>
    </row>
    <row r="87" spans="2:11" s="1" customFormat="1" ht="78.75" x14ac:dyDescent="0.25">
      <c r="B87" s="104" t="s">
        <v>132</v>
      </c>
      <c r="C87" s="23">
        <v>85100000</v>
      </c>
      <c r="D87" s="23" t="s">
        <v>71</v>
      </c>
      <c r="E87" s="24">
        <v>127500.5</v>
      </c>
      <c r="F87" s="25" t="s">
        <v>61</v>
      </c>
      <c r="G87" s="26" t="s">
        <v>125</v>
      </c>
      <c r="H87" s="45" t="s">
        <v>124</v>
      </c>
    </row>
    <row r="88" spans="2:11" s="1" customFormat="1" ht="60.75" customHeight="1" x14ac:dyDescent="0.25">
      <c r="B88" s="104" t="s">
        <v>132</v>
      </c>
      <c r="C88" s="23">
        <v>85100000</v>
      </c>
      <c r="D88" s="23" t="s">
        <v>71</v>
      </c>
      <c r="E88" s="24">
        <f>1460000+111200</f>
        <v>1571200</v>
      </c>
      <c r="F88" s="25" t="s">
        <v>61</v>
      </c>
      <c r="G88" s="26" t="s">
        <v>125</v>
      </c>
      <c r="H88" s="48" t="s">
        <v>98</v>
      </c>
      <c r="K88" s="62"/>
    </row>
    <row r="89" spans="2:11" s="1" customFormat="1" ht="61.5" customHeight="1" x14ac:dyDescent="0.25">
      <c r="B89" s="126" t="s">
        <v>139</v>
      </c>
      <c r="C89" s="127"/>
      <c r="D89" s="127"/>
      <c r="E89" s="16">
        <f>SUM(E90:E91)</f>
        <v>184166.6</v>
      </c>
      <c r="F89" s="13"/>
      <c r="G89" s="14"/>
      <c r="H89" s="10"/>
      <c r="I89" s="61"/>
      <c r="J89" s="62"/>
    </row>
    <row r="90" spans="2:11" s="18" customFormat="1" ht="70.5" customHeight="1" x14ac:dyDescent="0.25">
      <c r="B90" s="65" t="s">
        <v>132</v>
      </c>
      <c r="C90" s="23" t="s">
        <v>24</v>
      </c>
      <c r="D90" s="23" t="s">
        <v>71</v>
      </c>
      <c r="E90" s="56">
        <v>14166.6</v>
      </c>
      <c r="F90" s="25" t="s">
        <v>61</v>
      </c>
      <c r="G90" s="26" t="s">
        <v>125</v>
      </c>
      <c r="H90" s="48" t="s">
        <v>76</v>
      </c>
    </row>
    <row r="91" spans="2:11" s="1" customFormat="1" ht="75" customHeight="1" x14ac:dyDescent="0.25">
      <c r="B91" s="104" t="s">
        <v>132</v>
      </c>
      <c r="C91" s="23" t="s">
        <v>24</v>
      </c>
      <c r="D91" s="23" t="s">
        <v>71</v>
      </c>
      <c r="E91" s="24">
        <v>170000</v>
      </c>
      <c r="F91" s="25" t="s">
        <v>61</v>
      </c>
      <c r="G91" s="26" t="s">
        <v>125</v>
      </c>
      <c r="H91" s="48" t="s">
        <v>98</v>
      </c>
    </row>
    <row r="92" spans="2:11" s="1" customFormat="1" ht="65.25" customHeight="1" x14ac:dyDescent="0.25">
      <c r="B92" s="121" t="s">
        <v>140</v>
      </c>
      <c r="C92" s="122"/>
      <c r="D92" s="122"/>
      <c r="E92" s="16">
        <f>SUM(E93:E97)</f>
        <v>1090000</v>
      </c>
      <c r="F92" s="13"/>
      <c r="G92" s="14"/>
      <c r="H92" s="60"/>
      <c r="I92" s="61"/>
      <c r="J92" s="62"/>
    </row>
    <row r="93" spans="2:11" s="1" customFormat="1" ht="49.5" customHeight="1" x14ac:dyDescent="0.25">
      <c r="B93" s="104" t="s">
        <v>132</v>
      </c>
      <c r="C93" s="23" t="s">
        <v>14</v>
      </c>
      <c r="D93" s="23" t="s">
        <v>15</v>
      </c>
      <c r="E93" s="24">
        <v>24200</v>
      </c>
      <c r="F93" s="25" t="s">
        <v>60</v>
      </c>
      <c r="G93" s="26" t="s">
        <v>125</v>
      </c>
      <c r="H93" s="41"/>
    </row>
    <row r="94" spans="2:11" s="1" customFormat="1" ht="33.75" x14ac:dyDescent="0.25">
      <c r="B94" s="104" t="s">
        <v>132</v>
      </c>
      <c r="C94" s="28">
        <v>33100000</v>
      </c>
      <c r="D94" s="28" t="s">
        <v>28</v>
      </c>
      <c r="E94" s="24">
        <f>240004-87983</f>
        <v>152021</v>
      </c>
      <c r="F94" s="29" t="s">
        <v>64</v>
      </c>
      <c r="G94" s="26" t="s">
        <v>125</v>
      </c>
      <c r="H94" s="46"/>
    </row>
    <row r="95" spans="2:11" s="1" customFormat="1" ht="60.75" customHeight="1" x14ac:dyDescent="0.25">
      <c r="B95" s="104" t="s">
        <v>132</v>
      </c>
      <c r="C95" s="23" t="s">
        <v>59</v>
      </c>
      <c r="D95" s="23" t="s">
        <v>44</v>
      </c>
      <c r="E95" s="24">
        <v>15000</v>
      </c>
      <c r="F95" s="25" t="s">
        <v>64</v>
      </c>
      <c r="G95" s="26" t="s">
        <v>125</v>
      </c>
      <c r="H95" s="41"/>
    </row>
    <row r="96" spans="2:11" s="1" customFormat="1" ht="75" customHeight="1" x14ac:dyDescent="0.25">
      <c r="B96" s="104" t="s">
        <v>132</v>
      </c>
      <c r="C96" s="23">
        <v>85100000</v>
      </c>
      <c r="D96" s="23" t="s">
        <v>71</v>
      </c>
      <c r="E96" s="24">
        <v>48983</v>
      </c>
      <c r="F96" s="25" t="s">
        <v>61</v>
      </c>
      <c r="G96" s="26" t="s">
        <v>125</v>
      </c>
      <c r="H96" s="48" t="s">
        <v>126</v>
      </c>
      <c r="J96" s="62"/>
    </row>
    <row r="97" spans="2:11" s="18" customFormat="1" ht="65.25" customHeight="1" x14ac:dyDescent="0.25">
      <c r="B97" s="65" t="s">
        <v>132</v>
      </c>
      <c r="C97" s="78">
        <v>85100000</v>
      </c>
      <c r="D97" s="78" t="s">
        <v>71</v>
      </c>
      <c r="E97" s="56">
        <f>1071996+37800-260000</f>
        <v>849796</v>
      </c>
      <c r="F97" s="79" t="s">
        <v>61</v>
      </c>
      <c r="G97" s="80" t="s">
        <v>125</v>
      </c>
      <c r="H97" s="111" t="s">
        <v>98</v>
      </c>
    </row>
    <row r="98" spans="2:11" s="1" customFormat="1" ht="80.25" customHeight="1" x14ac:dyDescent="0.25">
      <c r="B98" s="126" t="s">
        <v>141</v>
      </c>
      <c r="C98" s="127"/>
      <c r="D98" s="127"/>
      <c r="E98" s="16">
        <f>SUM(E99:E99)</f>
        <v>1250000</v>
      </c>
      <c r="F98" s="13"/>
      <c r="G98" s="14"/>
      <c r="H98" s="10"/>
      <c r="I98" s="61"/>
      <c r="J98" s="62"/>
    </row>
    <row r="99" spans="2:11" s="1" customFormat="1" ht="84.75" customHeight="1" x14ac:dyDescent="0.25">
      <c r="B99" s="104" t="s">
        <v>132</v>
      </c>
      <c r="C99" s="23" t="s">
        <v>32</v>
      </c>
      <c r="D99" s="23" t="s">
        <v>29</v>
      </c>
      <c r="E99" s="24">
        <v>1250000</v>
      </c>
      <c r="F99" s="25" t="s">
        <v>61</v>
      </c>
      <c r="G99" s="26" t="s">
        <v>125</v>
      </c>
      <c r="H99" s="48" t="s">
        <v>98</v>
      </c>
    </row>
    <row r="100" spans="2:11" s="1" customFormat="1" ht="57.75" customHeight="1" x14ac:dyDescent="0.25">
      <c r="B100" s="119" t="s">
        <v>142</v>
      </c>
      <c r="C100" s="120"/>
      <c r="D100" s="120"/>
      <c r="E100" s="57">
        <f>SUM(E101:E104)</f>
        <v>4000000</v>
      </c>
      <c r="F100" s="58"/>
      <c r="G100" s="58"/>
      <c r="H100" s="59"/>
      <c r="I100" s="61"/>
      <c r="J100" s="62"/>
    </row>
    <row r="101" spans="2:11" s="18" customFormat="1" ht="29.25" customHeight="1" x14ac:dyDescent="0.25">
      <c r="B101" s="65" t="s">
        <v>132</v>
      </c>
      <c r="C101" s="38">
        <v>33100000</v>
      </c>
      <c r="D101" s="23" t="s">
        <v>8</v>
      </c>
      <c r="E101" s="56">
        <v>124876.2</v>
      </c>
      <c r="F101" s="25" t="s">
        <v>64</v>
      </c>
      <c r="G101" s="26" t="s">
        <v>125</v>
      </c>
      <c r="H101" s="26"/>
    </row>
    <row r="102" spans="2:11" s="1" customFormat="1" ht="33.75" x14ac:dyDescent="0.25">
      <c r="B102" s="104" t="s">
        <v>132</v>
      </c>
      <c r="C102" s="38" t="s">
        <v>32</v>
      </c>
      <c r="D102" s="23" t="s">
        <v>9</v>
      </c>
      <c r="E102" s="24">
        <f>2995349.4-3495.8-99984.41</f>
        <v>2891869.19</v>
      </c>
      <c r="F102" s="25" t="s">
        <v>64</v>
      </c>
      <c r="G102" s="26" t="s">
        <v>125</v>
      </c>
      <c r="H102" s="26"/>
    </row>
    <row r="103" spans="2:11" s="1" customFormat="1" ht="67.5" x14ac:dyDescent="0.25">
      <c r="B103" s="104" t="s">
        <v>132</v>
      </c>
      <c r="C103" s="38" t="s">
        <v>24</v>
      </c>
      <c r="D103" s="23" t="s">
        <v>71</v>
      </c>
      <c r="E103" s="24">
        <v>73605.850000000006</v>
      </c>
      <c r="F103" s="25" t="s">
        <v>61</v>
      </c>
      <c r="G103" s="26" t="s">
        <v>125</v>
      </c>
      <c r="H103" s="45" t="s">
        <v>127</v>
      </c>
    </row>
    <row r="104" spans="2:11" s="1" customFormat="1" ht="83.25" customHeight="1" x14ac:dyDescent="0.25">
      <c r="B104" s="104" t="s">
        <v>132</v>
      </c>
      <c r="C104" s="23" t="s">
        <v>24</v>
      </c>
      <c r="D104" s="23" t="s">
        <v>71</v>
      </c>
      <c r="E104" s="24">
        <v>909648.76</v>
      </c>
      <c r="F104" s="25" t="s">
        <v>61</v>
      </c>
      <c r="G104" s="26" t="s">
        <v>152</v>
      </c>
      <c r="H104" s="32" t="s">
        <v>98</v>
      </c>
    </row>
    <row r="105" spans="2:11" ht="122.25" customHeight="1" x14ac:dyDescent="0.25">
      <c r="B105" s="126" t="s">
        <v>143</v>
      </c>
      <c r="C105" s="127"/>
      <c r="D105" s="127"/>
      <c r="E105" s="16">
        <f>SUM(E106)</f>
        <v>2190000</v>
      </c>
      <c r="F105" s="13"/>
      <c r="G105" s="14"/>
      <c r="H105" s="10"/>
      <c r="I105" s="61"/>
      <c r="J105" s="63">
        <f>E100-4000000</f>
        <v>0</v>
      </c>
    </row>
    <row r="106" spans="2:11" s="1" customFormat="1" ht="117.75" customHeight="1" x14ac:dyDescent="0.25">
      <c r="B106" s="104" t="s">
        <v>132</v>
      </c>
      <c r="C106" s="23" t="s">
        <v>32</v>
      </c>
      <c r="D106" s="23" t="s">
        <v>29</v>
      </c>
      <c r="E106" s="24">
        <v>2190000</v>
      </c>
      <c r="F106" s="25" t="s">
        <v>61</v>
      </c>
      <c r="G106" s="26" t="s">
        <v>152</v>
      </c>
      <c r="H106" s="48" t="s">
        <v>98</v>
      </c>
    </row>
    <row r="107" spans="2:11" s="1" customFormat="1" ht="57" customHeight="1" x14ac:dyDescent="0.25">
      <c r="B107" s="121" t="s">
        <v>144</v>
      </c>
      <c r="C107" s="122"/>
      <c r="D107" s="122"/>
      <c r="E107" s="16">
        <f>SUM(E108:E112)</f>
        <v>474000</v>
      </c>
      <c r="F107" s="13"/>
      <c r="G107" s="60"/>
      <c r="H107" s="60"/>
      <c r="I107" s="61"/>
      <c r="J107" s="62"/>
    </row>
    <row r="108" spans="2:11" s="1" customFormat="1" ht="59.25" customHeight="1" x14ac:dyDescent="0.25">
      <c r="B108" s="104" t="s">
        <v>148</v>
      </c>
      <c r="C108" s="23">
        <v>33100000</v>
      </c>
      <c r="D108" s="23" t="s">
        <v>28</v>
      </c>
      <c r="E108" s="24">
        <f>20000+14559.87+22385.83</f>
        <v>56945.700000000004</v>
      </c>
      <c r="F108" s="25" t="s">
        <v>64</v>
      </c>
      <c r="G108" s="26" t="s">
        <v>125</v>
      </c>
      <c r="H108" s="41"/>
    </row>
    <row r="109" spans="2:11" s="1" customFormat="1" ht="38.25" x14ac:dyDescent="0.25">
      <c r="B109" s="104" t="s">
        <v>148</v>
      </c>
      <c r="C109" s="36">
        <v>33600000</v>
      </c>
      <c r="D109" s="36" t="s">
        <v>29</v>
      </c>
      <c r="E109" s="24">
        <f>266824.3+68000-17770</f>
        <v>317054.3</v>
      </c>
      <c r="F109" s="43" t="s">
        <v>64</v>
      </c>
      <c r="G109" s="26" t="s">
        <v>125</v>
      </c>
      <c r="H109" s="44"/>
    </row>
    <row r="110" spans="2:11" s="1" customFormat="1" ht="78.75" x14ac:dyDescent="0.25">
      <c r="B110" s="104" t="s">
        <v>132</v>
      </c>
      <c r="C110" s="38" t="s">
        <v>103</v>
      </c>
      <c r="D110" s="23" t="s">
        <v>71</v>
      </c>
      <c r="E110" s="24">
        <v>6870</v>
      </c>
      <c r="F110" s="25" t="s">
        <v>61</v>
      </c>
      <c r="G110" s="26" t="s">
        <v>125</v>
      </c>
      <c r="H110" s="45" t="s">
        <v>130</v>
      </c>
    </row>
    <row r="111" spans="2:11" s="1" customFormat="1" ht="67.5" x14ac:dyDescent="0.25">
      <c r="B111" s="104" t="s">
        <v>132</v>
      </c>
      <c r="C111" s="38" t="s">
        <v>103</v>
      </c>
      <c r="D111" s="23" t="s">
        <v>71</v>
      </c>
      <c r="E111" s="24">
        <f>13740+6870</f>
        <v>20610</v>
      </c>
      <c r="F111" s="25" t="s">
        <v>61</v>
      </c>
      <c r="G111" s="26" t="s">
        <v>152</v>
      </c>
      <c r="H111" s="48" t="s">
        <v>98</v>
      </c>
      <c r="J111" s="62"/>
      <c r="K111" s="62"/>
    </row>
    <row r="112" spans="2:11" s="1" customFormat="1" ht="51" customHeight="1" x14ac:dyDescent="0.25">
      <c r="B112" s="104" t="s">
        <v>132</v>
      </c>
      <c r="C112" s="38" t="s">
        <v>24</v>
      </c>
      <c r="D112" s="23" t="s">
        <v>71</v>
      </c>
      <c r="E112" s="24">
        <v>72520</v>
      </c>
      <c r="F112" s="25" t="s">
        <v>64</v>
      </c>
      <c r="G112" s="26" t="s">
        <v>153</v>
      </c>
      <c r="H112" s="45"/>
      <c r="J112" s="62"/>
      <c r="K112" s="62"/>
    </row>
    <row r="113" spans="2:10" ht="59.25" customHeight="1" x14ac:dyDescent="0.25">
      <c r="B113" s="126" t="s">
        <v>145</v>
      </c>
      <c r="C113" s="127"/>
      <c r="D113" s="127"/>
      <c r="E113" s="16">
        <f>SUM(E114:E116)</f>
        <v>2100000</v>
      </c>
      <c r="F113" s="13"/>
      <c r="G113" s="14"/>
      <c r="H113" s="10"/>
      <c r="I113" s="61"/>
      <c r="J113" s="63"/>
    </row>
    <row r="114" spans="2:10" s="18" customFormat="1" ht="42.75" customHeight="1" x14ac:dyDescent="0.25">
      <c r="B114" s="65" t="s">
        <v>132</v>
      </c>
      <c r="C114" s="23" t="s">
        <v>25</v>
      </c>
      <c r="D114" s="23" t="s">
        <v>69</v>
      </c>
      <c r="E114" s="56">
        <f>2100000-115976</f>
        <v>1984024</v>
      </c>
      <c r="F114" s="25" t="s">
        <v>64</v>
      </c>
      <c r="G114" s="26" t="s">
        <v>125</v>
      </c>
      <c r="H114" s="53"/>
    </row>
    <row r="115" spans="2:10" s="1" customFormat="1" ht="42.75" customHeight="1" x14ac:dyDescent="0.25">
      <c r="B115" s="104" t="s">
        <v>132</v>
      </c>
      <c r="C115" s="23" t="s">
        <v>156</v>
      </c>
      <c r="D115" s="23" t="s">
        <v>69</v>
      </c>
      <c r="E115" s="24">
        <f>5976</f>
        <v>5976</v>
      </c>
      <c r="F115" s="25" t="s">
        <v>61</v>
      </c>
      <c r="G115" s="26" t="s">
        <v>152</v>
      </c>
      <c r="H115" s="48" t="s">
        <v>98</v>
      </c>
    </row>
    <row r="116" spans="2:10" s="1" customFormat="1" ht="80.25" customHeight="1" x14ac:dyDescent="0.25">
      <c r="B116" s="104" t="s">
        <v>132</v>
      </c>
      <c r="C116" s="23" t="s">
        <v>154</v>
      </c>
      <c r="D116" s="23" t="s">
        <v>155</v>
      </c>
      <c r="E116" s="24">
        <f>115976-5976</f>
        <v>110000</v>
      </c>
      <c r="F116" s="25" t="s">
        <v>61</v>
      </c>
      <c r="G116" s="26" t="s">
        <v>152</v>
      </c>
      <c r="H116" s="48" t="s">
        <v>98</v>
      </c>
    </row>
    <row r="117" spans="2:10" ht="70.5" customHeight="1" x14ac:dyDescent="0.25">
      <c r="B117" s="126" t="s">
        <v>146</v>
      </c>
      <c r="C117" s="127"/>
      <c r="D117" s="127"/>
      <c r="E117" s="16">
        <f>SUM(E118:E120)</f>
        <v>442800</v>
      </c>
      <c r="F117" s="13"/>
      <c r="G117" s="14"/>
      <c r="H117" s="10"/>
      <c r="I117" s="61"/>
      <c r="J117" s="63"/>
    </row>
    <row r="118" spans="2:10" s="18" customFormat="1" ht="33.75" x14ac:dyDescent="0.25">
      <c r="B118" s="65" t="s">
        <v>132</v>
      </c>
      <c r="C118" s="99" t="s">
        <v>32</v>
      </c>
      <c r="D118" s="99" t="s">
        <v>29</v>
      </c>
      <c r="E118" s="56">
        <f>264000-4020</f>
        <v>259980</v>
      </c>
      <c r="F118" s="100" t="s">
        <v>64</v>
      </c>
      <c r="G118" s="80" t="s">
        <v>125</v>
      </c>
      <c r="H118" s="101"/>
    </row>
    <row r="119" spans="2:10" s="18" customFormat="1" ht="33.75" x14ac:dyDescent="0.25">
      <c r="B119" s="65" t="s">
        <v>132</v>
      </c>
      <c r="C119" s="28" t="s">
        <v>7</v>
      </c>
      <c r="D119" s="28" t="s">
        <v>28</v>
      </c>
      <c r="E119" s="24">
        <v>132000</v>
      </c>
      <c r="F119" s="29" t="s">
        <v>64</v>
      </c>
      <c r="G119" s="26" t="s">
        <v>125</v>
      </c>
      <c r="H119" s="55"/>
    </row>
    <row r="120" spans="2:10" s="1" customFormat="1" ht="33.75" x14ac:dyDescent="0.25">
      <c r="B120" s="104" t="s">
        <v>132</v>
      </c>
      <c r="C120" s="23" t="s">
        <v>14</v>
      </c>
      <c r="D120" s="23" t="s">
        <v>40</v>
      </c>
      <c r="E120" s="24">
        <f>4020+46800</f>
        <v>50820</v>
      </c>
      <c r="F120" s="25" t="s">
        <v>60</v>
      </c>
      <c r="G120" s="26" t="s">
        <v>125</v>
      </c>
      <c r="H120" s="23"/>
    </row>
  </sheetData>
  <autoFilter ref="A8:H120"/>
  <mergeCells count="20">
    <mergeCell ref="B113:D113"/>
    <mergeCell ref="B117:D117"/>
    <mergeCell ref="B89:D89"/>
    <mergeCell ref="B92:D92"/>
    <mergeCell ref="B98:D98"/>
    <mergeCell ref="B100:D100"/>
    <mergeCell ref="B105:D105"/>
    <mergeCell ref="B107:D107"/>
    <mergeCell ref="B85:D85"/>
    <mergeCell ref="B2:H2"/>
    <mergeCell ref="B3:H3"/>
    <mergeCell ref="B4:E4"/>
    <mergeCell ref="F4:H4"/>
    <mergeCell ref="B5:E5"/>
    <mergeCell ref="F5:H5"/>
    <mergeCell ref="B6:F6"/>
    <mergeCell ref="B9:D9"/>
    <mergeCell ref="B68:D68"/>
    <mergeCell ref="B73:D73"/>
    <mergeCell ref="B79:D79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21"/>
  <sheetViews>
    <sheetView topLeftCell="B37" zoomScaleNormal="100" zoomScaleSheetLayoutView="80" workbookViewId="0">
      <selection activeCell="B68" sqref="B68:D68"/>
    </sheetView>
  </sheetViews>
  <sheetFormatPr defaultRowHeight="15" x14ac:dyDescent="0.2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1.5703125" bestFit="1" customWidth="1"/>
    <col min="12" max="12" width="14.28515625" bestFit="1" customWidth="1"/>
    <col min="13" max="13" width="11.5703125" bestFit="1" customWidth="1"/>
  </cols>
  <sheetData>
    <row r="2" spans="2:9" ht="18.75" x14ac:dyDescent="0.25">
      <c r="B2" s="123" t="s">
        <v>41</v>
      </c>
      <c r="C2" s="123"/>
      <c r="D2" s="123"/>
      <c r="E2" s="123"/>
      <c r="F2" s="123"/>
      <c r="G2" s="123"/>
      <c r="H2" s="123"/>
    </row>
    <row r="3" spans="2:9" ht="18.75" x14ac:dyDescent="0.3">
      <c r="B3" s="124" t="s">
        <v>4</v>
      </c>
      <c r="C3" s="124"/>
      <c r="D3" s="124"/>
      <c r="E3" s="124"/>
      <c r="F3" s="124"/>
      <c r="G3" s="124"/>
      <c r="H3" s="124"/>
    </row>
    <row r="4" spans="2:9" x14ac:dyDescent="0.25">
      <c r="B4" s="125" t="s">
        <v>54</v>
      </c>
      <c r="C4" s="125"/>
      <c r="D4" s="125"/>
      <c r="E4" s="125"/>
      <c r="F4" s="125" t="s">
        <v>21</v>
      </c>
      <c r="G4" s="125"/>
      <c r="H4" s="125"/>
    </row>
    <row r="5" spans="2:9" x14ac:dyDescent="0.25">
      <c r="B5" s="125" t="s">
        <v>20</v>
      </c>
      <c r="C5" s="125"/>
      <c r="D5" s="125"/>
      <c r="E5" s="125"/>
      <c r="F5" s="125" t="s">
        <v>10</v>
      </c>
      <c r="G5" s="125"/>
      <c r="H5" s="125"/>
      <c r="I5" s="109"/>
    </row>
    <row r="6" spans="2:9" ht="24.75" customHeight="1" x14ac:dyDescent="0.25">
      <c r="B6" s="115" t="s">
        <v>22</v>
      </c>
      <c r="C6" s="116"/>
      <c r="D6" s="116"/>
      <c r="E6" s="116"/>
      <c r="F6" s="116"/>
      <c r="G6" s="2">
        <f>E9+E68+E73+E79+E85+E89+E92+E98+E100+E105+E107+E113+E118</f>
        <v>43523576.100000001</v>
      </c>
      <c r="H6" s="3" t="s">
        <v>23</v>
      </c>
    </row>
    <row r="7" spans="2:9" ht="25.5" x14ac:dyDescent="0.2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9" x14ac:dyDescent="0.25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9" ht="60.75" customHeight="1" x14ac:dyDescent="0.25">
      <c r="B9" s="117" t="s">
        <v>131</v>
      </c>
      <c r="C9" s="118"/>
      <c r="D9" s="118"/>
      <c r="E9" s="15">
        <f>SUM(E10:E66)</f>
        <v>4258909</v>
      </c>
      <c r="F9" s="11"/>
      <c r="G9" s="9"/>
      <c r="H9" s="10"/>
    </row>
    <row r="10" spans="2:9" s="18" customFormat="1" ht="33.75" x14ac:dyDescent="0.2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9" s="18" customFormat="1" ht="33.75" x14ac:dyDescent="0.2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9" s="18" customFormat="1" ht="25.5" x14ac:dyDescent="0.25">
      <c r="B12" s="65" t="s">
        <v>132</v>
      </c>
      <c r="C12" s="78" t="s">
        <v>169</v>
      </c>
      <c r="D12" s="78" t="s">
        <v>170</v>
      </c>
      <c r="E12" s="56">
        <v>6100</v>
      </c>
      <c r="F12" s="79" t="s">
        <v>60</v>
      </c>
      <c r="G12" s="110" t="s">
        <v>160</v>
      </c>
      <c r="H12" s="78"/>
    </row>
    <row r="13" spans="2:9" s="18" customFormat="1" ht="33.75" x14ac:dyDescent="0.25">
      <c r="B13" s="65" t="s">
        <v>132</v>
      </c>
      <c r="C13" s="23" t="s">
        <v>100</v>
      </c>
      <c r="D13" s="23" t="s">
        <v>101</v>
      </c>
      <c r="E13" s="56">
        <v>500</v>
      </c>
      <c r="F13" s="25" t="s">
        <v>61</v>
      </c>
      <c r="G13" s="26" t="s">
        <v>125</v>
      </c>
      <c r="H13" s="23"/>
    </row>
    <row r="14" spans="2:9" s="19" customFormat="1" ht="33.75" x14ac:dyDescent="0.25">
      <c r="B14" s="65" t="s">
        <v>132</v>
      </c>
      <c r="C14" s="28" t="s">
        <v>50</v>
      </c>
      <c r="D14" s="28" t="s">
        <v>52</v>
      </c>
      <c r="E14" s="56">
        <v>1600</v>
      </c>
      <c r="F14" s="29" t="s">
        <v>61</v>
      </c>
      <c r="G14" s="26" t="s">
        <v>125</v>
      </c>
      <c r="H14" s="28"/>
    </row>
    <row r="15" spans="2:9" s="106" customFormat="1" ht="38.25" customHeight="1" x14ac:dyDescent="0.25">
      <c r="B15" s="104" t="s">
        <v>132</v>
      </c>
      <c r="C15" s="28" t="s">
        <v>159</v>
      </c>
      <c r="D15" s="28" t="s">
        <v>158</v>
      </c>
      <c r="E15" s="24">
        <v>1973</v>
      </c>
      <c r="F15" s="29" t="s">
        <v>61</v>
      </c>
      <c r="G15" s="26" t="s">
        <v>152</v>
      </c>
      <c r="H15" s="28"/>
    </row>
    <row r="16" spans="2:9" s="18" customFormat="1" ht="49.5" customHeight="1" x14ac:dyDescent="0.25">
      <c r="B16" s="67" t="s">
        <v>132</v>
      </c>
      <c r="C16" s="68" t="s">
        <v>39</v>
      </c>
      <c r="D16" s="68" t="s">
        <v>58</v>
      </c>
      <c r="E16" s="69">
        <f>23100-15587</f>
        <v>7513</v>
      </c>
      <c r="F16" s="70" t="s">
        <v>60</v>
      </c>
      <c r="G16" s="71" t="s">
        <v>125</v>
      </c>
      <c r="H16" s="68"/>
    </row>
    <row r="17" spans="2:8" s="18" customFormat="1" ht="49.5" customHeight="1" x14ac:dyDescent="0.25">
      <c r="B17" s="67" t="s">
        <v>132</v>
      </c>
      <c r="C17" s="68" t="s">
        <v>39</v>
      </c>
      <c r="D17" s="68" t="s">
        <v>58</v>
      </c>
      <c r="E17" s="69">
        <f>60000+9000+15587</f>
        <v>84587</v>
      </c>
      <c r="F17" s="70" t="s">
        <v>64</v>
      </c>
      <c r="G17" s="71" t="s">
        <v>125</v>
      </c>
      <c r="H17" s="68"/>
    </row>
    <row r="18" spans="2:8" s="18" customFormat="1" ht="38.25" customHeight="1" x14ac:dyDescent="0.25">
      <c r="B18" s="65" t="s">
        <v>147</v>
      </c>
      <c r="C18" s="84">
        <v>31400000</v>
      </c>
      <c r="D18" s="78" t="s">
        <v>11</v>
      </c>
      <c r="E18" s="56">
        <f>3000+1800</f>
        <v>4800</v>
      </c>
      <c r="F18" s="79" t="s">
        <v>60</v>
      </c>
      <c r="G18" s="80" t="s">
        <v>125</v>
      </c>
      <c r="H18" s="81"/>
    </row>
    <row r="19" spans="2:8" s="18" customFormat="1" ht="56.25" x14ac:dyDescent="0.25">
      <c r="B19" s="65" t="s">
        <v>147</v>
      </c>
      <c r="C19" s="84">
        <v>33100000</v>
      </c>
      <c r="D19" s="78" t="s">
        <v>57</v>
      </c>
      <c r="E19" s="56">
        <v>2000</v>
      </c>
      <c r="F19" s="79" t="s">
        <v>61</v>
      </c>
      <c r="G19" s="80" t="s">
        <v>160</v>
      </c>
      <c r="H19" s="102" t="s">
        <v>85</v>
      </c>
    </row>
    <row r="20" spans="2:8" s="18" customFormat="1" ht="25.5" x14ac:dyDescent="0.25">
      <c r="B20" s="65" t="s">
        <v>147</v>
      </c>
      <c r="C20" s="84">
        <v>35800000</v>
      </c>
      <c r="D20" s="78" t="s">
        <v>171</v>
      </c>
      <c r="E20" s="56">
        <v>405</v>
      </c>
      <c r="F20" s="79" t="s">
        <v>61</v>
      </c>
      <c r="G20" s="80" t="s">
        <v>172</v>
      </c>
      <c r="H20" s="102"/>
    </row>
    <row r="21" spans="2:8" s="18" customFormat="1" ht="56.25" x14ac:dyDescent="0.25">
      <c r="B21" s="65" t="s">
        <v>147</v>
      </c>
      <c r="C21" s="84">
        <v>33600000</v>
      </c>
      <c r="D21" s="78" t="s">
        <v>29</v>
      </c>
      <c r="E21" s="56">
        <v>10000</v>
      </c>
      <c r="F21" s="79" t="s">
        <v>61</v>
      </c>
      <c r="G21" s="80" t="s">
        <v>160</v>
      </c>
      <c r="H21" s="102" t="s">
        <v>85</v>
      </c>
    </row>
    <row r="22" spans="2:8" s="18" customFormat="1" ht="38.25" customHeight="1" x14ac:dyDescent="0.25">
      <c r="B22" s="67" t="s">
        <v>147</v>
      </c>
      <c r="C22" s="68" t="s">
        <v>43</v>
      </c>
      <c r="D22" s="68" t="s">
        <v>42</v>
      </c>
      <c r="E22" s="69">
        <f>10000+7260+80</f>
        <v>17340</v>
      </c>
      <c r="F22" s="70" t="s">
        <v>60</v>
      </c>
      <c r="G22" s="71" t="s">
        <v>125</v>
      </c>
      <c r="H22" s="97"/>
    </row>
    <row r="23" spans="2:8" s="18" customFormat="1" ht="42" customHeight="1" x14ac:dyDescent="0.25">
      <c r="B23" s="65" t="s">
        <v>132</v>
      </c>
      <c r="C23" s="78" t="s">
        <v>174</v>
      </c>
      <c r="D23" s="78" t="s">
        <v>175</v>
      </c>
      <c r="E23" s="56">
        <v>3756</v>
      </c>
      <c r="F23" s="79" t="s">
        <v>91</v>
      </c>
      <c r="G23" s="80" t="s">
        <v>172</v>
      </c>
      <c r="H23" s="81"/>
    </row>
    <row r="24" spans="2:8" s="18" customFormat="1" ht="33.75" x14ac:dyDescent="0.25">
      <c r="B24" s="65" t="s">
        <v>132</v>
      </c>
      <c r="C24" s="23" t="s">
        <v>92</v>
      </c>
      <c r="D24" s="23" t="s">
        <v>93</v>
      </c>
      <c r="E24" s="56">
        <v>4800</v>
      </c>
      <c r="F24" s="25" t="s">
        <v>91</v>
      </c>
      <c r="G24" s="26" t="s">
        <v>125</v>
      </c>
      <c r="H24" s="31"/>
    </row>
    <row r="25" spans="2:8" s="18" customFormat="1" ht="33.75" x14ac:dyDescent="0.25">
      <c r="B25" s="65" t="s">
        <v>132</v>
      </c>
      <c r="C25" s="23" t="s">
        <v>94</v>
      </c>
      <c r="D25" s="23" t="s">
        <v>95</v>
      </c>
      <c r="E25" s="56">
        <v>4800</v>
      </c>
      <c r="F25" s="25" t="s">
        <v>91</v>
      </c>
      <c r="G25" s="26" t="s">
        <v>125</v>
      </c>
      <c r="H25" s="31"/>
    </row>
    <row r="26" spans="2:8" s="18" customFormat="1" ht="33.75" x14ac:dyDescent="0.25">
      <c r="B26" s="65" t="s">
        <v>132</v>
      </c>
      <c r="C26" s="34">
        <v>39800000</v>
      </c>
      <c r="D26" s="34" t="s">
        <v>84</v>
      </c>
      <c r="E26" s="56">
        <v>4800</v>
      </c>
      <c r="F26" s="25" t="s">
        <v>91</v>
      </c>
      <c r="G26" s="26" t="s">
        <v>125</v>
      </c>
      <c r="H26" s="31"/>
    </row>
    <row r="27" spans="2:8" s="18" customFormat="1" ht="33.75" x14ac:dyDescent="0.25">
      <c r="B27" s="65" t="s">
        <v>132</v>
      </c>
      <c r="C27" s="85">
        <v>42900000</v>
      </c>
      <c r="D27" s="85" t="s">
        <v>168</v>
      </c>
      <c r="E27" s="56">
        <v>1920</v>
      </c>
      <c r="F27" s="79" t="s">
        <v>60</v>
      </c>
      <c r="G27" s="110" t="s">
        <v>160</v>
      </c>
      <c r="H27" s="110"/>
    </row>
    <row r="28" spans="2:8" s="18" customFormat="1" ht="51.75" customHeight="1" x14ac:dyDescent="0.25">
      <c r="B28" s="65" t="s">
        <v>132</v>
      </c>
      <c r="C28" s="84">
        <v>41100000</v>
      </c>
      <c r="D28" s="85" t="s">
        <v>149</v>
      </c>
      <c r="E28" s="56">
        <v>6750</v>
      </c>
      <c r="F28" s="79" t="s">
        <v>64</v>
      </c>
      <c r="G28" s="80" t="s">
        <v>125</v>
      </c>
      <c r="H28" s="81"/>
    </row>
    <row r="29" spans="2:8" s="18" customFormat="1" ht="51.75" customHeight="1" x14ac:dyDescent="0.25">
      <c r="B29" s="65" t="s">
        <v>132</v>
      </c>
      <c r="C29" s="84">
        <v>44400000</v>
      </c>
      <c r="D29" s="85" t="s">
        <v>167</v>
      </c>
      <c r="E29" s="56">
        <v>4120</v>
      </c>
      <c r="F29" s="79" t="s">
        <v>64</v>
      </c>
      <c r="G29" s="80" t="s">
        <v>160</v>
      </c>
      <c r="H29" s="81"/>
    </row>
    <row r="30" spans="2:8" s="18" customFormat="1" ht="51.75" customHeight="1" x14ac:dyDescent="0.25">
      <c r="B30" s="65" t="s">
        <v>132</v>
      </c>
      <c r="C30" s="30">
        <v>45400000</v>
      </c>
      <c r="D30" s="34" t="s">
        <v>102</v>
      </c>
      <c r="E30" s="56">
        <v>40000</v>
      </c>
      <c r="F30" s="25" t="s">
        <v>64</v>
      </c>
      <c r="G30" s="26" t="s">
        <v>125</v>
      </c>
      <c r="H30" s="31"/>
    </row>
    <row r="31" spans="2:8" s="18" customFormat="1" ht="37.5" customHeight="1" x14ac:dyDescent="0.25">
      <c r="B31" s="65" t="s">
        <v>133</v>
      </c>
      <c r="C31" s="30">
        <v>48700000</v>
      </c>
      <c r="D31" s="23" t="s">
        <v>104</v>
      </c>
      <c r="E31" s="56">
        <v>30000</v>
      </c>
      <c r="F31" s="25" t="s">
        <v>64</v>
      </c>
      <c r="G31" s="26" t="s">
        <v>125</v>
      </c>
      <c r="H31" s="31"/>
    </row>
    <row r="32" spans="2:8" s="18" customFormat="1" ht="56.25" x14ac:dyDescent="0.25">
      <c r="B32" s="65" t="s">
        <v>132</v>
      </c>
      <c r="C32" s="78">
        <v>50100000</v>
      </c>
      <c r="D32" s="78" t="s">
        <v>44</v>
      </c>
      <c r="E32" s="56">
        <f>10000+30000</f>
        <v>40000</v>
      </c>
      <c r="F32" s="79" t="s">
        <v>61</v>
      </c>
      <c r="G32" s="80" t="s">
        <v>125</v>
      </c>
      <c r="H32" s="102" t="s">
        <v>66</v>
      </c>
    </row>
    <row r="33" spans="2:8" s="1" customFormat="1" ht="92.25" customHeight="1" x14ac:dyDescent="0.25">
      <c r="B33" s="104" t="s">
        <v>132</v>
      </c>
      <c r="C33" s="23" t="s">
        <v>59</v>
      </c>
      <c r="D33" s="23" t="s">
        <v>62</v>
      </c>
      <c r="E33" s="24">
        <f>120000-30000+15000</f>
        <v>105000</v>
      </c>
      <c r="F33" s="25" t="s">
        <v>64</v>
      </c>
      <c r="G33" s="26" t="s">
        <v>125</v>
      </c>
      <c r="H33" s="36"/>
    </row>
    <row r="34" spans="2:8" s="18" customFormat="1" ht="56.25" x14ac:dyDescent="0.25">
      <c r="B34" s="65" t="s">
        <v>132</v>
      </c>
      <c r="C34" s="78">
        <v>50100000</v>
      </c>
      <c r="D34" s="78" t="s">
        <v>44</v>
      </c>
      <c r="E34" s="56">
        <v>2080</v>
      </c>
      <c r="F34" s="79" t="s">
        <v>61</v>
      </c>
      <c r="G34" s="80" t="s">
        <v>160</v>
      </c>
      <c r="H34" s="102" t="s">
        <v>85</v>
      </c>
    </row>
    <row r="35" spans="2:8" s="18" customFormat="1" ht="92.25" customHeight="1" x14ac:dyDescent="0.25">
      <c r="B35" s="65" t="s">
        <v>132</v>
      </c>
      <c r="C35" s="23" t="s">
        <v>107</v>
      </c>
      <c r="D35" s="23" t="s">
        <v>108</v>
      </c>
      <c r="E35" s="56">
        <v>50000</v>
      </c>
      <c r="F35" s="25" t="s">
        <v>64</v>
      </c>
      <c r="G35" s="26" t="s">
        <v>125</v>
      </c>
      <c r="H35" s="31"/>
    </row>
    <row r="36" spans="2:8" s="18" customFormat="1" ht="92.25" customHeight="1" x14ac:dyDescent="0.25">
      <c r="B36" s="65" t="s">
        <v>132</v>
      </c>
      <c r="C36" s="23" t="s">
        <v>105</v>
      </c>
      <c r="D36" s="23" t="s">
        <v>106</v>
      </c>
      <c r="E36" s="56">
        <v>310000</v>
      </c>
      <c r="F36" s="25" t="s">
        <v>64</v>
      </c>
      <c r="G36" s="26" t="s">
        <v>125</v>
      </c>
      <c r="H36" s="36"/>
    </row>
    <row r="37" spans="2:8" s="18" customFormat="1" ht="92.25" customHeight="1" x14ac:dyDescent="0.25">
      <c r="B37" s="65" t="s">
        <v>147</v>
      </c>
      <c r="C37" s="23" t="s">
        <v>109</v>
      </c>
      <c r="D37" s="23" t="s">
        <v>110</v>
      </c>
      <c r="E37" s="56">
        <f>60000+45000-20000</f>
        <v>85000</v>
      </c>
      <c r="F37" s="25" t="s">
        <v>64</v>
      </c>
      <c r="G37" s="26" t="s">
        <v>125</v>
      </c>
      <c r="H37" s="36"/>
    </row>
    <row r="38" spans="2:8" s="18" customFormat="1" ht="102.75" customHeight="1" x14ac:dyDescent="0.25">
      <c r="B38" s="65" t="s">
        <v>132</v>
      </c>
      <c r="C38" s="23" t="s">
        <v>86</v>
      </c>
      <c r="D38" s="23" t="s">
        <v>87</v>
      </c>
      <c r="E38" s="56">
        <v>8000</v>
      </c>
      <c r="F38" s="25" t="s">
        <v>64</v>
      </c>
      <c r="G38" s="26" t="s">
        <v>125</v>
      </c>
      <c r="H38" s="23"/>
    </row>
    <row r="39" spans="2:8" s="18" customFormat="1" ht="115.5" customHeight="1" x14ac:dyDescent="0.25">
      <c r="B39" s="65" t="s">
        <v>132</v>
      </c>
      <c r="C39" s="23">
        <v>50700000</v>
      </c>
      <c r="D39" s="23" t="s">
        <v>13</v>
      </c>
      <c r="E39" s="56">
        <f>1600000-59200</f>
        <v>1540800</v>
      </c>
      <c r="F39" s="23" t="s">
        <v>61</v>
      </c>
      <c r="G39" s="26" t="s">
        <v>125</v>
      </c>
      <c r="H39" s="23" t="s">
        <v>99</v>
      </c>
    </row>
    <row r="40" spans="2:8" s="18" customFormat="1" ht="115.5" customHeight="1" x14ac:dyDescent="0.25">
      <c r="B40" s="65" t="s">
        <v>132</v>
      </c>
      <c r="C40" s="78">
        <v>50700000</v>
      </c>
      <c r="D40" s="78" t="s">
        <v>13</v>
      </c>
      <c r="E40" s="56">
        <f>93000-45000+20000+46148</f>
        <v>114148</v>
      </c>
      <c r="F40" s="78" t="s">
        <v>64</v>
      </c>
      <c r="G40" s="80" t="s">
        <v>125</v>
      </c>
      <c r="H40" s="78"/>
    </row>
    <row r="41" spans="2:8" s="18" customFormat="1" ht="115.5" customHeight="1" x14ac:dyDescent="0.25">
      <c r="B41" s="65" t="s">
        <v>132</v>
      </c>
      <c r="C41" s="78" t="s">
        <v>117</v>
      </c>
      <c r="D41" s="78" t="s">
        <v>118</v>
      </c>
      <c r="E41" s="56">
        <f>120000+68250</f>
        <v>188250</v>
      </c>
      <c r="F41" s="78" t="s">
        <v>64</v>
      </c>
      <c r="G41" s="80" t="s">
        <v>125</v>
      </c>
      <c r="H41" s="78"/>
    </row>
    <row r="42" spans="2:8" s="18" customFormat="1" ht="115.5" customHeight="1" x14ac:dyDescent="0.25">
      <c r="B42" s="65" t="s">
        <v>132</v>
      </c>
      <c r="C42" s="23" t="s">
        <v>111</v>
      </c>
      <c r="D42" s="23" t="s">
        <v>112</v>
      </c>
      <c r="E42" s="56">
        <v>120000</v>
      </c>
      <c r="F42" s="23" t="s">
        <v>64</v>
      </c>
      <c r="G42" s="26" t="s">
        <v>125</v>
      </c>
      <c r="H42" s="23"/>
    </row>
    <row r="43" spans="2:8" s="18" customFormat="1" ht="58.5" customHeight="1" x14ac:dyDescent="0.25">
      <c r="B43" s="65" t="s">
        <v>132</v>
      </c>
      <c r="C43" s="30">
        <v>63700000</v>
      </c>
      <c r="D43" s="23" t="s">
        <v>70</v>
      </c>
      <c r="E43" s="56">
        <v>2000</v>
      </c>
      <c r="F43" s="25" t="s">
        <v>61</v>
      </c>
      <c r="G43" s="26" t="s">
        <v>125</v>
      </c>
      <c r="H43" s="26" t="s">
        <v>85</v>
      </c>
    </row>
    <row r="44" spans="2:8" s="18" customFormat="1" ht="63.75" customHeight="1" x14ac:dyDescent="0.25">
      <c r="B44" s="65" t="s">
        <v>132</v>
      </c>
      <c r="C44" s="23" t="s">
        <v>47</v>
      </c>
      <c r="D44" s="23" t="s">
        <v>48</v>
      </c>
      <c r="E44" s="56">
        <v>6000</v>
      </c>
      <c r="F44" s="25" t="s">
        <v>64</v>
      </c>
      <c r="G44" s="26" t="s">
        <v>125</v>
      </c>
      <c r="H44" s="23"/>
    </row>
    <row r="45" spans="2:8" s="18" customFormat="1" ht="33.75" x14ac:dyDescent="0.25">
      <c r="B45" s="65" t="s">
        <v>132</v>
      </c>
      <c r="C45" s="38" t="s">
        <v>18</v>
      </c>
      <c r="D45" s="23" t="s">
        <v>46</v>
      </c>
      <c r="E45" s="56">
        <v>25000</v>
      </c>
      <c r="F45" s="25" t="s">
        <v>64</v>
      </c>
      <c r="G45" s="26" t="s">
        <v>125</v>
      </c>
      <c r="H45" s="33"/>
    </row>
    <row r="46" spans="2:8" s="18" customFormat="1" ht="56.25" x14ac:dyDescent="0.25">
      <c r="B46" s="65" t="s">
        <v>132</v>
      </c>
      <c r="C46" s="38" t="s">
        <v>18</v>
      </c>
      <c r="D46" s="23" t="s">
        <v>46</v>
      </c>
      <c r="E46" s="56">
        <v>25500</v>
      </c>
      <c r="F46" s="25" t="s">
        <v>61</v>
      </c>
      <c r="G46" s="26" t="s">
        <v>125</v>
      </c>
      <c r="H46" s="26" t="s">
        <v>96</v>
      </c>
    </row>
    <row r="47" spans="2:8" s="18" customFormat="1" ht="56.25" x14ac:dyDescent="0.25">
      <c r="B47" s="65" t="s">
        <v>132</v>
      </c>
      <c r="C47" s="77" t="s">
        <v>161</v>
      </c>
      <c r="D47" s="78" t="s">
        <v>46</v>
      </c>
      <c r="E47" s="56">
        <v>9000</v>
      </c>
      <c r="F47" s="79" t="s">
        <v>61</v>
      </c>
      <c r="G47" s="80" t="s">
        <v>152</v>
      </c>
      <c r="H47" s="80" t="s">
        <v>162</v>
      </c>
    </row>
    <row r="48" spans="2:8" s="18" customFormat="1" ht="33.75" x14ac:dyDescent="0.25">
      <c r="B48" s="65" t="s">
        <v>132</v>
      </c>
      <c r="C48" s="38" t="s">
        <v>18</v>
      </c>
      <c r="D48" s="23" t="s">
        <v>46</v>
      </c>
      <c r="E48" s="56">
        <v>24000</v>
      </c>
      <c r="F48" s="25" t="s">
        <v>60</v>
      </c>
      <c r="G48" s="26" t="s">
        <v>125</v>
      </c>
      <c r="H48" s="33"/>
    </row>
    <row r="49" spans="2:10" s="18" customFormat="1" ht="33.75" x14ac:dyDescent="0.25">
      <c r="B49" s="65" t="s">
        <v>134</v>
      </c>
      <c r="C49" s="38" t="s">
        <v>114</v>
      </c>
      <c r="D49" s="23" t="s">
        <v>113</v>
      </c>
      <c r="E49" s="56">
        <v>30000</v>
      </c>
      <c r="F49" s="25" t="s">
        <v>64</v>
      </c>
      <c r="G49" s="26" t="s">
        <v>125</v>
      </c>
      <c r="H49" s="26"/>
    </row>
    <row r="50" spans="2:10" s="18" customFormat="1" ht="33.75" x14ac:dyDescent="0.25">
      <c r="B50" s="65" t="s">
        <v>132</v>
      </c>
      <c r="C50" s="38" t="s">
        <v>55</v>
      </c>
      <c r="D50" s="23" t="s">
        <v>56</v>
      </c>
      <c r="E50" s="56">
        <v>1680</v>
      </c>
      <c r="F50" s="25" t="s">
        <v>91</v>
      </c>
      <c r="G50" s="26" t="s">
        <v>125</v>
      </c>
      <c r="H50" s="33"/>
    </row>
    <row r="51" spans="2:10" s="18" customFormat="1" ht="57" customHeight="1" x14ac:dyDescent="0.25">
      <c r="B51" s="65" t="s">
        <v>132</v>
      </c>
      <c r="C51" s="77" t="s">
        <v>17</v>
      </c>
      <c r="D51" s="78" t="s">
        <v>16</v>
      </c>
      <c r="E51" s="56">
        <f>90000+34000</f>
        <v>124000</v>
      </c>
      <c r="F51" s="79" t="s">
        <v>61</v>
      </c>
      <c r="G51" s="80" t="s">
        <v>125</v>
      </c>
      <c r="H51" s="80" t="s">
        <v>67</v>
      </c>
    </row>
    <row r="52" spans="2:10" s="18" customFormat="1" ht="65.25" customHeight="1" x14ac:dyDescent="0.25">
      <c r="B52" s="65" t="s">
        <v>132</v>
      </c>
      <c r="C52" s="77" t="s">
        <v>17</v>
      </c>
      <c r="D52" s="78" t="s">
        <v>16</v>
      </c>
      <c r="E52" s="56">
        <f>150+400+266+21+350</f>
        <v>1187</v>
      </c>
      <c r="F52" s="79" t="s">
        <v>61</v>
      </c>
      <c r="G52" s="80" t="s">
        <v>125</v>
      </c>
      <c r="H52" s="80"/>
      <c r="J52" s="20"/>
    </row>
    <row r="53" spans="2:10" s="18" customFormat="1" ht="56.25" x14ac:dyDescent="0.25">
      <c r="B53" s="65" t="s">
        <v>132</v>
      </c>
      <c r="C53" s="38" t="s">
        <v>77</v>
      </c>
      <c r="D53" s="23" t="s">
        <v>78</v>
      </c>
      <c r="E53" s="56">
        <v>3000</v>
      </c>
      <c r="F53" s="25" t="s">
        <v>61</v>
      </c>
      <c r="G53" s="26" t="s">
        <v>125</v>
      </c>
      <c r="H53" s="26" t="s">
        <v>79</v>
      </c>
    </row>
    <row r="54" spans="2:10" s="18" customFormat="1" ht="56.25" x14ac:dyDescent="0.25">
      <c r="B54" s="65" t="s">
        <v>132</v>
      </c>
      <c r="C54" s="77" t="s">
        <v>163</v>
      </c>
      <c r="D54" s="78" t="s">
        <v>164</v>
      </c>
      <c r="E54" s="56">
        <v>500</v>
      </c>
      <c r="F54" s="79" t="s">
        <v>61</v>
      </c>
      <c r="G54" s="80" t="s">
        <v>152</v>
      </c>
      <c r="H54" s="80" t="s">
        <v>79</v>
      </c>
    </row>
    <row r="55" spans="2:10" s="18" customFormat="1" ht="75" customHeight="1" x14ac:dyDescent="0.25">
      <c r="B55" s="65" t="s">
        <v>132</v>
      </c>
      <c r="C55" s="77" t="s">
        <v>25</v>
      </c>
      <c r="D55" s="78" t="s">
        <v>119</v>
      </c>
      <c r="E55" s="56">
        <v>100000</v>
      </c>
      <c r="F55" s="79" t="s">
        <v>64</v>
      </c>
      <c r="G55" s="80" t="s">
        <v>125</v>
      </c>
      <c r="H55" s="80"/>
    </row>
    <row r="56" spans="2:10" s="1" customFormat="1" ht="63.75" customHeight="1" x14ac:dyDescent="0.25">
      <c r="B56" s="104" t="s">
        <v>132</v>
      </c>
      <c r="C56" s="23" t="s">
        <v>45</v>
      </c>
      <c r="D56" s="23" t="s">
        <v>63</v>
      </c>
      <c r="E56" s="24">
        <f>6000+3850</f>
        <v>9850</v>
      </c>
      <c r="F56" s="25" t="s">
        <v>64</v>
      </c>
      <c r="G56" s="26" t="s">
        <v>125</v>
      </c>
      <c r="H56" s="26"/>
    </row>
    <row r="57" spans="2:10" s="18" customFormat="1" ht="63.75" customHeight="1" x14ac:dyDescent="0.25">
      <c r="B57" s="65" t="s">
        <v>132</v>
      </c>
      <c r="C57" s="78" t="s">
        <v>120</v>
      </c>
      <c r="D57" s="78" t="s">
        <v>121</v>
      </c>
      <c r="E57" s="56">
        <v>450</v>
      </c>
      <c r="F57" s="79" t="s">
        <v>61</v>
      </c>
      <c r="G57" s="80" t="s">
        <v>125</v>
      </c>
      <c r="H57" s="80"/>
    </row>
    <row r="58" spans="2:10" s="18" customFormat="1" ht="77.25" customHeight="1" x14ac:dyDescent="0.25">
      <c r="B58" s="65" t="s">
        <v>132</v>
      </c>
      <c r="C58" s="30">
        <v>79700000</v>
      </c>
      <c r="D58" s="23" t="s">
        <v>27</v>
      </c>
      <c r="E58" s="56">
        <v>600000</v>
      </c>
      <c r="F58" s="25" t="s">
        <v>61</v>
      </c>
      <c r="G58" s="26" t="s">
        <v>125</v>
      </c>
      <c r="H58" s="26" t="s">
        <v>80</v>
      </c>
    </row>
    <row r="59" spans="2:10" s="18" customFormat="1" ht="62.25" customHeight="1" x14ac:dyDescent="0.25">
      <c r="B59" s="65" t="s">
        <v>132</v>
      </c>
      <c r="C59" s="30">
        <v>79800000</v>
      </c>
      <c r="D59" s="23" t="s">
        <v>81</v>
      </c>
      <c r="E59" s="56">
        <v>10000</v>
      </c>
      <c r="F59" s="25" t="s">
        <v>64</v>
      </c>
      <c r="G59" s="26" t="s">
        <v>125</v>
      </c>
      <c r="H59" s="26"/>
    </row>
    <row r="60" spans="2:10" s="18" customFormat="1" ht="62.25" customHeight="1" x14ac:dyDescent="0.25">
      <c r="B60" s="65" t="s">
        <v>132</v>
      </c>
      <c r="C60" s="78" t="s">
        <v>53</v>
      </c>
      <c r="D60" s="78" t="s">
        <v>65</v>
      </c>
      <c r="E60" s="56">
        <f>20000+12000-2305</f>
        <v>29695</v>
      </c>
      <c r="F60" s="79" t="s">
        <v>61</v>
      </c>
      <c r="G60" s="80" t="s">
        <v>125</v>
      </c>
      <c r="H60" s="78" t="s">
        <v>68</v>
      </c>
    </row>
    <row r="61" spans="2:10" s="18" customFormat="1" ht="62.25" customHeight="1" x14ac:dyDescent="0.25">
      <c r="B61" s="65" t="s">
        <v>132</v>
      </c>
      <c r="C61" s="78" t="s">
        <v>53</v>
      </c>
      <c r="D61" s="78" t="s">
        <v>65</v>
      </c>
      <c r="E61" s="56">
        <v>2305</v>
      </c>
      <c r="F61" s="79" t="s">
        <v>61</v>
      </c>
      <c r="G61" s="80" t="s">
        <v>173</v>
      </c>
      <c r="H61" s="78"/>
    </row>
    <row r="62" spans="2:10" s="18" customFormat="1" ht="62.25" customHeight="1" x14ac:dyDescent="0.25">
      <c r="B62" s="65" t="s">
        <v>132</v>
      </c>
      <c r="C62" s="38" t="s">
        <v>24</v>
      </c>
      <c r="D62" s="23" t="s">
        <v>71</v>
      </c>
      <c r="E62" s="56">
        <v>12000</v>
      </c>
      <c r="F62" s="25" t="s">
        <v>64</v>
      </c>
      <c r="G62" s="26" t="s">
        <v>125</v>
      </c>
      <c r="H62" s="23"/>
    </row>
    <row r="63" spans="2:10" s="18" customFormat="1" ht="62.25" customHeight="1" x14ac:dyDescent="0.25">
      <c r="B63" s="65" t="s">
        <v>132</v>
      </c>
      <c r="C63" s="38" t="s">
        <v>122</v>
      </c>
      <c r="D63" s="23" t="s">
        <v>123</v>
      </c>
      <c r="E63" s="56">
        <v>1000</v>
      </c>
      <c r="F63" s="25" t="s">
        <v>61</v>
      </c>
      <c r="G63" s="26" t="s">
        <v>125</v>
      </c>
      <c r="H63" s="23"/>
    </row>
    <row r="64" spans="2:10" s="18" customFormat="1" ht="60.75" customHeight="1" x14ac:dyDescent="0.25">
      <c r="B64" s="65" t="s">
        <v>132</v>
      </c>
      <c r="C64" s="78" t="s">
        <v>82</v>
      </c>
      <c r="D64" s="78" t="s">
        <v>83</v>
      </c>
      <c r="E64" s="56">
        <v>10000</v>
      </c>
      <c r="F64" s="79" t="s">
        <v>61</v>
      </c>
      <c r="G64" s="80" t="s">
        <v>125</v>
      </c>
      <c r="H64" s="80" t="s">
        <v>79</v>
      </c>
    </row>
    <row r="65" spans="2:13" s="18" customFormat="1" ht="36.75" customHeight="1" x14ac:dyDescent="0.25">
      <c r="B65" s="65" t="s">
        <v>132</v>
      </c>
      <c r="C65" s="78" t="s">
        <v>12</v>
      </c>
      <c r="D65" s="78" t="s">
        <v>19</v>
      </c>
      <c r="E65" s="56">
        <f>80000+110000</f>
        <v>190000</v>
      </c>
      <c r="F65" s="79" t="s">
        <v>64</v>
      </c>
      <c r="G65" s="80" t="s">
        <v>125</v>
      </c>
      <c r="H65" s="81"/>
    </row>
    <row r="66" spans="2:13" s="18" customFormat="1" ht="54.75" customHeight="1" x14ac:dyDescent="0.25">
      <c r="B66" s="65" t="s">
        <v>132</v>
      </c>
      <c r="C66" s="78" t="s">
        <v>115</v>
      </c>
      <c r="D66" s="78" t="s">
        <v>116</v>
      </c>
      <c r="E66" s="56">
        <v>15000</v>
      </c>
      <c r="F66" s="79" t="s">
        <v>61</v>
      </c>
      <c r="G66" s="80" t="s">
        <v>125</v>
      </c>
      <c r="H66" s="80" t="s">
        <v>79</v>
      </c>
    </row>
    <row r="67" spans="2:13" s="18" customFormat="1" ht="54.75" customHeight="1" x14ac:dyDescent="0.25">
      <c r="B67" s="108" t="s">
        <v>132</v>
      </c>
      <c r="C67" s="78" t="s">
        <v>165</v>
      </c>
      <c r="D67" s="78" t="s">
        <v>166</v>
      </c>
      <c r="E67" s="56">
        <v>4900</v>
      </c>
      <c r="F67" s="79" t="s">
        <v>61</v>
      </c>
      <c r="G67" s="80" t="s">
        <v>152</v>
      </c>
      <c r="H67" s="80" t="s">
        <v>79</v>
      </c>
    </row>
    <row r="68" spans="2:13" s="1" customFormat="1" ht="75" customHeight="1" x14ac:dyDescent="0.25">
      <c r="B68" s="126" t="s">
        <v>135</v>
      </c>
      <c r="C68" s="127"/>
      <c r="D68" s="127"/>
      <c r="E68" s="16">
        <f>SUM(E69:E72)</f>
        <v>1710000</v>
      </c>
      <c r="F68" s="13"/>
      <c r="G68" s="14"/>
      <c r="H68" s="10"/>
      <c r="I68" s="61"/>
      <c r="J68" s="62"/>
    </row>
    <row r="69" spans="2:13" s="1" customFormat="1" ht="59.25" customHeight="1" x14ac:dyDescent="0.25">
      <c r="B69" s="104" t="s">
        <v>132</v>
      </c>
      <c r="C69" s="23" t="s">
        <v>24</v>
      </c>
      <c r="D69" s="23" t="s">
        <v>71</v>
      </c>
      <c r="E69" s="24">
        <f>1710000-142500-E71-E70</f>
        <v>1314302.3999999999</v>
      </c>
      <c r="F69" s="25" t="s">
        <v>64</v>
      </c>
      <c r="G69" s="26" t="s">
        <v>125</v>
      </c>
      <c r="H69" s="41"/>
      <c r="J69" s="62"/>
    </row>
    <row r="70" spans="2:13" s="1" customFormat="1" ht="67.5" x14ac:dyDescent="0.25">
      <c r="B70" s="104" t="s">
        <v>132</v>
      </c>
      <c r="C70" s="23" t="s">
        <v>103</v>
      </c>
      <c r="D70" s="23" t="s">
        <v>71</v>
      </c>
      <c r="E70" s="24">
        <v>33000</v>
      </c>
      <c r="F70" s="25" t="s">
        <v>61</v>
      </c>
      <c r="G70" s="26" t="s">
        <v>151</v>
      </c>
      <c r="H70" s="48" t="s">
        <v>98</v>
      </c>
      <c r="J70" s="62"/>
    </row>
    <row r="71" spans="2:13" s="1" customFormat="1" ht="67.5" x14ac:dyDescent="0.25">
      <c r="B71" s="104" t="s">
        <v>132</v>
      </c>
      <c r="C71" s="23" t="s">
        <v>103</v>
      </c>
      <c r="D71" s="23" t="s">
        <v>71</v>
      </c>
      <c r="E71" s="24">
        <v>220197.6</v>
      </c>
      <c r="F71" s="25" t="s">
        <v>61</v>
      </c>
      <c r="G71" s="26" t="s">
        <v>150</v>
      </c>
      <c r="H71" s="48" t="s">
        <v>98</v>
      </c>
    </row>
    <row r="72" spans="2:13" s="1" customFormat="1" ht="98.25" customHeight="1" x14ac:dyDescent="0.25">
      <c r="B72" s="104" t="s">
        <v>132</v>
      </c>
      <c r="C72" s="23" t="s">
        <v>24</v>
      </c>
      <c r="D72" s="23" t="s">
        <v>71</v>
      </c>
      <c r="E72" s="24">
        <v>142500</v>
      </c>
      <c r="F72" s="25" t="s">
        <v>61</v>
      </c>
      <c r="G72" s="26" t="s">
        <v>125</v>
      </c>
      <c r="H72" s="48" t="s">
        <v>128</v>
      </c>
      <c r="J72" s="62"/>
    </row>
    <row r="73" spans="2:13" s="1" customFormat="1" ht="31.5" customHeight="1" x14ac:dyDescent="0.25">
      <c r="B73" s="126" t="s">
        <v>136</v>
      </c>
      <c r="C73" s="127"/>
      <c r="D73" s="127"/>
      <c r="E73" s="16">
        <f>SUM(E74:E78)</f>
        <v>22370000</v>
      </c>
      <c r="F73" s="13"/>
      <c r="G73" s="9"/>
      <c r="H73" s="10"/>
      <c r="I73" s="61"/>
      <c r="J73" s="62"/>
    </row>
    <row r="74" spans="2:13" s="1" customFormat="1" ht="75.75" customHeight="1" x14ac:dyDescent="0.25">
      <c r="B74" s="104" t="s">
        <v>132</v>
      </c>
      <c r="C74" s="23" t="s">
        <v>7</v>
      </c>
      <c r="D74" s="23" t="s">
        <v>57</v>
      </c>
      <c r="E74" s="24">
        <f>3750000+400000</f>
        <v>4150000</v>
      </c>
      <c r="F74" s="25" t="s">
        <v>61</v>
      </c>
      <c r="G74" s="26" t="s">
        <v>125</v>
      </c>
      <c r="H74" s="48" t="s">
        <v>97</v>
      </c>
    </row>
    <row r="75" spans="2:13" s="1" customFormat="1" ht="75.75" customHeight="1" x14ac:dyDescent="0.25">
      <c r="B75" s="66" t="s">
        <v>133</v>
      </c>
      <c r="C75" s="23" t="s">
        <v>7</v>
      </c>
      <c r="D75" s="23" t="s">
        <v>57</v>
      </c>
      <c r="E75" s="24">
        <v>100000</v>
      </c>
      <c r="F75" s="25" t="s">
        <v>61</v>
      </c>
      <c r="G75" s="26" t="s">
        <v>125</v>
      </c>
      <c r="H75" s="48" t="s">
        <v>97</v>
      </c>
    </row>
    <row r="76" spans="2:13" s="1" customFormat="1" ht="121.5" customHeight="1" x14ac:dyDescent="0.25">
      <c r="B76" s="104" t="s">
        <v>132</v>
      </c>
      <c r="C76" s="23">
        <v>33600000</v>
      </c>
      <c r="D76" s="23" t="s">
        <v>29</v>
      </c>
      <c r="E76" s="24">
        <f>1440000+270000-22680</f>
        <v>1687320</v>
      </c>
      <c r="F76" s="25" t="s">
        <v>64</v>
      </c>
      <c r="G76" s="26" t="s">
        <v>125</v>
      </c>
      <c r="H76" s="41"/>
      <c r="J76" s="62"/>
      <c r="L76" s="62"/>
      <c r="M76" s="62"/>
    </row>
    <row r="77" spans="2:13" s="1" customFormat="1" ht="121.5" customHeight="1" x14ac:dyDescent="0.25">
      <c r="B77" s="104" t="s">
        <v>132</v>
      </c>
      <c r="C77" s="23" t="s">
        <v>32</v>
      </c>
      <c r="D77" s="23" t="s">
        <v>29</v>
      </c>
      <c r="E77" s="24">
        <v>22680</v>
      </c>
      <c r="F77" s="25" t="s">
        <v>61</v>
      </c>
      <c r="G77" s="26" t="s">
        <v>150</v>
      </c>
      <c r="H77" s="48" t="s">
        <v>157</v>
      </c>
      <c r="J77" s="62"/>
      <c r="L77" s="62"/>
      <c r="M77" s="62"/>
    </row>
    <row r="78" spans="2:13" s="1" customFormat="1" ht="87.75" customHeight="1" x14ac:dyDescent="0.25">
      <c r="B78" s="104" t="s">
        <v>132</v>
      </c>
      <c r="C78" s="23" t="s">
        <v>32</v>
      </c>
      <c r="D78" s="23" t="s">
        <v>29</v>
      </c>
      <c r="E78" s="24">
        <v>16410000</v>
      </c>
      <c r="F78" s="25" t="s">
        <v>61</v>
      </c>
      <c r="G78" s="26" t="s">
        <v>125</v>
      </c>
      <c r="H78" s="48" t="s">
        <v>98</v>
      </c>
      <c r="J78" s="62"/>
      <c r="K78" s="62"/>
    </row>
    <row r="79" spans="2:13" s="1" customFormat="1" ht="60" customHeight="1" x14ac:dyDescent="0.25">
      <c r="B79" s="126" t="s">
        <v>137</v>
      </c>
      <c r="C79" s="127"/>
      <c r="D79" s="127"/>
      <c r="E79" s="16">
        <f>SUM(E80:E84)</f>
        <v>1700000</v>
      </c>
      <c r="F79" s="13"/>
      <c r="G79" s="14"/>
      <c r="H79" s="10"/>
      <c r="I79" s="61"/>
      <c r="J79" s="105"/>
    </row>
    <row r="80" spans="2:13" s="1" customFormat="1" ht="36.75" customHeight="1" x14ac:dyDescent="0.25">
      <c r="B80" s="104" t="s">
        <v>132</v>
      </c>
      <c r="C80" s="23" t="s">
        <v>7</v>
      </c>
      <c r="D80" s="23" t="s">
        <v>28</v>
      </c>
      <c r="E80" s="24">
        <v>42272.9</v>
      </c>
      <c r="F80" s="25" t="s">
        <v>64</v>
      </c>
      <c r="G80" s="26" t="s">
        <v>125</v>
      </c>
      <c r="H80" s="41"/>
    </row>
    <row r="81" spans="2:11" s="1" customFormat="1" ht="51" customHeight="1" x14ac:dyDescent="0.25">
      <c r="B81" s="104" t="s">
        <v>132</v>
      </c>
      <c r="C81" s="23" t="s">
        <v>32</v>
      </c>
      <c r="D81" s="23" t="s">
        <v>29</v>
      </c>
      <c r="E81" s="24">
        <v>60607.14</v>
      </c>
      <c r="F81" s="25" t="s">
        <v>64</v>
      </c>
      <c r="G81" s="26" t="s">
        <v>125</v>
      </c>
      <c r="H81" s="41"/>
      <c r="J81" s="62"/>
    </row>
    <row r="82" spans="2:11" s="1" customFormat="1" ht="45" customHeight="1" x14ac:dyDescent="0.25">
      <c r="B82" s="104" t="s">
        <v>132</v>
      </c>
      <c r="C82" s="23" t="s">
        <v>89</v>
      </c>
      <c r="D82" s="23" t="s">
        <v>90</v>
      </c>
      <c r="E82" s="24">
        <v>798000</v>
      </c>
      <c r="F82" s="25" t="s">
        <v>64</v>
      </c>
      <c r="G82" s="26" t="s">
        <v>125</v>
      </c>
      <c r="H82" s="48"/>
    </row>
    <row r="83" spans="2:11" s="1" customFormat="1" ht="78.75" x14ac:dyDescent="0.25">
      <c r="B83" s="104" t="s">
        <v>132</v>
      </c>
      <c r="C83" s="23" t="s">
        <v>24</v>
      </c>
      <c r="D83" s="23" t="s">
        <v>71</v>
      </c>
      <c r="E83" s="24">
        <v>69239.960000000006</v>
      </c>
      <c r="F83" s="25" t="s">
        <v>61</v>
      </c>
      <c r="G83" s="26" t="s">
        <v>125</v>
      </c>
      <c r="H83" s="48" t="s">
        <v>129</v>
      </c>
      <c r="J83" s="62"/>
    </row>
    <row r="84" spans="2:11" s="1" customFormat="1" ht="67.5" x14ac:dyDescent="0.25">
      <c r="B84" s="104" t="s">
        <v>132</v>
      </c>
      <c r="C84" s="23" t="s">
        <v>24</v>
      </c>
      <c r="D84" s="23" t="s">
        <v>71</v>
      </c>
      <c r="E84" s="24">
        <v>729880</v>
      </c>
      <c r="F84" s="25" t="s">
        <v>61</v>
      </c>
      <c r="G84" s="26" t="s">
        <v>152</v>
      </c>
      <c r="H84" s="48" t="s">
        <v>98</v>
      </c>
    </row>
    <row r="85" spans="2:11" s="1" customFormat="1" ht="65.25" customHeight="1" x14ac:dyDescent="0.25">
      <c r="B85" s="126" t="s">
        <v>138</v>
      </c>
      <c r="C85" s="127"/>
      <c r="D85" s="127"/>
      <c r="E85" s="16">
        <f>SUM(E86:E88)</f>
        <v>1753700.5</v>
      </c>
      <c r="F85" s="13"/>
      <c r="G85" s="14"/>
      <c r="H85" s="10"/>
      <c r="I85" s="61"/>
      <c r="J85" s="62"/>
    </row>
    <row r="86" spans="2:11" s="1" customFormat="1" ht="33.75" x14ac:dyDescent="0.25">
      <c r="B86" s="67" t="s">
        <v>132</v>
      </c>
      <c r="C86" s="91" t="s">
        <v>25</v>
      </c>
      <c r="D86" s="91" t="s">
        <v>69</v>
      </c>
      <c r="E86" s="69">
        <f>55000+145000</f>
        <v>200000</v>
      </c>
      <c r="F86" s="94" t="s">
        <v>64</v>
      </c>
      <c r="G86" s="71" t="s">
        <v>125</v>
      </c>
      <c r="H86" s="95"/>
    </row>
    <row r="87" spans="2:11" s="1" customFormat="1" ht="78.75" x14ac:dyDescent="0.25">
      <c r="B87" s="104" t="s">
        <v>132</v>
      </c>
      <c r="C87" s="23">
        <v>85100000</v>
      </c>
      <c r="D87" s="23" t="s">
        <v>71</v>
      </c>
      <c r="E87" s="24">
        <v>127500.5</v>
      </c>
      <c r="F87" s="25" t="s">
        <v>61</v>
      </c>
      <c r="G87" s="26" t="s">
        <v>125</v>
      </c>
      <c r="H87" s="45" t="s">
        <v>124</v>
      </c>
    </row>
    <row r="88" spans="2:11" s="1" customFormat="1" ht="60.75" customHeight="1" x14ac:dyDescent="0.25">
      <c r="B88" s="67" t="s">
        <v>132</v>
      </c>
      <c r="C88" s="68">
        <v>85100000</v>
      </c>
      <c r="D88" s="68" t="s">
        <v>71</v>
      </c>
      <c r="E88" s="69">
        <f>1460000+111200-145000</f>
        <v>1426200</v>
      </c>
      <c r="F88" s="70" t="s">
        <v>61</v>
      </c>
      <c r="G88" s="71" t="s">
        <v>125</v>
      </c>
      <c r="H88" s="92" t="s">
        <v>98</v>
      </c>
      <c r="K88" s="62"/>
    </row>
    <row r="89" spans="2:11" s="1" customFormat="1" ht="61.5" customHeight="1" x14ac:dyDescent="0.25">
      <c r="B89" s="126" t="s">
        <v>139</v>
      </c>
      <c r="C89" s="127"/>
      <c r="D89" s="127"/>
      <c r="E89" s="16">
        <f>SUM(E90:E91)</f>
        <v>184166.6</v>
      </c>
      <c r="F89" s="13"/>
      <c r="G89" s="14"/>
      <c r="H89" s="10"/>
      <c r="I89" s="61"/>
      <c r="J89" s="62"/>
    </row>
    <row r="90" spans="2:11" s="18" customFormat="1" ht="70.5" customHeight="1" x14ac:dyDescent="0.25">
      <c r="B90" s="65" t="s">
        <v>132</v>
      </c>
      <c r="C90" s="23" t="s">
        <v>24</v>
      </c>
      <c r="D90" s="23" t="s">
        <v>71</v>
      </c>
      <c r="E90" s="56">
        <v>14166.6</v>
      </c>
      <c r="F90" s="25" t="s">
        <v>61</v>
      </c>
      <c r="G90" s="26" t="s">
        <v>125</v>
      </c>
      <c r="H90" s="48" t="s">
        <v>76</v>
      </c>
    </row>
    <row r="91" spans="2:11" s="1" customFormat="1" ht="75" customHeight="1" x14ac:dyDescent="0.25">
      <c r="B91" s="104" t="s">
        <v>132</v>
      </c>
      <c r="C91" s="23" t="s">
        <v>24</v>
      </c>
      <c r="D91" s="23" t="s">
        <v>71</v>
      </c>
      <c r="E91" s="24">
        <v>170000</v>
      </c>
      <c r="F91" s="25" t="s">
        <v>61</v>
      </c>
      <c r="G91" s="26" t="s">
        <v>125</v>
      </c>
      <c r="H91" s="48" t="s">
        <v>98</v>
      </c>
    </row>
    <row r="92" spans="2:11" s="1" customFormat="1" ht="65.25" customHeight="1" x14ac:dyDescent="0.25">
      <c r="B92" s="121" t="s">
        <v>140</v>
      </c>
      <c r="C92" s="122"/>
      <c r="D92" s="122"/>
      <c r="E92" s="16">
        <f>SUM(E93:E97)</f>
        <v>1090000</v>
      </c>
      <c r="F92" s="13"/>
      <c r="G92" s="14"/>
      <c r="H92" s="60"/>
      <c r="I92" s="61"/>
      <c r="J92" s="62"/>
    </row>
    <row r="93" spans="2:11" s="1" customFormat="1" ht="49.5" customHeight="1" x14ac:dyDescent="0.25">
      <c r="B93" s="104" t="s">
        <v>132</v>
      </c>
      <c r="C93" s="23" t="s">
        <v>14</v>
      </c>
      <c r="D93" s="23" t="s">
        <v>15</v>
      </c>
      <c r="E93" s="24">
        <v>24200</v>
      </c>
      <c r="F93" s="25" t="s">
        <v>60</v>
      </c>
      <c r="G93" s="26" t="s">
        <v>125</v>
      </c>
      <c r="H93" s="41"/>
    </row>
    <row r="94" spans="2:11" s="1" customFormat="1" ht="33.75" x14ac:dyDescent="0.25">
      <c r="B94" s="104" t="s">
        <v>132</v>
      </c>
      <c r="C94" s="28">
        <v>33100000</v>
      </c>
      <c r="D94" s="28" t="s">
        <v>28</v>
      </c>
      <c r="E94" s="24">
        <f>240004-87983</f>
        <v>152021</v>
      </c>
      <c r="F94" s="29" t="s">
        <v>64</v>
      </c>
      <c r="G94" s="26" t="s">
        <v>125</v>
      </c>
      <c r="H94" s="46"/>
    </row>
    <row r="95" spans="2:11" s="1" customFormat="1" ht="60.75" customHeight="1" x14ac:dyDescent="0.25">
      <c r="B95" s="104" t="s">
        <v>132</v>
      </c>
      <c r="C95" s="23" t="s">
        <v>59</v>
      </c>
      <c r="D95" s="23" t="s">
        <v>44</v>
      </c>
      <c r="E95" s="24">
        <v>15000</v>
      </c>
      <c r="F95" s="25" t="s">
        <v>64</v>
      </c>
      <c r="G95" s="26" t="s">
        <v>125</v>
      </c>
      <c r="H95" s="41"/>
    </row>
    <row r="96" spans="2:11" s="1" customFormat="1" ht="75" customHeight="1" x14ac:dyDescent="0.25">
      <c r="B96" s="104" t="s">
        <v>132</v>
      </c>
      <c r="C96" s="23">
        <v>85100000</v>
      </c>
      <c r="D96" s="23" t="s">
        <v>71</v>
      </c>
      <c r="E96" s="24">
        <v>48983</v>
      </c>
      <c r="F96" s="25" t="s">
        <v>61</v>
      </c>
      <c r="G96" s="26" t="s">
        <v>125</v>
      </c>
      <c r="H96" s="48" t="s">
        <v>126</v>
      </c>
      <c r="J96" s="62"/>
    </row>
    <row r="97" spans="2:11" s="18" customFormat="1" ht="65.25" customHeight="1" x14ac:dyDescent="0.25">
      <c r="B97" s="65" t="s">
        <v>132</v>
      </c>
      <c r="C97" s="78">
        <v>85100000</v>
      </c>
      <c r="D97" s="78" t="s">
        <v>71</v>
      </c>
      <c r="E97" s="56">
        <f>1071996+37800-260000</f>
        <v>849796</v>
      </c>
      <c r="F97" s="79" t="s">
        <v>61</v>
      </c>
      <c r="G97" s="80" t="s">
        <v>125</v>
      </c>
      <c r="H97" s="111" t="s">
        <v>98</v>
      </c>
    </row>
    <row r="98" spans="2:11" s="1" customFormat="1" ht="80.25" customHeight="1" x14ac:dyDescent="0.25">
      <c r="B98" s="126" t="s">
        <v>141</v>
      </c>
      <c r="C98" s="127"/>
      <c r="D98" s="127"/>
      <c r="E98" s="16">
        <f>SUM(E99:E99)</f>
        <v>1250000</v>
      </c>
      <c r="F98" s="13"/>
      <c r="G98" s="14"/>
      <c r="H98" s="10"/>
      <c r="I98" s="61"/>
      <c r="J98" s="62"/>
    </row>
    <row r="99" spans="2:11" s="1" customFormat="1" ht="84.75" customHeight="1" x14ac:dyDescent="0.25">
      <c r="B99" s="104" t="s">
        <v>132</v>
      </c>
      <c r="C99" s="23" t="s">
        <v>32</v>
      </c>
      <c r="D99" s="23" t="s">
        <v>29</v>
      </c>
      <c r="E99" s="24">
        <v>1250000</v>
      </c>
      <c r="F99" s="25" t="s">
        <v>61</v>
      </c>
      <c r="G99" s="26" t="s">
        <v>125</v>
      </c>
      <c r="H99" s="48" t="s">
        <v>98</v>
      </c>
    </row>
    <row r="100" spans="2:11" s="1" customFormat="1" ht="57.75" customHeight="1" x14ac:dyDescent="0.25">
      <c r="B100" s="119" t="s">
        <v>142</v>
      </c>
      <c r="C100" s="120"/>
      <c r="D100" s="120"/>
      <c r="E100" s="57">
        <f>SUM(E101:E104)</f>
        <v>4000000</v>
      </c>
      <c r="F100" s="58"/>
      <c r="G100" s="58"/>
      <c r="H100" s="59"/>
      <c r="I100" s="61"/>
      <c r="J100" s="62"/>
    </row>
    <row r="101" spans="2:11" s="18" customFormat="1" ht="29.25" customHeight="1" x14ac:dyDescent="0.25">
      <c r="B101" s="65" t="s">
        <v>132</v>
      </c>
      <c r="C101" s="38">
        <v>33100000</v>
      </c>
      <c r="D101" s="23" t="s">
        <v>8</v>
      </c>
      <c r="E101" s="56">
        <v>124876.2</v>
      </c>
      <c r="F101" s="25" t="s">
        <v>64</v>
      </c>
      <c r="G101" s="26" t="s">
        <v>125</v>
      </c>
      <c r="H101" s="26"/>
    </row>
    <row r="102" spans="2:11" s="1" customFormat="1" ht="33.75" x14ac:dyDescent="0.25">
      <c r="B102" s="104" t="s">
        <v>132</v>
      </c>
      <c r="C102" s="38" t="s">
        <v>32</v>
      </c>
      <c r="D102" s="23" t="s">
        <v>9</v>
      </c>
      <c r="E102" s="24">
        <f>2995349.4-3495.8-99984.41</f>
        <v>2891869.19</v>
      </c>
      <c r="F102" s="25" t="s">
        <v>64</v>
      </c>
      <c r="G102" s="26" t="s">
        <v>125</v>
      </c>
      <c r="H102" s="26"/>
    </row>
    <row r="103" spans="2:11" s="1" customFormat="1" ht="67.5" x14ac:dyDescent="0.25">
      <c r="B103" s="104" t="s">
        <v>132</v>
      </c>
      <c r="C103" s="38" t="s">
        <v>24</v>
      </c>
      <c r="D103" s="23" t="s">
        <v>71</v>
      </c>
      <c r="E103" s="24">
        <v>73605.850000000006</v>
      </c>
      <c r="F103" s="25" t="s">
        <v>61</v>
      </c>
      <c r="G103" s="26" t="s">
        <v>125</v>
      </c>
      <c r="H103" s="45" t="s">
        <v>127</v>
      </c>
    </row>
    <row r="104" spans="2:11" s="1" customFormat="1" ht="83.25" customHeight="1" x14ac:dyDescent="0.25">
      <c r="B104" s="104" t="s">
        <v>132</v>
      </c>
      <c r="C104" s="23" t="s">
        <v>24</v>
      </c>
      <c r="D104" s="23" t="s">
        <v>71</v>
      </c>
      <c r="E104" s="24">
        <v>909648.76</v>
      </c>
      <c r="F104" s="25" t="s">
        <v>61</v>
      </c>
      <c r="G104" s="26" t="s">
        <v>152</v>
      </c>
      <c r="H104" s="32" t="s">
        <v>98</v>
      </c>
    </row>
    <row r="105" spans="2:11" ht="122.25" customHeight="1" x14ac:dyDescent="0.25">
      <c r="B105" s="126" t="s">
        <v>143</v>
      </c>
      <c r="C105" s="127"/>
      <c r="D105" s="127"/>
      <c r="E105" s="16">
        <f>SUM(E106)</f>
        <v>2190000</v>
      </c>
      <c r="F105" s="13"/>
      <c r="G105" s="14"/>
      <c r="H105" s="10"/>
      <c r="I105" s="61"/>
      <c r="J105" s="63">
        <f>E100-4000000</f>
        <v>0</v>
      </c>
    </row>
    <row r="106" spans="2:11" s="1" customFormat="1" ht="117.75" customHeight="1" x14ac:dyDescent="0.25">
      <c r="B106" s="104" t="s">
        <v>132</v>
      </c>
      <c r="C106" s="23" t="s">
        <v>32</v>
      </c>
      <c r="D106" s="23" t="s">
        <v>29</v>
      </c>
      <c r="E106" s="24">
        <v>2190000</v>
      </c>
      <c r="F106" s="25" t="s">
        <v>61</v>
      </c>
      <c r="G106" s="26" t="s">
        <v>152</v>
      </c>
      <c r="H106" s="48" t="s">
        <v>98</v>
      </c>
    </row>
    <row r="107" spans="2:11" s="1" customFormat="1" ht="57" customHeight="1" x14ac:dyDescent="0.25">
      <c r="B107" s="121" t="s">
        <v>144</v>
      </c>
      <c r="C107" s="122"/>
      <c r="D107" s="122"/>
      <c r="E107" s="16">
        <f>SUM(E108:E112)</f>
        <v>474000</v>
      </c>
      <c r="F107" s="13"/>
      <c r="G107" s="60"/>
      <c r="H107" s="60"/>
      <c r="I107" s="61"/>
      <c r="J107" s="62"/>
    </row>
    <row r="108" spans="2:11" s="1" customFormat="1" ht="59.25" customHeight="1" x14ac:dyDescent="0.25">
      <c r="B108" s="104" t="s">
        <v>148</v>
      </c>
      <c r="C108" s="23">
        <v>33100000</v>
      </c>
      <c r="D108" s="23" t="s">
        <v>28</v>
      </c>
      <c r="E108" s="24">
        <f>20000+14559.87+22385.83</f>
        <v>56945.700000000004</v>
      </c>
      <c r="F108" s="25" t="s">
        <v>64</v>
      </c>
      <c r="G108" s="26" t="s">
        <v>125</v>
      </c>
      <c r="H108" s="41"/>
    </row>
    <row r="109" spans="2:11" s="1" customFormat="1" ht="38.25" x14ac:dyDescent="0.25">
      <c r="B109" s="104" t="s">
        <v>148</v>
      </c>
      <c r="C109" s="36">
        <v>33600000</v>
      </c>
      <c r="D109" s="36" t="s">
        <v>29</v>
      </c>
      <c r="E109" s="24">
        <f>266824.3+68000-17770</f>
        <v>317054.3</v>
      </c>
      <c r="F109" s="43" t="s">
        <v>64</v>
      </c>
      <c r="G109" s="26" t="s">
        <v>125</v>
      </c>
      <c r="H109" s="44"/>
    </row>
    <row r="110" spans="2:11" s="1" customFormat="1" ht="78.75" x14ac:dyDescent="0.25">
      <c r="B110" s="104" t="s">
        <v>132</v>
      </c>
      <c r="C110" s="38" t="s">
        <v>103</v>
      </c>
      <c r="D110" s="23" t="s">
        <v>71</v>
      </c>
      <c r="E110" s="24">
        <v>6870</v>
      </c>
      <c r="F110" s="25" t="s">
        <v>61</v>
      </c>
      <c r="G110" s="26" t="s">
        <v>125</v>
      </c>
      <c r="H110" s="45" t="s">
        <v>130</v>
      </c>
    </row>
    <row r="111" spans="2:11" s="1" customFormat="1" ht="67.5" x14ac:dyDescent="0.25">
      <c r="B111" s="104" t="s">
        <v>132</v>
      </c>
      <c r="C111" s="38" t="s">
        <v>103</v>
      </c>
      <c r="D111" s="23" t="s">
        <v>71</v>
      </c>
      <c r="E111" s="24">
        <f>13740+6870</f>
        <v>20610</v>
      </c>
      <c r="F111" s="25" t="s">
        <v>61</v>
      </c>
      <c r="G111" s="26" t="s">
        <v>152</v>
      </c>
      <c r="H111" s="48" t="s">
        <v>98</v>
      </c>
      <c r="J111" s="62"/>
      <c r="K111" s="62"/>
    </row>
    <row r="112" spans="2:11" s="1" customFormat="1" ht="51" customHeight="1" x14ac:dyDescent="0.25">
      <c r="B112" s="104" t="s">
        <v>132</v>
      </c>
      <c r="C112" s="38" t="s">
        <v>24</v>
      </c>
      <c r="D112" s="23" t="s">
        <v>71</v>
      </c>
      <c r="E112" s="24">
        <v>72520</v>
      </c>
      <c r="F112" s="25" t="s">
        <v>64</v>
      </c>
      <c r="G112" s="26" t="s">
        <v>153</v>
      </c>
      <c r="H112" s="45"/>
      <c r="J112" s="62"/>
      <c r="K112" s="62"/>
    </row>
    <row r="113" spans="2:10" ht="59.25" customHeight="1" x14ac:dyDescent="0.25">
      <c r="B113" s="126" t="s">
        <v>145</v>
      </c>
      <c r="C113" s="127"/>
      <c r="D113" s="127"/>
      <c r="E113" s="16">
        <f>SUM(E114:E117)</f>
        <v>2100000</v>
      </c>
      <c r="F113" s="13"/>
      <c r="G113" s="14"/>
      <c r="H113" s="10"/>
      <c r="I113" s="61"/>
      <c r="J113" s="63"/>
    </row>
    <row r="114" spans="2:10" s="18" customFormat="1" ht="42.75" customHeight="1" x14ac:dyDescent="0.25">
      <c r="B114" s="67" t="s">
        <v>132</v>
      </c>
      <c r="C114" s="68" t="s">
        <v>25</v>
      </c>
      <c r="D114" s="68" t="s">
        <v>69</v>
      </c>
      <c r="E114" s="69">
        <f>2100000-115976-175000</f>
        <v>1809024</v>
      </c>
      <c r="F114" s="70" t="s">
        <v>64</v>
      </c>
      <c r="G114" s="71" t="s">
        <v>125</v>
      </c>
      <c r="H114" s="112"/>
    </row>
    <row r="115" spans="2:10" s="1" customFormat="1" ht="42.75" customHeight="1" x14ac:dyDescent="0.25">
      <c r="B115" s="104" t="s">
        <v>132</v>
      </c>
      <c r="C115" s="23" t="s">
        <v>25</v>
      </c>
      <c r="D115" s="23" t="s">
        <v>69</v>
      </c>
      <c r="E115" s="24">
        <f>5976</f>
        <v>5976</v>
      </c>
      <c r="F115" s="25" t="s">
        <v>61</v>
      </c>
      <c r="G115" s="26" t="s">
        <v>152</v>
      </c>
      <c r="H115" s="48" t="s">
        <v>98</v>
      </c>
    </row>
    <row r="116" spans="2:10" s="1" customFormat="1" ht="42.75" customHeight="1" x14ac:dyDescent="0.25">
      <c r="B116" s="67" t="s">
        <v>132</v>
      </c>
      <c r="C116" s="68" t="s">
        <v>176</v>
      </c>
      <c r="D116" s="68" t="s">
        <v>177</v>
      </c>
      <c r="E116" s="69">
        <v>175000</v>
      </c>
      <c r="F116" s="70" t="s">
        <v>64</v>
      </c>
      <c r="G116" s="71" t="s">
        <v>178</v>
      </c>
      <c r="H116" s="92"/>
    </row>
    <row r="117" spans="2:10" s="1" customFormat="1" ht="80.25" customHeight="1" x14ac:dyDescent="0.25">
      <c r="B117" s="104" t="s">
        <v>132</v>
      </c>
      <c r="C117" s="23" t="s">
        <v>154</v>
      </c>
      <c r="D117" s="23" t="s">
        <v>155</v>
      </c>
      <c r="E117" s="24">
        <f>115976-5976</f>
        <v>110000</v>
      </c>
      <c r="F117" s="25" t="s">
        <v>61</v>
      </c>
      <c r="G117" s="26" t="s">
        <v>152</v>
      </c>
      <c r="H117" s="48" t="s">
        <v>98</v>
      </c>
    </row>
    <row r="118" spans="2:10" ht="70.5" customHeight="1" x14ac:dyDescent="0.25">
      <c r="B118" s="126" t="s">
        <v>146</v>
      </c>
      <c r="C118" s="127"/>
      <c r="D118" s="127"/>
      <c r="E118" s="16">
        <f>SUM(E119:E121)</f>
        <v>442800</v>
      </c>
      <c r="F118" s="13"/>
      <c r="G118" s="14"/>
      <c r="H118" s="10"/>
      <c r="I118" s="61"/>
      <c r="J118" s="63"/>
    </row>
    <row r="119" spans="2:10" s="18" customFormat="1" ht="33.75" x14ac:dyDescent="0.25">
      <c r="B119" s="65" t="s">
        <v>132</v>
      </c>
      <c r="C119" s="99" t="s">
        <v>32</v>
      </c>
      <c r="D119" s="99" t="s">
        <v>29</v>
      </c>
      <c r="E119" s="56">
        <f>264000-4020</f>
        <v>259980</v>
      </c>
      <c r="F119" s="100" t="s">
        <v>64</v>
      </c>
      <c r="G119" s="80" t="s">
        <v>125</v>
      </c>
      <c r="H119" s="101"/>
    </row>
    <row r="120" spans="2:10" s="18" customFormat="1" ht="33.75" x14ac:dyDescent="0.25">
      <c r="B120" s="65" t="s">
        <v>132</v>
      </c>
      <c r="C120" s="28" t="s">
        <v>7</v>
      </c>
      <c r="D120" s="28" t="s">
        <v>28</v>
      </c>
      <c r="E120" s="24">
        <v>132000</v>
      </c>
      <c r="F120" s="29" t="s">
        <v>64</v>
      </c>
      <c r="G120" s="26" t="s">
        <v>125</v>
      </c>
      <c r="H120" s="55"/>
    </row>
    <row r="121" spans="2:10" s="1" customFormat="1" ht="33.75" x14ac:dyDescent="0.25">
      <c r="B121" s="104" t="s">
        <v>132</v>
      </c>
      <c r="C121" s="23" t="s">
        <v>14</v>
      </c>
      <c r="D121" s="23" t="s">
        <v>40</v>
      </c>
      <c r="E121" s="24">
        <f>4020+46800</f>
        <v>50820</v>
      </c>
      <c r="F121" s="25" t="s">
        <v>60</v>
      </c>
      <c r="G121" s="26" t="s">
        <v>125</v>
      </c>
      <c r="H121" s="23"/>
    </row>
  </sheetData>
  <autoFilter ref="A8:H121"/>
  <mergeCells count="20">
    <mergeCell ref="B113:D113"/>
    <mergeCell ref="B118:D118"/>
    <mergeCell ref="B89:D89"/>
    <mergeCell ref="B92:D92"/>
    <mergeCell ref="B98:D98"/>
    <mergeCell ref="B100:D100"/>
    <mergeCell ref="B105:D105"/>
    <mergeCell ref="B107:D107"/>
    <mergeCell ref="B85:D85"/>
    <mergeCell ref="B2:H2"/>
    <mergeCell ref="B3:H3"/>
    <mergeCell ref="B4:E4"/>
    <mergeCell ref="F4:H4"/>
    <mergeCell ref="B5:E5"/>
    <mergeCell ref="F5:H5"/>
    <mergeCell ref="B6:F6"/>
    <mergeCell ref="B9:D9"/>
    <mergeCell ref="B68:D68"/>
    <mergeCell ref="B73:D73"/>
    <mergeCell ref="B79:D79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21"/>
  <sheetViews>
    <sheetView topLeftCell="B91" zoomScaleNormal="100" zoomScaleSheetLayoutView="80" workbookViewId="0">
      <selection activeCell="D124" sqref="D124"/>
    </sheetView>
  </sheetViews>
  <sheetFormatPr defaultRowHeight="15" x14ac:dyDescent="0.2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1.5703125" bestFit="1" customWidth="1"/>
    <col min="12" max="12" width="14.28515625" bestFit="1" customWidth="1"/>
    <col min="13" max="13" width="11.5703125" bestFit="1" customWidth="1"/>
  </cols>
  <sheetData>
    <row r="2" spans="2:9" ht="18.75" x14ac:dyDescent="0.25">
      <c r="B2" s="123" t="s">
        <v>41</v>
      </c>
      <c r="C2" s="123"/>
      <c r="D2" s="123"/>
      <c r="E2" s="123"/>
      <c r="F2" s="123"/>
      <c r="G2" s="123"/>
      <c r="H2" s="123"/>
    </row>
    <row r="3" spans="2:9" ht="18.75" x14ac:dyDescent="0.3">
      <c r="B3" s="124" t="s">
        <v>4</v>
      </c>
      <c r="C3" s="124"/>
      <c r="D3" s="124"/>
      <c r="E3" s="124"/>
      <c r="F3" s="124"/>
      <c r="G3" s="124"/>
      <c r="H3" s="124"/>
    </row>
    <row r="4" spans="2:9" x14ac:dyDescent="0.25">
      <c r="B4" s="125" t="s">
        <v>54</v>
      </c>
      <c r="C4" s="125"/>
      <c r="D4" s="125"/>
      <c r="E4" s="125"/>
      <c r="F4" s="125" t="s">
        <v>21</v>
      </c>
      <c r="G4" s="125"/>
      <c r="H4" s="125"/>
    </row>
    <row r="5" spans="2:9" x14ac:dyDescent="0.25">
      <c r="B5" s="125" t="s">
        <v>20</v>
      </c>
      <c r="C5" s="125"/>
      <c r="D5" s="125"/>
      <c r="E5" s="125"/>
      <c r="F5" s="125" t="s">
        <v>10</v>
      </c>
      <c r="G5" s="125"/>
      <c r="H5" s="125"/>
      <c r="I5" s="109"/>
    </row>
    <row r="6" spans="2:9" ht="24.75" customHeight="1" x14ac:dyDescent="0.25">
      <c r="B6" s="115" t="s">
        <v>22</v>
      </c>
      <c r="C6" s="116"/>
      <c r="D6" s="116"/>
      <c r="E6" s="116"/>
      <c r="F6" s="116"/>
      <c r="G6" s="2">
        <f>E9+E68+E73+E79+E85+E89+E92+E98+E100+E105+E107+E113+E118</f>
        <v>43523576.100000001</v>
      </c>
      <c r="H6" s="3" t="s">
        <v>23</v>
      </c>
    </row>
    <row r="7" spans="2:9" ht="25.5" x14ac:dyDescent="0.2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9" x14ac:dyDescent="0.25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9" ht="60.75" customHeight="1" x14ac:dyDescent="0.25">
      <c r="B9" s="117" t="s">
        <v>131</v>
      </c>
      <c r="C9" s="118"/>
      <c r="D9" s="118"/>
      <c r="E9" s="15">
        <f>SUM(E10:E66)</f>
        <v>4258909</v>
      </c>
      <c r="F9" s="11"/>
      <c r="G9" s="9"/>
      <c r="H9" s="10"/>
    </row>
    <row r="10" spans="2:9" s="18" customFormat="1" ht="33.75" x14ac:dyDescent="0.2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9" s="18" customFormat="1" ht="33.75" x14ac:dyDescent="0.2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9" s="18" customFormat="1" ht="25.5" x14ac:dyDescent="0.25">
      <c r="B12" s="65" t="s">
        <v>132</v>
      </c>
      <c r="C12" s="78" t="s">
        <v>169</v>
      </c>
      <c r="D12" s="78" t="s">
        <v>170</v>
      </c>
      <c r="E12" s="56">
        <v>6100</v>
      </c>
      <c r="F12" s="79" t="s">
        <v>60</v>
      </c>
      <c r="G12" s="110" t="s">
        <v>160</v>
      </c>
      <c r="H12" s="78"/>
    </row>
    <row r="13" spans="2:9" s="18" customFormat="1" ht="33.75" x14ac:dyDescent="0.25">
      <c r="B13" s="65" t="s">
        <v>132</v>
      </c>
      <c r="C13" s="23" t="s">
        <v>100</v>
      </c>
      <c r="D13" s="23" t="s">
        <v>101</v>
      </c>
      <c r="E13" s="56">
        <v>500</v>
      </c>
      <c r="F13" s="25" t="s">
        <v>61</v>
      </c>
      <c r="G13" s="26" t="s">
        <v>125</v>
      </c>
      <c r="H13" s="23"/>
    </row>
    <row r="14" spans="2:9" s="19" customFormat="1" ht="33.75" x14ac:dyDescent="0.25">
      <c r="B14" s="65" t="s">
        <v>132</v>
      </c>
      <c r="C14" s="28" t="s">
        <v>50</v>
      </c>
      <c r="D14" s="28" t="s">
        <v>52</v>
      </c>
      <c r="E14" s="56">
        <v>1600</v>
      </c>
      <c r="F14" s="29" t="s">
        <v>61</v>
      </c>
      <c r="G14" s="26" t="s">
        <v>125</v>
      </c>
      <c r="H14" s="28"/>
    </row>
    <row r="15" spans="2:9" s="106" customFormat="1" ht="38.25" customHeight="1" x14ac:dyDescent="0.25">
      <c r="B15" s="104" t="s">
        <v>132</v>
      </c>
      <c r="C15" s="28" t="s">
        <v>159</v>
      </c>
      <c r="D15" s="28" t="s">
        <v>158</v>
      </c>
      <c r="E15" s="24">
        <v>1973</v>
      </c>
      <c r="F15" s="29" t="s">
        <v>61</v>
      </c>
      <c r="G15" s="26" t="s">
        <v>152</v>
      </c>
      <c r="H15" s="28"/>
    </row>
    <row r="16" spans="2:9" s="18" customFormat="1" ht="49.5" customHeight="1" x14ac:dyDescent="0.25">
      <c r="B16" s="67" t="s">
        <v>132</v>
      </c>
      <c r="C16" s="68" t="s">
        <v>39</v>
      </c>
      <c r="D16" s="68" t="s">
        <v>58</v>
      </c>
      <c r="E16" s="69">
        <f>23100-15587</f>
        <v>7513</v>
      </c>
      <c r="F16" s="70" t="s">
        <v>60</v>
      </c>
      <c r="G16" s="71" t="s">
        <v>125</v>
      </c>
      <c r="H16" s="68"/>
    </row>
    <row r="17" spans="2:8" s="18" customFormat="1" ht="49.5" customHeight="1" x14ac:dyDescent="0.25">
      <c r="B17" s="67" t="s">
        <v>132</v>
      </c>
      <c r="C17" s="68" t="s">
        <v>39</v>
      </c>
      <c r="D17" s="68" t="s">
        <v>58</v>
      </c>
      <c r="E17" s="69">
        <f>60000+9000+15587</f>
        <v>84587</v>
      </c>
      <c r="F17" s="70" t="s">
        <v>64</v>
      </c>
      <c r="G17" s="71" t="s">
        <v>125</v>
      </c>
      <c r="H17" s="68"/>
    </row>
    <row r="18" spans="2:8" s="18" customFormat="1" ht="38.25" customHeight="1" x14ac:dyDescent="0.25">
      <c r="B18" s="65" t="s">
        <v>147</v>
      </c>
      <c r="C18" s="84">
        <v>31400000</v>
      </c>
      <c r="D18" s="78" t="s">
        <v>11</v>
      </c>
      <c r="E18" s="56">
        <f>3000+1800</f>
        <v>4800</v>
      </c>
      <c r="F18" s="79" t="s">
        <v>60</v>
      </c>
      <c r="G18" s="80" t="s">
        <v>125</v>
      </c>
      <c r="H18" s="81"/>
    </row>
    <row r="19" spans="2:8" s="18" customFormat="1" ht="56.25" x14ac:dyDescent="0.25">
      <c r="B19" s="65" t="s">
        <v>147</v>
      </c>
      <c r="C19" s="84">
        <v>33100000</v>
      </c>
      <c r="D19" s="78" t="s">
        <v>57</v>
      </c>
      <c r="E19" s="56">
        <v>2000</v>
      </c>
      <c r="F19" s="79" t="s">
        <v>61</v>
      </c>
      <c r="G19" s="80" t="s">
        <v>160</v>
      </c>
      <c r="H19" s="102" t="s">
        <v>85</v>
      </c>
    </row>
    <row r="20" spans="2:8" s="18" customFormat="1" ht="25.5" x14ac:dyDescent="0.25">
      <c r="B20" s="65" t="s">
        <v>147</v>
      </c>
      <c r="C20" s="84">
        <v>35800000</v>
      </c>
      <c r="D20" s="78" t="s">
        <v>171</v>
      </c>
      <c r="E20" s="56">
        <v>405</v>
      </c>
      <c r="F20" s="79" t="s">
        <v>61</v>
      </c>
      <c r="G20" s="80" t="s">
        <v>172</v>
      </c>
      <c r="H20" s="102"/>
    </row>
    <row r="21" spans="2:8" s="18" customFormat="1" ht="56.25" x14ac:dyDescent="0.25">
      <c r="B21" s="65" t="s">
        <v>147</v>
      </c>
      <c r="C21" s="84">
        <v>33600000</v>
      </c>
      <c r="D21" s="78" t="s">
        <v>29</v>
      </c>
      <c r="E21" s="56">
        <v>10000</v>
      </c>
      <c r="F21" s="79" t="s">
        <v>61</v>
      </c>
      <c r="G21" s="80" t="s">
        <v>160</v>
      </c>
      <c r="H21" s="102" t="s">
        <v>85</v>
      </c>
    </row>
    <row r="22" spans="2:8" s="18" customFormat="1" ht="38.25" customHeight="1" x14ac:dyDescent="0.25">
      <c r="B22" s="67" t="s">
        <v>147</v>
      </c>
      <c r="C22" s="68" t="s">
        <v>43</v>
      </c>
      <c r="D22" s="68" t="s">
        <v>42</v>
      </c>
      <c r="E22" s="69">
        <f>10000+7260+80</f>
        <v>17340</v>
      </c>
      <c r="F22" s="70" t="s">
        <v>60</v>
      </c>
      <c r="G22" s="71" t="s">
        <v>125</v>
      </c>
      <c r="H22" s="97"/>
    </row>
    <row r="23" spans="2:8" s="18" customFormat="1" ht="42" customHeight="1" x14ac:dyDescent="0.25">
      <c r="B23" s="65" t="s">
        <v>132</v>
      </c>
      <c r="C23" s="78" t="s">
        <v>174</v>
      </c>
      <c r="D23" s="78" t="s">
        <v>175</v>
      </c>
      <c r="E23" s="56">
        <v>3756</v>
      </c>
      <c r="F23" s="79" t="s">
        <v>91</v>
      </c>
      <c r="G23" s="80" t="s">
        <v>172</v>
      </c>
      <c r="H23" s="81"/>
    </row>
    <row r="24" spans="2:8" s="18" customFormat="1" ht="33.75" x14ac:dyDescent="0.25">
      <c r="B24" s="65" t="s">
        <v>132</v>
      </c>
      <c r="C24" s="23" t="s">
        <v>92</v>
      </c>
      <c r="D24" s="23" t="s">
        <v>93</v>
      </c>
      <c r="E24" s="56">
        <v>4800</v>
      </c>
      <c r="F24" s="25" t="s">
        <v>91</v>
      </c>
      <c r="G24" s="26" t="s">
        <v>125</v>
      </c>
      <c r="H24" s="31"/>
    </row>
    <row r="25" spans="2:8" s="18" customFormat="1" ht="33.75" x14ac:dyDescent="0.25">
      <c r="B25" s="65" t="s">
        <v>132</v>
      </c>
      <c r="C25" s="23" t="s">
        <v>94</v>
      </c>
      <c r="D25" s="23" t="s">
        <v>95</v>
      </c>
      <c r="E25" s="56">
        <v>4800</v>
      </c>
      <c r="F25" s="25" t="s">
        <v>91</v>
      </c>
      <c r="G25" s="26" t="s">
        <v>125</v>
      </c>
      <c r="H25" s="31"/>
    </row>
    <row r="26" spans="2:8" s="18" customFormat="1" ht="33.75" x14ac:dyDescent="0.25">
      <c r="B26" s="65" t="s">
        <v>132</v>
      </c>
      <c r="C26" s="34">
        <v>39800000</v>
      </c>
      <c r="D26" s="34" t="s">
        <v>84</v>
      </c>
      <c r="E26" s="56">
        <v>4800</v>
      </c>
      <c r="F26" s="25" t="s">
        <v>91</v>
      </c>
      <c r="G26" s="26" t="s">
        <v>125</v>
      </c>
      <c r="H26" s="31"/>
    </row>
    <row r="27" spans="2:8" s="18" customFormat="1" ht="33.75" x14ac:dyDescent="0.25">
      <c r="B27" s="65" t="s">
        <v>132</v>
      </c>
      <c r="C27" s="85">
        <v>42900000</v>
      </c>
      <c r="D27" s="85" t="s">
        <v>168</v>
      </c>
      <c r="E27" s="56">
        <v>1920</v>
      </c>
      <c r="F27" s="79" t="s">
        <v>60</v>
      </c>
      <c r="G27" s="110" t="s">
        <v>160</v>
      </c>
      <c r="H27" s="110"/>
    </row>
    <row r="28" spans="2:8" s="18" customFormat="1" ht="51.75" customHeight="1" x14ac:dyDescent="0.25">
      <c r="B28" s="65" t="s">
        <v>132</v>
      </c>
      <c r="C28" s="84">
        <v>41100000</v>
      </c>
      <c r="D28" s="85" t="s">
        <v>149</v>
      </c>
      <c r="E28" s="56">
        <v>6750</v>
      </c>
      <c r="F28" s="79" t="s">
        <v>64</v>
      </c>
      <c r="G28" s="80" t="s">
        <v>125</v>
      </c>
      <c r="H28" s="81"/>
    </row>
    <row r="29" spans="2:8" s="18" customFormat="1" ht="51.75" customHeight="1" x14ac:dyDescent="0.25">
      <c r="B29" s="65" t="s">
        <v>132</v>
      </c>
      <c r="C29" s="84">
        <v>44400000</v>
      </c>
      <c r="D29" s="85" t="s">
        <v>167</v>
      </c>
      <c r="E29" s="56">
        <v>4120</v>
      </c>
      <c r="F29" s="79" t="s">
        <v>64</v>
      </c>
      <c r="G29" s="80" t="s">
        <v>160</v>
      </c>
      <c r="H29" s="81"/>
    </row>
    <row r="30" spans="2:8" s="18" customFormat="1" ht="51.75" customHeight="1" x14ac:dyDescent="0.25">
      <c r="B30" s="65" t="s">
        <v>132</v>
      </c>
      <c r="C30" s="30">
        <v>45400000</v>
      </c>
      <c r="D30" s="34" t="s">
        <v>102</v>
      </c>
      <c r="E30" s="56">
        <v>40000</v>
      </c>
      <c r="F30" s="25" t="s">
        <v>64</v>
      </c>
      <c r="G30" s="26" t="s">
        <v>125</v>
      </c>
      <c r="H30" s="31"/>
    </row>
    <row r="31" spans="2:8" s="18" customFormat="1" ht="37.5" customHeight="1" x14ac:dyDescent="0.25">
      <c r="B31" s="65" t="s">
        <v>133</v>
      </c>
      <c r="C31" s="30">
        <v>48700000</v>
      </c>
      <c r="D31" s="23" t="s">
        <v>104</v>
      </c>
      <c r="E31" s="56">
        <v>30000</v>
      </c>
      <c r="F31" s="25" t="s">
        <v>64</v>
      </c>
      <c r="G31" s="26" t="s">
        <v>125</v>
      </c>
      <c r="H31" s="31"/>
    </row>
    <row r="32" spans="2:8" s="18" customFormat="1" ht="56.25" x14ac:dyDescent="0.25">
      <c r="B32" s="65" t="s">
        <v>132</v>
      </c>
      <c r="C32" s="78">
        <v>50100000</v>
      </c>
      <c r="D32" s="78" t="s">
        <v>44</v>
      </c>
      <c r="E32" s="56">
        <f>10000+30000</f>
        <v>40000</v>
      </c>
      <c r="F32" s="79" t="s">
        <v>61</v>
      </c>
      <c r="G32" s="80" t="s">
        <v>125</v>
      </c>
      <c r="H32" s="102" t="s">
        <v>66</v>
      </c>
    </row>
    <row r="33" spans="2:8" s="1" customFormat="1" ht="92.25" customHeight="1" x14ac:dyDescent="0.25">
      <c r="B33" s="104" t="s">
        <v>132</v>
      </c>
      <c r="C33" s="23" t="s">
        <v>59</v>
      </c>
      <c r="D33" s="23" t="s">
        <v>62</v>
      </c>
      <c r="E33" s="24">
        <f>120000-30000+15000</f>
        <v>105000</v>
      </c>
      <c r="F33" s="25" t="s">
        <v>64</v>
      </c>
      <c r="G33" s="26" t="s">
        <v>125</v>
      </c>
      <c r="H33" s="36"/>
    </row>
    <row r="34" spans="2:8" s="18" customFormat="1" ht="56.25" x14ac:dyDescent="0.25">
      <c r="B34" s="65" t="s">
        <v>132</v>
      </c>
      <c r="C34" s="78">
        <v>50100000</v>
      </c>
      <c r="D34" s="78" t="s">
        <v>44</v>
      </c>
      <c r="E34" s="56">
        <v>2080</v>
      </c>
      <c r="F34" s="79" t="s">
        <v>61</v>
      </c>
      <c r="G34" s="80" t="s">
        <v>160</v>
      </c>
      <c r="H34" s="102" t="s">
        <v>85</v>
      </c>
    </row>
    <row r="35" spans="2:8" s="18" customFormat="1" ht="92.25" customHeight="1" x14ac:dyDescent="0.25">
      <c r="B35" s="65" t="s">
        <v>132</v>
      </c>
      <c r="C35" s="23" t="s">
        <v>107</v>
      </c>
      <c r="D35" s="23" t="s">
        <v>108</v>
      </c>
      <c r="E35" s="56">
        <v>50000</v>
      </c>
      <c r="F35" s="25" t="s">
        <v>64</v>
      </c>
      <c r="G35" s="26" t="s">
        <v>125</v>
      </c>
      <c r="H35" s="31"/>
    </row>
    <row r="36" spans="2:8" s="18" customFormat="1" ht="92.25" customHeight="1" x14ac:dyDescent="0.25">
      <c r="B36" s="65" t="s">
        <v>132</v>
      </c>
      <c r="C36" s="23" t="s">
        <v>105</v>
      </c>
      <c r="D36" s="23" t="s">
        <v>106</v>
      </c>
      <c r="E36" s="56">
        <v>310000</v>
      </c>
      <c r="F36" s="25" t="s">
        <v>64</v>
      </c>
      <c r="G36" s="26" t="s">
        <v>125</v>
      </c>
      <c r="H36" s="36"/>
    </row>
    <row r="37" spans="2:8" s="18" customFormat="1" ht="92.25" customHeight="1" x14ac:dyDescent="0.25">
      <c r="B37" s="65" t="s">
        <v>147</v>
      </c>
      <c r="C37" s="23" t="s">
        <v>109</v>
      </c>
      <c r="D37" s="23" t="s">
        <v>110</v>
      </c>
      <c r="E37" s="56">
        <f>60000+45000-20000</f>
        <v>85000</v>
      </c>
      <c r="F37" s="25" t="s">
        <v>64</v>
      </c>
      <c r="G37" s="26" t="s">
        <v>125</v>
      </c>
      <c r="H37" s="36"/>
    </row>
    <row r="38" spans="2:8" s="18" customFormat="1" ht="102.75" customHeight="1" x14ac:dyDescent="0.25">
      <c r="B38" s="65" t="s">
        <v>132</v>
      </c>
      <c r="C38" s="23" t="s">
        <v>86</v>
      </c>
      <c r="D38" s="23" t="s">
        <v>87</v>
      </c>
      <c r="E38" s="56">
        <v>8000</v>
      </c>
      <c r="F38" s="25" t="s">
        <v>64</v>
      </c>
      <c r="G38" s="26" t="s">
        <v>125</v>
      </c>
      <c r="H38" s="23"/>
    </row>
    <row r="39" spans="2:8" s="18" customFormat="1" ht="115.5" customHeight="1" x14ac:dyDescent="0.25">
      <c r="B39" s="65" t="s">
        <v>132</v>
      </c>
      <c r="C39" s="23">
        <v>50700000</v>
      </c>
      <c r="D39" s="23" t="s">
        <v>13</v>
      </c>
      <c r="E39" s="56">
        <f>1600000-59200</f>
        <v>1540800</v>
      </c>
      <c r="F39" s="23" t="s">
        <v>61</v>
      </c>
      <c r="G39" s="26" t="s">
        <v>125</v>
      </c>
      <c r="H39" s="23" t="s">
        <v>99</v>
      </c>
    </row>
    <row r="40" spans="2:8" s="18" customFormat="1" ht="115.5" customHeight="1" x14ac:dyDescent="0.25">
      <c r="B40" s="65" t="s">
        <v>132</v>
      </c>
      <c r="C40" s="78">
        <v>50700000</v>
      </c>
      <c r="D40" s="78" t="s">
        <v>13</v>
      </c>
      <c r="E40" s="56">
        <f>93000-45000+20000+46148</f>
        <v>114148</v>
      </c>
      <c r="F40" s="78" t="s">
        <v>64</v>
      </c>
      <c r="G40" s="80" t="s">
        <v>125</v>
      </c>
      <c r="H40" s="78"/>
    </row>
    <row r="41" spans="2:8" s="18" customFormat="1" ht="115.5" customHeight="1" x14ac:dyDescent="0.25">
      <c r="B41" s="65" t="s">
        <v>132</v>
      </c>
      <c r="C41" s="78" t="s">
        <v>117</v>
      </c>
      <c r="D41" s="78" t="s">
        <v>118</v>
      </c>
      <c r="E41" s="56">
        <f>120000+68250</f>
        <v>188250</v>
      </c>
      <c r="F41" s="78" t="s">
        <v>64</v>
      </c>
      <c r="G41" s="80" t="s">
        <v>125</v>
      </c>
      <c r="H41" s="78"/>
    </row>
    <row r="42" spans="2:8" s="18" customFormat="1" ht="115.5" customHeight="1" x14ac:dyDescent="0.25">
      <c r="B42" s="65" t="s">
        <v>132</v>
      </c>
      <c r="C42" s="23" t="s">
        <v>111</v>
      </c>
      <c r="D42" s="23" t="s">
        <v>112</v>
      </c>
      <c r="E42" s="56">
        <v>120000</v>
      </c>
      <c r="F42" s="23" t="s">
        <v>64</v>
      </c>
      <c r="G42" s="26" t="s">
        <v>125</v>
      </c>
      <c r="H42" s="23"/>
    </row>
    <row r="43" spans="2:8" s="18" customFormat="1" ht="58.5" customHeight="1" x14ac:dyDescent="0.25">
      <c r="B43" s="65" t="s">
        <v>132</v>
      </c>
      <c r="C43" s="30">
        <v>63700000</v>
      </c>
      <c r="D43" s="23" t="s">
        <v>70</v>
      </c>
      <c r="E43" s="56">
        <v>2000</v>
      </c>
      <c r="F43" s="25" t="s">
        <v>61</v>
      </c>
      <c r="G43" s="26" t="s">
        <v>125</v>
      </c>
      <c r="H43" s="26" t="s">
        <v>85</v>
      </c>
    </row>
    <row r="44" spans="2:8" s="18" customFormat="1" ht="63.75" customHeight="1" x14ac:dyDescent="0.25">
      <c r="B44" s="65" t="s">
        <v>132</v>
      </c>
      <c r="C44" s="23" t="s">
        <v>47</v>
      </c>
      <c r="D44" s="23" t="s">
        <v>48</v>
      </c>
      <c r="E44" s="56">
        <v>6000</v>
      </c>
      <c r="F44" s="25" t="s">
        <v>64</v>
      </c>
      <c r="G44" s="26" t="s">
        <v>125</v>
      </c>
      <c r="H44" s="23"/>
    </row>
    <row r="45" spans="2:8" s="18" customFormat="1" ht="33.75" x14ac:dyDescent="0.25">
      <c r="B45" s="65" t="s">
        <v>132</v>
      </c>
      <c r="C45" s="38" t="s">
        <v>18</v>
      </c>
      <c r="D45" s="23" t="s">
        <v>46</v>
      </c>
      <c r="E45" s="56">
        <v>25000</v>
      </c>
      <c r="F45" s="25" t="s">
        <v>64</v>
      </c>
      <c r="G45" s="26" t="s">
        <v>125</v>
      </c>
      <c r="H45" s="33"/>
    </row>
    <row r="46" spans="2:8" s="18" customFormat="1" ht="56.25" x14ac:dyDescent="0.25">
      <c r="B46" s="65" t="s">
        <v>132</v>
      </c>
      <c r="C46" s="38" t="s">
        <v>18</v>
      </c>
      <c r="D46" s="23" t="s">
        <v>46</v>
      </c>
      <c r="E46" s="56">
        <v>25500</v>
      </c>
      <c r="F46" s="25" t="s">
        <v>61</v>
      </c>
      <c r="G46" s="26" t="s">
        <v>125</v>
      </c>
      <c r="H46" s="26" t="s">
        <v>96</v>
      </c>
    </row>
    <row r="47" spans="2:8" s="18" customFormat="1" ht="56.25" x14ac:dyDescent="0.25">
      <c r="B47" s="65" t="s">
        <v>132</v>
      </c>
      <c r="C47" s="77" t="s">
        <v>161</v>
      </c>
      <c r="D47" s="78" t="s">
        <v>46</v>
      </c>
      <c r="E47" s="56">
        <v>9000</v>
      </c>
      <c r="F47" s="79" t="s">
        <v>61</v>
      </c>
      <c r="G47" s="80" t="s">
        <v>152</v>
      </c>
      <c r="H47" s="80" t="s">
        <v>162</v>
      </c>
    </row>
    <row r="48" spans="2:8" s="18" customFormat="1" ht="33.75" x14ac:dyDescent="0.25">
      <c r="B48" s="65" t="s">
        <v>132</v>
      </c>
      <c r="C48" s="38" t="s">
        <v>18</v>
      </c>
      <c r="D48" s="23" t="s">
        <v>46</v>
      </c>
      <c r="E48" s="56">
        <v>24000</v>
      </c>
      <c r="F48" s="25" t="s">
        <v>60</v>
      </c>
      <c r="G48" s="26" t="s">
        <v>125</v>
      </c>
      <c r="H48" s="33"/>
    </row>
    <row r="49" spans="2:10" s="18" customFormat="1" ht="33.75" x14ac:dyDescent="0.25">
      <c r="B49" s="65" t="s">
        <v>134</v>
      </c>
      <c r="C49" s="38" t="s">
        <v>114</v>
      </c>
      <c r="D49" s="23" t="s">
        <v>113</v>
      </c>
      <c r="E49" s="56">
        <v>30000</v>
      </c>
      <c r="F49" s="25" t="s">
        <v>64</v>
      </c>
      <c r="G49" s="26" t="s">
        <v>125</v>
      </c>
      <c r="H49" s="26"/>
    </row>
    <row r="50" spans="2:10" s="18" customFormat="1" ht="33.75" x14ac:dyDescent="0.25">
      <c r="B50" s="65" t="s">
        <v>132</v>
      </c>
      <c r="C50" s="38" t="s">
        <v>55</v>
      </c>
      <c r="D50" s="23" t="s">
        <v>56</v>
      </c>
      <c r="E50" s="56">
        <v>1680</v>
      </c>
      <c r="F50" s="25" t="s">
        <v>91</v>
      </c>
      <c r="G50" s="26" t="s">
        <v>125</v>
      </c>
      <c r="H50" s="33"/>
    </row>
    <row r="51" spans="2:10" s="18" customFormat="1" ht="57" customHeight="1" x14ac:dyDescent="0.25">
      <c r="B51" s="65" t="s">
        <v>132</v>
      </c>
      <c r="C51" s="77" t="s">
        <v>17</v>
      </c>
      <c r="D51" s="78" t="s">
        <v>16</v>
      </c>
      <c r="E51" s="56">
        <f>90000+34000</f>
        <v>124000</v>
      </c>
      <c r="F51" s="79" t="s">
        <v>61</v>
      </c>
      <c r="G51" s="80" t="s">
        <v>125</v>
      </c>
      <c r="H51" s="80" t="s">
        <v>67</v>
      </c>
    </row>
    <row r="52" spans="2:10" s="18" customFormat="1" ht="65.25" customHeight="1" x14ac:dyDescent="0.25">
      <c r="B52" s="65" t="s">
        <v>132</v>
      </c>
      <c r="C52" s="77" t="s">
        <v>17</v>
      </c>
      <c r="D52" s="78" t="s">
        <v>16</v>
      </c>
      <c r="E52" s="56">
        <f>150+400+266+21+350</f>
        <v>1187</v>
      </c>
      <c r="F52" s="79" t="s">
        <v>61</v>
      </c>
      <c r="G52" s="80" t="s">
        <v>125</v>
      </c>
      <c r="H52" s="80"/>
      <c r="J52" s="20"/>
    </row>
    <row r="53" spans="2:10" s="18" customFormat="1" ht="56.25" x14ac:dyDescent="0.25">
      <c r="B53" s="65" t="s">
        <v>132</v>
      </c>
      <c r="C53" s="38" t="s">
        <v>77</v>
      </c>
      <c r="D53" s="23" t="s">
        <v>78</v>
      </c>
      <c r="E53" s="56">
        <v>3000</v>
      </c>
      <c r="F53" s="25" t="s">
        <v>61</v>
      </c>
      <c r="G53" s="26" t="s">
        <v>125</v>
      </c>
      <c r="H53" s="26" t="s">
        <v>79</v>
      </c>
    </row>
    <row r="54" spans="2:10" s="18" customFormat="1" ht="56.25" x14ac:dyDescent="0.25">
      <c r="B54" s="65" t="s">
        <v>132</v>
      </c>
      <c r="C54" s="77" t="s">
        <v>163</v>
      </c>
      <c r="D54" s="78" t="s">
        <v>164</v>
      </c>
      <c r="E54" s="56">
        <v>500</v>
      </c>
      <c r="F54" s="79" t="s">
        <v>61</v>
      </c>
      <c r="G54" s="80" t="s">
        <v>152</v>
      </c>
      <c r="H54" s="80" t="s">
        <v>79</v>
      </c>
    </row>
    <row r="55" spans="2:10" s="18" customFormat="1" ht="75" customHeight="1" x14ac:dyDescent="0.25">
      <c r="B55" s="65" t="s">
        <v>132</v>
      </c>
      <c r="C55" s="77" t="s">
        <v>25</v>
      </c>
      <c r="D55" s="78" t="s">
        <v>119</v>
      </c>
      <c r="E55" s="56">
        <v>100000</v>
      </c>
      <c r="F55" s="79" t="s">
        <v>64</v>
      </c>
      <c r="G55" s="80" t="s">
        <v>125</v>
      </c>
      <c r="H55" s="80"/>
    </row>
    <row r="56" spans="2:10" s="1" customFormat="1" ht="63.75" customHeight="1" x14ac:dyDescent="0.25">
      <c r="B56" s="104" t="s">
        <v>132</v>
      </c>
      <c r="C56" s="23" t="s">
        <v>45</v>
      </c>
      <c r="D56" s="23" t="s">
        <v>63</v>
      </c>
      <c r="E56" s="24">
        <f>6000+3850</f>
        <v>9850</v>
      </c>
      <c r="F56" s="25" t="s">
        <v>64</v>
      </c>
      <c r="G56" s="26" t="s">
        <v>125</v>
      </c>
      <c r="H56" s="26"/>
    </row>
    <row r="57" spans="2:10" s="18" customFormat="1" ht="63.75" customHeight="1" x14ac:dyDescent="0.25">
      <c r="B57" s="65" t="s">
        <v>132</v>
      </c>
      <c r="C57" s="78" t="s">
        <v>120</v>
      </c>
      <c r="D57" s="78" t="s">
        <v>121</v>
      </c>
      <c r="E57" s="56">
        <v>450</v>
      </c>
      <c r="F57" s="79" t="s">
        <v>61</v>
      </c>
      <c r="G57" s="80" t="s">
        <v>125</v>
      </c>
      <c r="H57" s="80"/>
    </row>
    <row r="58" spans="2:10" s="18" customFormat="1" ht="77.25" customHeight="1" x14ac:dyDescent="0.25">
      <c r="B58" s="65" t="s">
        <v>132</v>
      </c>
      <c r="C58" s="30">
        <v>79700000</v>
      </c>
      <c r="D58" s="23" t="s">
        <v>27</v>
      </c>
      <c r="E58" s="56">
        <v>600000</v>
      </c>
      <c r="F58" s="25" t="s">
        <v>61</v>
      </c>
      <c r="G58" s="26" t="s">
        <v>125</v>
      </c>
      <c r="H58" s="26" t="s">
        <v>80</v>
      </c>
    </row>
    <row r="59" spans="2:10" s="18" customFormat="1" ht="62.25" customHeight="1" x14ac:dyDescent="0.25">
      <c r="B59" s="65" t="s">
        <v>132</v>
      </c>
      <c r="C59" s="30">
        <v>79800000</v>
      </c>
      <c r="D59" s="23" t="s">
        <v>81</v>
      </c>
      <c r="E59" s="56">
        <v>10000</v>
      </c>
      <c r="F59" s="25" t="s">
        <v>64</v>
      </c>
      <c r="G59" s="26" t="s">
        <v>125</v>
      </c>
      <c r="H59" s="26"/>
    </row>
    <row r="60" spans="2:10" s="18" customFormat="1" ht="62.25" customHeight="1" x14ac:dyDescent="0.25">
      <c r="B60" s="65" t="s">
        <v>132</v>
      </c>
      <c r="C60" s="78" t="s">
        <v>53</v>
      </c>
      <c r="D60" s="78" t="s">
        <v>65</v>
      </c>
      <c r="E60" s="56">
        <f>20000+12000-2305</f>
        <v>29695</v>
      </c>
      <c r="F60" s="79" t="s">
        <v>61</v>
      </c>
      <c r="G60" s="80" t="s">
        <v>125</v>
      </c>
      <c r="H60" s="78" t="s">
        <v>68</v>
      </c>
    </row>
    <row r="61" spans="2:10" s="18" customFormat="1" ht="62.25" customHeight="1" x14ac:dyDescent="0.25">
      <c r="B61" s="65" t="s">
        <v>132</v>
      </c>
      <c r="C61" s="78" t="s">
        <v>53</v>
      </c>
      <c r="D61" s="78" t="s">
        <v>65</v>
      </c>
      <c r="E61" s="56">
        <v>2305</v>
      </c>
      <c r="F61" s="79" t="s">
        <v>61</v>
      </c>
      <c r="G61" s="80" t="s">
        <v>173</v>
      </c>
      <c r="H61" s="78"/>
    </row>
    <row r="62" spans="2:10" s="18" customFormat="1" ht="62.25" customHeight="1" x14ac:dyDescent="0.25">
      <c r="B62" s="65" t="s">
        <v>132</v>
      </c>
      <c r="C62" s="38" t="s">
        <v>24</v>
      </c>
      <c r="D62" s="23" t="s">
        <v>71</v>
      </c>
      <c r="E62" s="56">
        <v>12000</v>
      </c>
      <c r="F62" s="25" t="s">
        <v>64</v>
      </c>
      <c r="G62" s="26" t="s">
        <v>125</v>
      </c>
      <c r="H62" s="23"/>
    </row>
    <row r="63" spans="2:10" s="18" customFormat="1" ht="62.25" customHeight="1" x14ac:dyDescent="0.25">
      <c r="B63" s="65" t="s">
        <v>132</v>
      </c>
      <c r="C63" s="38" t="s">
        <v>122</v>
      </c>
      <c r="D63" s="23" t="s">
        <v>123</v>
      </c>
      <c r="E63" s="56">
        <v>1000</v>
      </c>
      <c r="F63" s="25" t="s">
        <v>61</v>
      </c>
      <c r="G63" s="26" t="s">
        <v>125</v>
      </c>
      <c r="H63" s="23"/>
    </row>
    <row r="64" spans="2:10" s="18" customFormat="1" ht="60.75" customHeight="1" x14ac:dyDescent="0.25">
      <c r="B64" s="65" t="s">
        <v>132</v>
      </c>
      <c r="C64" s="78" t="s">
        <v>82</v>
      </c>
      <c r="D64" s="78" t="s">
        <v>83</v>
      </c>
      <c r="E64" s="56">
        <v>10000</v>
      </c>
      <c r="F64" s="79" t="s">
        <v>61</v>
      </c>
      <c r="G64" s="80" t="s">
        <v>125</v>
      </c>
      <c r="H64" s="80" t="s">
        <v>79</v>
      </c>
    </row>
    <row r="65" spans="2:13" s="18" customFormat="1" ht="36.75" customHeight="1" x14ac:dyDescent="0.25">
      <c r="B65" s="65" t="s">
        <v>132</v>
      </c>
      <c r="C65" s="78" t="s">
        <v>12</v>
      </c>
      <c r="D65" s="78" t="s">
        <v>19</v>
      </c>
      <c r="E65" s="56">
        <f>80000+110000</f>
        <v>190000</v>
      </c>
      <c r="F65" s="79" t="s">
        <v>64</v>
      </c>
      <c r="G65" s="80" t="s">
        <v>125</v>
      </c>
      <c r="H65" s="81"/>
    </row>
    <row r="66" spans="2:13" s="18" customFormat="1" ht="54.75" customHeight="1" x14ac:dyDescent="0.25">
      <c r="B66" s="65" t="s">
        <v>132</v>
      </c>
      <c r="C66" s="78" t="s">
        <v>115</v>
      </c>
      <c r="D66" s="78" t="s">
        <v>116</v>
      </c>
      <c r="E66" s="56">
        <v>15000</v>
      </c>
      <c r="F66" s="79" t="s">
        <v>61</v>
      </c>
      <c r="G66" s="80" t="s">
        <v>125</v>
      </c>
      <c r="H66" s="80" t="s">
        <v>79</v>
      </c>
    </row>
    <row r="67" spans="2:13" s="18" customFormat="1" ht="54.75" customHeight="1" x14ac:dyDescent="0.25">
      <c r="B67" s="108" t="s">
        <v>132</v>
      </c>
      <c r="C67" s="78" t="s">
        <v>165</v>
      </c>
      <c r="D67" s="78" t="s">
        <v>166</v>
      </c>
      <c r="E67" s="56">
        <v>4900</v>
      </c>
      <c r="F67" s="79" t="s">
        <v>61</v>
      </c>
      <c r="G67" s="80" t="s">
        <v>152</v>
      </c>
      <c r="H67" s="80" t="s">
        <v>79</v>
      </c>
    </row>
    <row r="68" spans="2:13" s="1" customFormat="1" ht="75" customHeight="1" x14ac:dyDescent="0.25">
      <c r="B68" s="126" t="s">
        <v>135</v>
      </c>
      <c r="C68" s="127"/>
      <c r="D68" s="127"/>
      <c r="E68" s="16">
        <f>SUM(E69:E72)</f>
        <v>1710000</v>
      </c>
      <c r="F68" s="13"/>
      <c r="G68" s="14"/>
      <c r="H68" s="10"/>
      <c r="I68" s="61"/>
      <c r="J68" s="62"/>
    </row>
    <row r="69" spans="2:13" s="1" customFormat="1" ht="59.25" customHeight="1" x14ac:dyDescent="0.25">
      <c r="B69" s="104" t="s">
        <v>132</v>
      </c>
      <c r="C69" s="23" t="s">
        <v>24</v>
      </c>
      <c r="D69" s="23" t="s">
        <v>71</v>
      </c>
      <c r="E69" s="24">
        <f>1710000-142500-E71-E70</f>
        <v>1314302.3999999999</v>
      </c>
      <c r="F69" s="25" t="s">
        <v>64</v>
      </c>
      <c r="G69" s="26" t="s">
        <v>125</v>
      </c>
      <c r="H69" s="41"/>
      <c r="J69" s="62"/>
    </row>
    <row r="70" spans="2:13" s="1" customFormat="1" ht="67.5" x14ac:dyDescent="0.25">
      <c r="B70" s="104" t="s">
        <v>132</v>
      </c>
      <c r="C70" s="23" t="s">
        <v>103</v>
      </c>
      <c r="D70" s="23" t="s">
        <v>71</v>
      </c>
      <c r="E70" s="24">
        <v>33000</v>
      </c>
      <c r="F70" s="25" t="s">
        <v>61</v>
      </c>
      <c r="G70" s="26" t="s">
        <v>151</v>
      </c>
      <c r="H70" s="48" t="s">
        <v>98</v>
      </c>
      <c r="J70" s="62"/>
    </row>
    <row r="71" spans="2:13" s="1" customFormat="1" ht="67.5" x14ac:dyDescent="0.25">
      <c r="B71" s="104" t="s">
        <v>132</v>
      </c>
      <c r="C71" s="23" t="s">
        <v>103</v>
      </c>
      <c r="D71" s="23" t="s">
        <v>71</v>
      </c>
      <c r="E71" s="24">
        <v>220197.6</v>
      </c>
      <c r="F71" s="25" t="s">
        <v>61</v>
      </c>
      <c r="G71" s="26" t="s">
        <v>150</v>
      </c>
      <c r="H71" s="48" t="s">
        <v>98</v>
      </c>
    </row>
    <row r="72" spans="2:13" s="1" customFormat="1" ht="98.25" customHeight="1" x14ac:dyDescent="0.25">
      <c r="B72" s="104" t="s">
        <v>132</v>
      </c>
      <c r="C72" s="23" t="s">
        <v>24</v>
      </c>
      <c r="D72" s="23" t="s">
        <v>71</v>
      </c>
      <c r="E72" s="24">
        <v>142500</v>
      </c>
      <c r="F72" s="25" t="s">
        <v>61</v>
      </c>
      <c r="G72" s="26" t="s">
        <v>125</v>
      </c>
      <c r="H72" s="48" t="s">
        <v>128</v>
      </c>
      <c r="J72" s="62"/>
    </row>
    <row r="73" spans="2:13" s="1" customFormat="1" ht="31.5" customHeight="1" x14ac:dyDescent="0.25">
      <c r="B73" s="126" t="s">
        <v>136</v>
      </c>
      <c r="C73" s="127"/>
      <c r="D73" s="127"/>
      <c r="E73" s="16">
        <f>SUM(E74:E78)</f>
        <v>22370000</v>
      </c>
      <c r="F73" s="13"/>
      <c r="G73" s="9"/>
      <c r="H73" s="10"/>
      <c r="I73" s="61"/>
      <c r="J73" s="62"/>
    </row>
    <row r="74" spans="2:13" s="1" customFormat="1" ht="75.75" customHeight="1" x14ac:dyDescent="0.25">
      <c r="B74" s="104" t="s">
        <v>132</v>
      </c>
      <c r="C74" s="23" t="s">
        <v>7</v>
      </c>
      <c r="D74" s="23" t="s">
        <v>57</v>
      </c>
      <c r="E74" s="24">
        <f>3750000+400000</f>
        <v>4150000</v>
      </c>
      <c r="F74" s="25" t="s">
        <v>61</v>
      </c>
      <c r="G74" s="26" t="s">
        <v>125</v>
      </c>
      <c r="H74" s="48" t="s">
        <v>97</v>
      </c>
    </row>
    <row r="75" spans="2:13" s="1" customFormat="1" ht="75.75" customHeight="1" x14ac:dyDescent="0.25">
      <c r="B75" s="66" t="s">
        <v>133</v>
      </c>
      <c r="C75" s="23" t="s">
        <v>7</v>
      </c>
      <c r="D75" s="23" t="s">
        <v>57</v>
      </c>
      <c r="E75" s="24">
        <v>100000</v>
      </c>
      <c r="F75" s="25" t="s">
        <v>61</v>
      </c>
      <c r="G75" s="26" t="s">
        <v>125</v>
      </c>
      <c r="H75" s="48" t="s">
        <v>97</v>
      </c>
    </row>
    <row r="76" spans="2:13" s="1" customFormat="1" ht="121.5" customHeight="1" x14ac:dyDescent="0.25">
      <c r="B76" s="104" t="s">
        <v>132</v>
      </c>
      <c r="C76" s="23">
        <v>33600000</v>
      </c>
      <c r="D76" s="23" t="s">
        <v>29</v>
      </c>
      <c r="E76" s="24">
        <f>1440000+270000-22680</f>
        <v>1687320</v>
      </c>
      <c r="F76" s="25" t="s">
        <v>64</v>
      </c>
      <c r="G76" s="26" t="s">
        <v>125</v>
      </c>
      <c r="H76" s="41"/>
      <c r="J76" s="62"/>
      <c r="L76" s="62"/>
      <c r="M76" s="62"/>
    </row>
    <row r="77" spans="2:13" s="1" customFormat="1" ht="121.5" customHeight="1" x14ac:dyDescent="0.25">
      <c r="B77" s="104" t="s">
        <v>132</v>
      </c>
      <c r="C77" s="23" t="s">
        <v>32</v>
      </c>
      <c r="D77" s="23" t="s">
        <v>29</v>
      </c>
      <c r="E77" s="24">
        <v>22680</v>
      </c>
      <c r="F77" s="25" t="s">
        <v>61</v>
      </c>
      <c r="G77" s="26" t="s">
        <v>150</v>
      </c>
      <c r="H77" s="48" t="s">
        <v>157</v>
      </c>
      <c r="J77" s="62"/>
      <c r="L77" s="62"/>
      <c r="M77" s="62"/>
    </row>
    <row r="78" spans="2:13" s="1" customFormat="1" ht="87.75" customHeight="1" x14ac:dyDescent="0.25">
      <c r="B78" s="104" t="s">
        <v>132</v>
      </c>
      <c r="C78" s="23" t="s">
        <v>32</v>
      </c>
      <c r="D78" s="23" t="s">
        <v>29</v>
      </c>
      <c r="E78" s="24">
        <v>16410000</v>
      </c>
      <c r="F78" s="25" t="s">
        <v>61</v>
      </c>
      <c r="G78" s="26" t="s">
        <v>125</v>
      </c>
      <c r="H78" s="48" t="s">
        <v>98</v>
      </c>
      <c r="J78" s="62"/>
      <c r="K78" s="62"/>
    </row>
    <row r="79" spans="2:13" s="1" customFormat="1" ht="60" customHeight="1" x14ac:dyDescent="0.25">
      <c r="B79" s="126" t="s">
        <v>137</v>
      </c>
      <c r="C79" s="127"/>
      <c r="D79" s="127"/>
      <c r="E79" s="16">
        <f>SUM(E80:E84)</f>
        <v>1700000</v>
      </c>
      <c r="F79" s="13"/>
      <c r="G79" s="14"/>
      <c r="H79" s="10"/>
      <c r="I79" s="61"/>
      <c r="J79" s="105"/>
    </row>
    <row r="80" spans="2:13" s="1" customFormat="1" ht="36.75" customHeight="1" x14ac:dyDescent="0.25">
      <c r="B80" s="104" t="s">
        <v>132</v>
      </c>
      <c r="C80" s="23" t="s">
        <v>7</v>
      </c>
      <c r="D80" s="23" t="s">
        <v>28</v>
      </c>
      <c r="E80" s="24">
        <v>42272.9</v>
      </c>
      <c r="F80" s="25" t="s">
        <v>64</v>
      </c>
      <c r="G80" s="26" t="s">
        <v>125</v>
      </c>
      <c r="H80" s="41"/>
    </row>
    <row r="81" spans="2:11" s="1" customFormat="1" ht="51" customHeight="1" x14ac:dyDescent="0.25">
      <c r="B81" s="104" t="s">
        <v>132</v>
      </c>
      <c r="C81" s="23" t="s">
        <v>32</v>
      </c>
      <c r="D81" s="23" t="s">
        <v>29</v>
      </c>
      <c r="E81" s="24">
        <v>60607.14</v>
      </c>
      <c r="F81" s="25" t="s">
        <v>64</v>
      </c>
      <c r="G81" s="26" t="s">
        <v>125</v>
      </c>
      <c r="H81" s="41"/>
      <c r="J81" s="62"/>
    </row>
    <row r="82" spans="2:11" s="1" customFormat="1" ht="45" customHeight="1" x14ac:dyDescent="0.25">
      <c r="B82" s="104" t="s">
        <v>132</v>
      </c>
      <c r="C82" s="23" t="s">
        <v>89</v>
      </c>
      <c r="D82" s="23" t="s">
        <v>90</v>
      </c>
      <c r="E82" s="24">
        <v>798000</v>
      </c>
      <c r="F82" s="25" t="s">
        <v>64</v>
      </c>
      <c r="G82" s="26" t="s">
        <v>125</v>
      </c>
      <c r="H82" s="48"/>
    </row>
    <row r="83" spans="2:11" s="1" customFormat="1" ht="78.75" x14ac:dyDescent="0.25">
      <c r="B83" s="104" t="s">
        <v>132</v>
      </c>
      <c r="C83" s="23" t="s">
        <v>24</v>
      </c>
      <c r="D83" s="23" t="s">
        <v>71</v>
      </c>
      <c r="E83" s="24">
        <v>69239.960000000006</v>
      </c>
      <c r="F83" s="25" t="s">
        <v>61</v>
      </c>
      <c r="G83" s="26" t="s">
        <v>125</v>
      </c>
      <c r="H83" s="48" t="s">
        <v>129</v>
      </c>
      <c r="J83" s="62"/>
    </row>
    <row r="84" spans="2:11" s="1" customFormat="1" ht="67.5" x14ac:dyDescent="0.25">
      <c r="B84" s="104" t="s">
        <v>132</v>
      </c>
      <c r="C84" s="23" t="s">
        <v>24</v>
      </c>
      <c r="D84" s="23" t="s">
        <v>71</v>
      </c>
      <c r="E84" s="24">
        <v>729880</v>
      </c>
      <c r="F84" s="25" t="s">
        <v>61</v>
      </c>
      <c r="G84" s="26" t="s">
        <v>152</v>
      </c>
      <c r="H84" s="48" t="s">
        <v>98</v>
      </c>
    </row>
    <row r="85" spans="2:11" s="1" customFormat="1" ht="65.25" customHeight="1" x14ac:dyDescent="0.25">
      <c r="B85" s="126" t="s">
        <v>138</v>
      </c>
      <c r="C85" s="127"/>
      <c r="D85" s="127"/>
      <c r="E85" s="16">
        <f>SUM(E86:E88)</f>
        <v>1753700.5</v>
      </c>
      <c r="F85" s="13"/>
      <c r="G85" s="14"/>
      <c r="H85" s="10"/>
      <c r="I85" s="61"/>
      <c r="J85" s="62"/>
    </row>
    <row r="86" spans="2:11" s="1" customFormat="1" ht="33.75" x14ac:dyDescent="0.25">
      <c r="B86" s="67" t="s">
        <v>132</v>
      </c>
      <c r="C86" s="91" t="s">
        <v>25</v>
      </c>
      <c r="D86" s="91" t="s">
        <v>69</v>
      </c>
      <c r="E86" s="69">
        <f>55000+145000</f>
        <v>200000</v>
      </c>
      <c r="F86" s="94" t="s">
        <v>64</v>
      </c>
      <c r="G86" s="71" t="s">
        <v>125</v>
      </c>
      <c r="H86" s="95"/>
    </row>
    <row r="87" spans="2:11" s="1" customFormat="1" ht="78.75" x14ac:dyDescent="0.25">
      <c r="B87" s="104" t="s">
        <v>132</v>
      </c>
      <c r="C87" s="23">
        <v>85100000</v>
      </c>
      <c r="D87" s="23" t="s">
        <v>71</v>
      </c>
      <c r="E87" s="24">
        <v>127500.5</v>
      </c>
      <c r="F87" s="25" t="s">
        <v>61</v>
      </c>
      <c r="G87" s="26" t="s">
        <v>125</v>
      </c>
      <c r="H87" s="45" t="s">
        <v>124</v>
      </c>
    </row>
    <row r="88" spans="2:11" s="1" customFormat="1" ht="60.75" customHeight="1" x14ac:dyDescent="0.25">
      <c r="B88" s="67" t="s">
        <v>132</v>
      </c>
      <c r="C88" s="68">
        <v>85100000</v>
      </c>
      <c r="D88" s="68" t="s">
        <v>71</v>
      </c>
      <c r="E88" s="69">
        <f>1460000+111200-145000</f>
        <v>1426200</v>
      </c>
      <c r="F88" s="70" t="s">
        <v>61</v>
      </c>
      <c r="G88" s="71" t="s">
        <v>125</v>
      </c>
      <c r="H88" s="92" t="s">
        <v>98</v>
      </c>
      <c r="K88" s="62"/>
    </row>
    <row r="89" spans="2:11" s="1" customFormat="1" ht="61.5" customHeight="1" x14ac:dyDescent="0.25">
      <c r="B89" s="126" t="s">
        <v>139</v>
      </c>
      <c r="C89" s="127"/>
      <c r="D89" s="127"/>
      <c r="E89" s="16">
        <f>SUM(E90:E91)</f>
        <v>184166.6</v>
      </c>
      <c r="F89" s="13"/>
      <c r="G89" s="14"/>
      <c r="H89" s="10"/>
      <c r="I89" s="61"/>
      <c r="J89" s="62"/>
    </row>
    <row r="90" spans="2:11" s="18" customFormat="1" ht="70.5" customHeight="1" x14ac:dyDescent="0.25">
      <c r="B90" s="65" t="s">
        <v>132</v>
      </c>
      <c r="C90" s="23" t="s">
        <v>24</v>
      </c>
      <c r="D90" s="23" t="s">
        <v>71</v>
      </c>
      <c r="E90" s="56">
        <v>14166.6</v>
      </c>
      <c r="F90" s="25" t="s">
        <v>61</v>
      </c>
      <c r="G90" s="26" t="s">
        <v>125</v>
      </c>
      <c r="H90" s="48" t="s">
        <v>76</v>
      </c>
    </row>
    <row r="91" spans="2:11" s="1" customFormat="1" ht="75" customHeight="1" x14ac:dyDescent="0.25">
      <c r="B91" s="104" t="s">
        <v>132</v>
      </c>
      <c r="C91" s="23" t="s">
        <v>24</v>
      </c>
      <c r="D91" s="23" t="s">
        <v>71</v>
      </c>
      <c r="E91" s="24">
        <v>170000</v>
      </c>
      <c r="F91" s="25" t="s">
        <v>61</v>
      </c>
      <c r="G91" s="26" t="s">
        <v>125</v>
      </c>
      <c r="H91" s="48" t="s">
        <v>98</v>
      </c>
    </row>
    <row r="92" spans="2:11" s="1" customFormat="1" ht="65.25" customHeight="1" x14ac:dyDescent="0.25">
      <c r="B92" s="121" t="s">
        <v>140</v>
      </c>
      <c r="C92" s="122"/>
      <c r="D92" s="122"/>
      <c r="E92" s="16">
        <f>SUM(E93:E97)</f>
        <v>1090000</v>
      </c>
      <c r="F92" s="13"/>
      <c r="G92" s="14"/>
      <c r="H92" s="60"/>
      <c r="I92" s="61"/>
      <c r="J92" s="62"/>
    </row>
    <row r="93" spans="2:11" s="1" customFormat="1" ht="49.5" customHeight="1" x14ac:dyDescent="0.25">
      <c r="B93" s="104" t="s">
        <v>132</v>
      </c>
      <c r="C93" s="23" t="s">
        <v>14</v>
      </c>
      <c r="D93" s="23" t="s">
        <v>15</v>
      </c>
      <c r="E93" s="24">
        <v>24200</v>
      </c>
      <c r="F93" s="25" t="s">
        <v>60</v>
      </c>
      <c r="G93" s="26" t="s">
        <v>125</v>
      </c>
      <c r="H93" s="41"/>
    </row>
    <row r="94" spans="2:11" s="1" customFormat="1" ht="33.75" x14ac:dyDescent="0.25">
      <c r="B94" s="104" t="s">
        <v>132</v>
      </c>
      <c r="C94" s="28">
        <v>33100000</v>
      </c>
      <c r="D94" s="28" t="s">
        <v>28</v>
      </c>
      <c r="E94" s="24">
        <f>240004-87983</f>
        <v>152021</v>
      </c>
      <c r="F94" s="29" t="s">
        <v>64</v>
      </c>
      <c r="G94" s="26" t="s">
        <v>125</v>
      </c>
      <c r="H94" s="46"/>
    </row>
    <row r="95" spans="2:11" s="1" customFormat="1" ht="60.75" customHeight="1" x14ac:dyDescent="0.25">
      <c r="B95" s="104" t="s">
        <v>132</v>
      </c>
      <c r="C95" s="23" t="s">
        <v>59</v>
      </c>
      <c r="D95" s="23" t="s">
        <v>44</v>
      </c>
      <c r="E95" s="24">
        <v>15000</v>
      </c>
      <c r="F95" s="25" t="s">
        <v>64</v>
      </c>
      <c r="G95" s="26" t="s">
        <v>125</v>
      </c>
      <c r="H95" s="41"/>
    </row>
    <row r="96" spans="2:11" s="1" customFormat="1" ht="75" customHeight="1" x14ac:dyDescent="0.25">
      <c r="B96" s="104" t="s">
        <v>132</v>
      </c>
      <c r="C96" s="23">
        <v>85100000</v>
      </c>
      <c r="D96" s="23" t="s">
        <v>71</v>
      </c>
      <c r="E96" s="24">
        <v>48983</v>
      </c>
      <c r="F96" s="25" t="s">
        <v>61</v>
      </c>
      <c r="G96" s="26" t="s">
        <v>125</v>
      </c>
      <c r="H96" s="48" t="s">
        <v>126</v>
      </c>
      <c r="J96" s="62"/>
    </row>
    <row r="97" spans="2:11" s="18" customFormat="1" ht="65.25" customHeight="1" x14ac:dyDescent="0.25">
      <c r="B97" s="65" t="s">
        <v>132</v>
      </c>
      <c r="C97" s="78">
        <v>85100000</v>
      </c>
      <c r="D97" s="78" t="s">
        <v>71</v>
      </c>
      <c r="E97" s="56">
        <f>1071996+37800-260000</f>
        <v>849796</v>
      </c>
      <c r="F97" s="79" t="s">
        <v>61</v>
      </c>
      <c r="G97" s="80" t="s">
        <v>125</v>
      </c>
      <c r="H97" s="111" t="s">
        <v>98</v>
      </c>
    </row>
    <row r="98" spans="2:11" s="1" customFormat="1" ht="80.25" customHeight="1" x14ac:dyDescent="0.25">
      <c r="B98" s="126" t="s">
        <v>141</v>
      </c>
      <c r="C98" s="127"/>
      <c r="D98" s="127"/>
      <c r="E98" s="16">
        <f>SUM(E99:E99)</f>
        <v>1250000</v>
      </c>
      <c r="F98" s="13"/>
      <c r="G98" s="14"/>
      <c r="H98" s="10"/>
      <c r="I98" s="61"/>
      <c r="J98" s="62"/>
    </row>
    <row r="99" spans="2:11" s="1" customFormat="1" ht="84.75" customHeight="1" x14ac:dyDescent="0.25">
      <c r="B99" s="104" t="s">
        <v>132</v>
      </c>
      <c r="C99" s="23" t="s">
        <v>32</v>
      </c>
      <c r="D99" s="23" t="s">
        <v>29</v>
      </c>
      <c r="E99" s="24">
        <v>1250000</v>
      </c>
      <c r="F99" s="25" t="s">
        <v>61</v>
      </c>
      <c r="G99" s="26" t="s">
        <v>125</v>
      </c>
      <c r="H99" s="48" t="s">
        <v>98</v>
      </c>
    </row>
    <row r="100" spans="2:11" s="1" customFormat="1" ht="57.75" customHeight="1" x14ac:dyDescent="0.25">
      <c r="B100" s="119" t="s">
        <v>142</v>
      </c>
      <c r="C100" s="120"/>
      <c r="D100" s="120"/>
      <c r="E100" s="57">
        <f>SUM(E101:E104)</f>
        <v>4000000</v>
      </c>
      <c r="F100" s="58"/>
      <c r="G100" s="58"/>
      <c r="H100" s="59"/>
      <c r="I100" s="61"/>
      <c r="J100" s="62"/>
    </row>
    <row r="101" spans="2:11" s="18" customFormat="1" ht="29.25" customHeight="1" x14ac:dyDescent="0.25">
      <c r="B101" s="65" t="s">
        <v>132</v>
      </c>
      <c r="C101" s="38">
        <v>33100000</v>
      </c>
      <c r="D101" s="23" t="s">
        <v>8</v>
      </c>
      <c r="E101" s="56">
        <v>124876.2</v>
      </c>
      <c r="F101" s="25" t="s">
        <v>64</v>
      </c>
      <c r="G101" s="26" t="s">
        <v>125</v>
      </c>
      <c r="H101" s="26"/>
    </row>
    <row r="102" spans="2:11" s="1" customFormat="1" ht="33.75" x14ac:dyDescent="0.25">
      <c r="B102" s="104" t="s">
        <v>132</v>
      </c>
      <c r="C102" s="38" t="s">
        <v>32</v>
      </c>
      <c r="D102" s="23" t="s">
        <v>9</v>
      </c>
      <c r="E102" s="24">
        <f>2995349.4-3495.8-99984.41</f>
        <v>2891869.19</v>
      </c>
      <c r="F102" s="25" t="s">
        <v>64</v>
      </c>
      <c r="G102" s="26" t="s">
        <v>125</v>
      </c>
      <c r="H102" s="26"/>
    </row>
    <row r="103" spans="2:11" s="1" customFormat="1" ht="67.5" x14ac:dyDescent="0.25">
      <c r="B103" s="104" t="s">
        <v>132</v>
      </c>
      <c r="C103" s="38" t="s">
        <v>24</v>
      </c>
      <c r="D103" s="23" t="s">
        <v>71</v>
      </c>
      <c r="E103" s="24">
        <v>73605.850000000006</v>
      </c>
      <c r="F103" s="25" t="s">
        <v>61</v>
      </c>
      <c r="G103" s="26" t="s">
        <v>125</v>
      </c>
      <c r="H103" s="45" t="s">
        <v>127</v>
      </c>
    </row>
    <row r="104" spans="2:11" s="1" customFormat="1" ht="83.25" customHeight="1" x14ac:dyDescent="0.25">
      <c r="B104" s="104" t="s">
        <v>132</v>
      </c>
      <c r="C104" s="23" t="s">
        <v>24</v>
      </c>
      <c r="D104" s="23" t="s">
        <v>71</v>
      </c>
      <c r="E104" s="24">
        <v>909648.76</v>
      </c>
      <c r="F104" s="25" t="s">
        <v>61</v>
      </c>
      <c r="G104" s="26" t="s">
        <v>152</v>
      </c>
      <c r="H104" s="32" t="s">
        <v>98</v>
      </c>
    </row>
    <row r="105" spans="2:11" ht="122.25" customHeight="1" x14ac:dyDescent="0.25">
      <c r="B105" s="126" t="s">
        <v>143</v>
      </c>
      <c r="C105" s="127"/>
      <c r="D105" s="127"/>
      <c r="E105" s="16">
        <f>SUM(E106)</f>
        <v>2190000</v>
      </c>
      <c r="F105" s="13"/>
      <c r="G105" s="14"/>
      <c r="H105" s="10"/>
      <c r="I105" s="61"/>
      <c r="J105" s="63">
        <f>E100-4000000</f>
        <v>0</v>
      </c>
    </row>
    <row r="106" spans="2:11" s="1" customFormat="1" ht="117.75" customHeight="1" x14ac:dyDescent="0.25">
      <c r="B106" s="104" t="s">
        <v>132</v>
      </c>
      <c r="C106" s="23" t="s">
        <v>32</v>
      </c>
      <c r="D106" s="23" t="s">
        <v>29</v>
      </c>
      <c r="E106" s="24">
        <v>2190000</v>
      </c>
      <c r="F106" s="25" t="s">
        <v>61</v>
      </c>
      <c r="G106" s="26" t="s">
        <v>152</v>
      </c>
      <c r="H106" s="48" t="s">
        <v>98</v>
      </c>
    </row>
    <row r="107" spans="2:11" s="1" customFormat="1" ht="57" customHeight="1" x14ac:dyDescent="0.25">
      <c r="B107" s="121" t="s">
        <v>144</v>
      </c>
      <c r="C107" s="122"/>
      <c r="D107" s="122"/>
      <c r="E107" s="16">
        <f>SUM(E108:E112)</f>
        <v>474000</v>
      </c>
      <c r="F107" s="13"/>
      <c r="G107" s="60"/>
      <c r="H107" s="60"/>
      <c r="I107" s="61"/>
      <c r="J107" s="62"/>
    </row>
    <row r="108" spans="2:11" s="1" customFormat="1" ht="59.25" customHeight="1" x14ac:dyDescent="0.25">
      <c r="B108" s="104" t="s">
        <v>148</v>
      </c>
      <c r="C108" s="23">
        <v>33100000</v>
      </c>
      <c r="D108" s="23" t="s">
        <v>28</v>
      </c>
      <c r="E108" s="24">
        <f>20000+14559.87+22385.83</f>
        <v>56945.700000000004</v>
      </c>
      <c r="F108" s="25" t="s">
        <v>64</v>
      </c>
      <c r="G108" s="26" t="s">
        <v>125</v>
      </c>
      <c r="H108" s="41"/>
    </row>
    <row r="109" spans="2:11" s="1" customFormat="1" ht="38.25" x14ac:dyDescent="0.25">
      <c r="B109" s="104" t="s">
        <v>148</v>
      </c>
      <c r="C109" s="36">
        <v>33600000</v>
      </c>
      <c r="D109" s="36" t="s">
        <v>29</v>
      </c>
      <c r="E109" s="24">
        <f>266824.3+68000-17770</f>
        <v>317054.3</v>
      </c>
      <c r="F109" s="43" t="s">
        <v>64</v>
      </c>
      <c r="G109" s="26" t="s">
        <v>125</v>
      </c>
      <c r="H109" s="44"/>
    </row>
    <row r="110" spans="2:11" s="1" customFormat="1" ht="78.75" x14ac:dyDescent="0.25">
      <c r="B110" s="104" t="s">
        <v>132</v>
      </c>
      <c r="C110" s="38" t="s">
        <v>103</v>
      </c>
      <c r="D110" s="23" t="s">
        <v>71</v>
      </c>
      <c r="E110" s="24">
        <v>6870</v>
      </c>
      <c r="F110" s="25" t="s">
        <v>61</v>
      </c>
      <c r="G110" s="26" t="s">
        <v>125</v>
      </c>
      <c r="H110" s="45" t="s">
        <v>130</v>
      </c>
    </row>
    <row r="111" spans="2:11" s="1" customFormat="1" ht="67.5" x14ac:dyDescent="0.25">
      <c r="B111" s="104" t="s">
        <v>132</v>
      </c>
      <c r="C111" s="38" t="s">
        <v>103</v>
      </c>
      <c r="D111" s="23" t="s">
        <v>71</v>
      </c>
      <c r="E111" s="24">
        <f>13740+6870</f>
        <v>20610</v>
      </c>
      <c r="F111" s="25" t="s">
        <v>61</v>
      </c>
      <c r="G111" s="26" t="s">
        <v>152</v>
      </c>
      <c r="H111" s="48" t="s">
        <v>98</v>
      </c>
      <c r="J111" s="62"/>
      <c r="K111" s="62"/>
    </row>
    <row r="112" spans="2:11" s="1" customFormat="1" ht="51" customHeight="1" x14ac:dyDescent="0.25">
      <c r="B112" s="104" t="s">
        <v>132</v>
      </c>
      <c r="C112" s="38" t="s">
        <v>24</v>
      </c>
      <c r="D112" s="23" t="s">
        <v>71</v>
      </c>
      <c r="E112" s="24">
        <v>72520</v>
      </c>
      <c r="F112" s="25" t="s">
        <v>64</v>
      </c>
      <c r="G112" s="26" t="s">
        <v>153</v>
      </c>
      <c r="H112" s="45"/>
      <c r="J112" s="62"/>
      <c r="K112" s="62"/>
    </row>
    <row r="113" spans="2:10" ht="59.25" customHeight="1" x14ac:dyDescent="0.25">
      <c r="B113" s="126" t="s">
        <v>145</v>
      </c>
      <c r="C113" s="127"/>
      <c r="D113" s="127"/>
      <c r="E113" s="16">
        <f>SUM(E114:E117)</f>
        <v>2100000</v>
      </c>
      <c r="F113" s="13"/>
      <c r="G113" s="14"/>
      <c r="H113" s="10"/>
      <c r="I113" s="61"/>
      <c r="J113" s="63"/>
    </row>
    <row r="114" spans="2:10" s="18" customFormat="1" ht="42.75" customHeight="1" x14ac:dyDescent="0.25">
      <c r="B114" s="67" t="s">
        <v>132</v>
      </c>
      <c r="C114" s="68" t="s">
        <v>25</v>
      </c>
      <c r="D114" s="68" t="s">
        <v>69</v>
      </c>
      <c r="E114" s="69">
        <f>2100000-115976-175000</f>
        <v>1809024</v>
      </c>
      <c r="F114" s="70" t="s">
        <v>64</v>
      </c>
      <c r="G114" s="71" t="s">
        <v>125</v>
      </c>
      <c r="H114" s="112"/>
    </row>
    <row r="115" spans="2:10" s="1" customFormat="1" ht="42.75" customHeight="1" x14ac:dyDescent="0.25">
      <c r="B115" s="104" t="s">
        <v>132</v>
      </c>
      <c r="C115" s="23" t="s">
        <v>25</v>
      </c>
      <c r="D115" s="23" t="s">
        <v>69</v>
      </c>
      <c r="E115" s="24">
        <f>5976</f>
        <v>5976</v>
      </c>
      <c r="F115" s="25" t="s">
        <v>61</v>
      </c>
      <c r="G115" s="26" t="s">
        <v>152</v>
      </c>
      <c r="H115" s="48" t="s">
        <v>98</v>
      </c>
    </row>
    <row r="116" spans="2:10" s="1" customFormat="1" ht="42.75" customHeight="1" x14ac:dyDescent="0.25">
      <c r="B116" s="67" t="s">
        <v>132</v>
      </c>
      <c r="C116" s="68" t="s">
        <v>176</v>
      </c>
      <c r="D116" s="68" t="s">
        <v>177</v>
      </c>
      <c r="E116" s="69">
        <v>175000</v>
      </c>
      <c r="F116" s="70" t="s">
        <v>64</v>
      </c>
      <c r="G116" s="71" t="s">
        <v>178</v>
      </c>
      <c r="H116" s="92"/>
    </row>
    <row r="117" spans="2:10" s="1" customFormat="1" ht="80.25" customHeight="1" x14ac:dyDescent="0.25">
      <c r="B117" s="104" t="s">
        <v>132</v>
      </c>
      <c r="C117" s="23" t="s">
        <v>154</v>
      </c>
      <c r="D117" s="23" t="s">
        <v>155</v>
      </c>
      <c r="E117" s="24">
        <f>115976-5976</f>
        <v>110000</v>
      </c>
      <c r="F117" s="25" t="s">
        <v>61</v>
      </c>
      <c r="G117" s="26" t="s">
        <v>152</v>
      </c>
      <c r="H117" s="48" t="s">
        <v>98</v>
      </c>
    </row>
    <row r="118" spans="2:10" ht="70.5" customHeight="1" x14ac:dyDescent="0.25">
      <c r="B118" s="126" t="s">
        <v>146</v>
      </c>
      <c r="C118" s="127"/>
      <c r="D118" s="127"/>
      <c r="E118" s="16">
        <f>SUM(E119:E121)</f>
        <v>442800</v>
      </c>
      <c r="F118" s="13"/>
      <c r="G118" s="14"/>
      <c r="H118" s="10"/>
      <c r="I118" s="61"/>
      <c r="J118" s="63"/>
    </row>
    <row r="119" spans="2:10" s="18" customFormat="1" ht="33.75" x14ac:dyDescent="0.25">
      <c r="B119" s="65" t="s">
        <v>132</v>
      </c>
      <c r="C119" s="99" t="s">
        <v>32</v>
      </c>
      <c r="D119" s="99" t="s">
        <v>29</v>
      </c>
      <c r="E119" s="56">
        <f>264000-4020</f>
        <v>259980</v>
      </c>
      <c r="F119" s="100" t="s">
        <v>64</v>
      </c>
      <c r="G119" s="80" t="s">
        <v>125</v>
      </c>
      <c r="H119" s="101"/>
    </row>
    <row r="120" spans="2:10" s="18" customFormat="1" ht="33.75" x14ac:dyDescent="0.25">
      <c r="B120" s="65" t="s">
        <v>132</v>
      </c>
      <c r="C120" s="28" t="s">
        <v>7</v>
      </c>
      <c r="D120" s="28" t="s">
        <v>28</v>
      </c>
      <c r="E120" s="24">
        <v>132000</v>
      </c>
      <c r="F120" s="29" t="s">
        <v>64</v>
      </c>
      <c r="G120" s="26" t="s">
        <v>125</v>
      </c>
      <c r="H120" s="55"/>
    </row>
    <row r="121" spans="2:10" s="1" customFormat="1" ht="33.75" x14ac:dyDescent="0.25">
      <c r="B121" s="104" t="s">
        <v>132</v>
      </c>
      <c r="C121" s="23" t="s">
        <v>14</v>
      </c>
      <c r="D121" s="23" t="s">
        <v>40</v>
      </c>
      <c r="E121" s="24">
        <f>4020+46800</f>
        <v>50820</v>
      </c>
      <c r="F121" s="25" t="s">
        <v>60</v>
      </c>
      <c r="G121" s="26" t="s">
        <v>125</v>
      </c>
      <c r="H121" s="23"/>
    </row>
  </sheetData>
  <autoFilter ref="A8:H121"/>
  <mergeCells count="20">
    <mergeCell ref="B85:D85"/>
    <mergeCell ref="B2:H2"/>
    <mergeCell ref="B3:H3"/>
    <mergeCell ref="B4:E4"/>
    <mergeCell ref="F4:H4"/>
    <mergeCell ref="B5:E5"/>
    <mergeCell ref="F5:H5"/>
    <mergeCell ref="B6:F6"/>
    <mergeCell ref="B9:D9"/>
    <mergeCell ref="B68:D68"/>
    <mergeCell ref="B73:D73"/>
    <mergeCell ref="B79:D79"/>
    <mergeCell ref="B113:D113"/>
    <mergeCell ref="B118:D118"/>
    <mergeCell ref="B89:D89"/>
    <mergeCell ref="B92:D92"/>
    <mergeCell ref="B98:D98"/>
    <mergeCell ref="B100:D100"/>
    <mergeCell ref="B105:D105"/>
    <mergeCell ref="B107:D107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23"/>
  <sheetViews>
    <sheetView topLeftCell="B26" zoomScaleNormal="100" zoomScaleSheetLayoutView="80" workbookViewId="0">
      <selection activeCell="E32" sqref="E32:E33"/>
    </sheetView>
  </sheetViews>
  <sheetFormatPr defaultRowHeight="15" x14ac:dyDescent="0.2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1.5703125" bestFit="1" customWidth="1"/>
    <col min="12" max="12" width="14.28515625" bestFit="1" customWidth="1"/>
    <col min="13" max="13" width="11.5703125" bestFit="1" customWidth="1"/>
  </cols>
  <sheetData>
    <row r="2" spans="2:9" ht="18.75" x14ac:dyDescent="0.25">
      <c r="B2" s="123" t="s">
        <v>41</v>
      </c>
      <c r="C2" s="123"/>
      <c r="D2" s="123"/>
      <c r="E2" s="123"/>
      <c r="F2" s="123"/>
      <c r="G2" s="123"/>
      <c r="H2" s="123"/>
    </row>
    <row r="3" spans="2:9" ht="18.75" x14ac:dyDescent="0.3">
      <c r="B3" s="124" t="s">
        <v>4</v>
      </c>
      <c r="C3" s="124"/>
      <c r="D3" s="124"/>
      <c r="E3" s="124"/>
      <c r="F3" s="124"/>
      <c r="G3" s="124"/>
      <c r="H3" s="124"/>
    </row>
    <row r="4" spans="2:9" x14ac:dyDescent="0.25">
      <c r="B4" s="125" t="s">
        <v>54</v>
      </c>
      <c r="C4" s="125"/>
      <c r="D4" s="125"/>
      <c r="E4" s="125"/>
      <c r="F4" s="125" t="s">
        <v>21</v>
      </c>
      <c r="G4" s="125"/>
      <c r="H4" s="125"/>
    </row>
    <row r="5" spans="2:9" x14ac:dyDescent="0.25">
      <c r="B5" s="125" t="s">
        <v>20</v>
      </c>
      <c r="C5" s="125"/>
      <c r="D5" s="125"/>
      <c r="E5" s="125"/>
      <c r="F5" s="125" t="s">
        <v>10</v>
      </c>
      <c r="G5" s="125"/>
      <c r="H5" s="125"/>
      <c r="I5" s="109"/>
    </row>
    <row r="6" spans="2:9" ht="24.75" customHeight="1" x14ac:dyDescent="0.25">
      <c r="B6" s="115" t="s">
        <v>22</v>
      </c>
      <c r="C6" s="116"/>
      <c r="D6" s="116"/>
      <c r="E6" s="116"/>
      <c r="F6" s="116"/>
      <c r="G6" s="2">
        <f>E9+E70+E75+E81+E87+E91+E94+E100+E102+E107+E109+E115+E120</f>
        <v>43609976.100000001</v>
      </c>
      <c r="H6" s="3" t="s">
        <v>23</v>
      </c>
    </row>
    <row r="7" spans="2:9" ht="25.5" x14ac:dyDescent="0.2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9" x14ac:dyDescent="0.25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9" ht="60.75" customHeight="1" x14ac:dyDescent="0.25">
      <c r="B9" s="117" t="s">
        <v>131</v>
      </c>
      <c r="C9" s="118"/>
      <c r="D9" s="118"/>
      <c r="E9" s="15">
        <f>SUM(E10:E68)</f>
        <v>4345309</v>
      </c>
      <c r="F9" s="11"/>
      <c r="G9" s="9"/>
      <c r="H9" s="10"/>
    </row>
    <row r="10" spans="2:9" s="18" customFormat="1" ht="33.75" x14ac:dyDescent="0.2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9" s="18" customFormat="1" ht="33.75" x14ac:dyDescent="0.2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9" s="18" customFormat="1" ht="25.5" x14ac:dyDescent="0.25">
      <c r="B12" s="65" t="s">
        <v>132</v>
      </c>
      <c r="C12" s="78" t="s">
        <v>169</v>
      </c>
      <c r="D12" s="78" t="s">
        <v>170</v>
      </c>
      <c r="E12" s="56">
        <v>6100</v>
      </c>
      <c r="F12" s="79" t="s">
        <v>60</v>
      </c>
      <c r="G12" s="110" t="s">
        <v>160</v>
      </c>
      <c r="H12" s="78"/>
    </row>
    <row r="13" spans="2:9" s="18" customFormat="1" ht="33.75" x14ac:dyDescent="0.25">
      <c r="B13" s="65" t="s">
        <v>132</v>
      </c>
      <c r="C13" s="23" t="s">
        <v>100</v>
      </c>
      <c r="D13" s="23" t="s">
        <v>101</v>
      </c>
      <c r="E13" s="56">
        <v>500</v>
      </c>
      <c r="F13" s="25" t="s">
        <v>61</v>
      </c>
      <c r="G13" s="26" t="s">
        <v>125</v>
      </c>
      <c r="H13" s="23"/>
    </row>
    <row r="14" spans="2:9" s="19" customFormat="1" ht="33.75" x14ac:dyDescent="0.25">
      <c r="B14" s="65" t="s">
        <v>132</v>
      </c>
      <c r="C14" s="28" t="s">
        <v>50</v>
      </c>
      <c r="D14" s="28" t="s">
        <v>52</v>
      </c>
      <c r="E14" s="56">
        <v>1600</v>
      </c>
      <c r="F14" s="29" t="s">
        <v>61</v>
      </c>
      <c r="G14" s="26" t="s">
        <v>125</v>
      </c>
      <c r="H14" s="28"/>
    </row>
    <row r="15" spans="2:9" s="106" customFormat="1" ht="38.25" customHeight="1" x14ac:dyDescent="0.25">
      <c r="B15" s="104" t="s">
        <v>132</v>
      </c>
      <c r="C15" s="28" t="s">
        <v>159</v>
      </c>
      <c r="D15" s="28" t="s">
        <v>158</v>
      </c>
      <c r="E15" s="24">
        <v>1973</v>
      </c>
      <c r="F15" s="29" t="s">
        <v>61</v>
      </c>
      <c r="G15" s="26" t="s">
        <v>152</v>
      </c>
      <c r="H15" s="28"/>
    </row>
    <row r="16" spans="2:9" s="18" customFormat="1" ht="49.5" customHeight="1" x14ac:dyDescent="0.25">
      <c r="B16" s="65" t="s">
        <v>132</v>
      </c>
      <c r="C16" s="78" t="s">
        <v>39</v>
      </c>
      <c r="D16" s="78" t="s">
        <v>58</v>
      </c>
      <c r="E16" s="56">
        <f>23100-15587</f>
        <v>7513</v>
      </c>
      <c r="F16" s="79" t="s">
        <v>60</v>
      </c>
      <c r="G16" s="80" t="s">
        <v>125</v>
      </c>
      <c r="H16" s="78"/>
    </row>
    <row r="17" spans="2:8" s="18" customFormat="1" ht="49.5" customHeight="1" x14ac:dyDescent="0.25">
      <c r="B17" s="65" t="s">
        <v>132</v>
      </c>
      <c r="C17" s="78" t="s">
        <v>39</v>
      </c>
      <c r="D17" s="78" t="s">
        <v>58</v>
      </c>
      <c r="E17" s="56">
        <f>60000+9000+15587</f>
        <v>84587</v>
      </c>
      <c r="F17" s="79" t="s">
        <v>64</v>
      </c>
      <c r="G17" s="80" t="s">
        <v>125</v>
      </c>
      <c r="H17" s="78"/>
    </row>
    <row r="18" spans="2:8" s="18" customFormat="1" ht="38.25" customHeight="1" x14ac:dyDescent="0.25">
      <c r="B18" s="65" t="s">
        <v>147</v>
      </c>
      <c r="C18" s="84">
        <v>31400000</v>
      </c>
      <c r="D18" s="78" t="s">
        <v>11</v>
      </c>
      <c r="E18" s="56">
        <f>3000+1800</f>
        <v>4800</v>
      </c>
      <c r="F18" s="79" t="s">
        <v>60</v>
      </c>
      <c r="G18" s="80" t="s">
        <v>125</v>
      </c>
      <c r="H18" s="81"/>
    </row>
    <row r="19" spans="2:8" s="18" customFormat="1" ht="56.25" x14ac:dyDescent="0.25">
      <c r="B19" s="65" t="s">
        <v>147</v>
      </c>
      <c r="C19" s="84">
        <v>33100000</v>
      </c>
      <c r="D19" s="78" t="s">
        <v>57</v>
      </c>
      <c r="E19" s="56">
        <v>2000</v>
      </c>
      <c r="F19" s="79" t="s">
        <v>61</v>
      </c>
      <c r="G19" s="80" t="s">
        <v>160</v>
      </c>
      <c r="H19" s="102" t="s">
        <v>85</v>
      </c>
    </row>
    <row r="20" spans="2:8" s="18" customFormat="1" ht="25.5" x14ac:dyDescent="0.25">
      <c r="B20" s="65" t="s">
        <v>147</v>
      </c>
      <c r="C20" s="84">
        <v>35800000</v>
      </c>
      <c r="D20" s="78" t="s">
        <v>171</v>
      </c>
      <c r="E20" s="56">
        <v>405</v>
      </c>
      <c r="F20" s="79" t="s">
        <v>61</v>
      </c>
      <c r="G20" s="80" t="s">
        <v>172</v>
      </c>
      <c r="H20" s="102"/>
    </row>
    <row r="21" spans="2:8" s="18" customFormat="1" ht="56.25" x14ac:dyDescent="0.25">
      <c r="B21" s="65" t="s">
        <v>147</v>
      </c>
      <c r="C21" s="84">
        <v>33600000</v>
      </c>
      <c r="D21" s="78" t="s">
        <v>29</v>
      </c>
      <c r="E21" s="56">
        <v>10000</v>
      </c>
      <c r="F21" s="79" t="s">
        <v>61</v>
      </c>
      <c r="G21" s="80" t="s">
        <v>160</v>
      </c>
      <c r="H21" s="102" t="s">
        <v>85</v>
      </c>
    </row>
    <row r="22" spans="2:8" s="18" customFormat="1" ht="38.25" customHeight="1" x14ac:dyDescent="0.25">
      <c r="B22" s="65" t="s">
        <v>147</v>
      </c>
      <c r="C22" s="78" t="s">
        <v>43</v>
      </c>
      <c r="D22" s="78" t="s">
        <v>42</v>
      </c>
      <c r="E22" s="56">
        <f>10000+7260+80</f>
        <v>17340</v>
      </c>
      <c r="F22" s="79" t="s">
        <v>60</v>
      </c>
      <c r="G22" s="80" t="s">
        <v>125</v>
      </c>
      <c r="H22" s="110"/>
    </row>
    <row r="23" spans="2:8" s="18" customFormat="1" ht="42" customHeight="1" x14ac:dyDescent="0.25">
      <c r="B23" s="65" t="s">
        <v>132</v>
      </c>
      <c r="C23" s="78" t="s">
        <v>174</v>
      </c>
      <c r="D23" s="78" t="s">
        <v>175</v>
      </c>
      <c r="E23" s="56">
        <v>3756</v>
      </c>
      <c r="F23" s="79" t="s">
        <v>91</v>
      </c>
      <c r="G23" s="80" t="s">
        <v>172</v>
      </c>
      <c r="H23" s="81"/>
    </row>
    <row r="24" spans="2:8" s="18" customFormat="1" ht="33.75" x14ac:dyDescent="0.25">
      <c r="B24" s="65" t="s">
        <v>132</v>
      </c>
      <c r="C24" s="23" t="s">
        <v>92</v>
      </c>
      <c r="D24" s="23" t="s">
        <v>93</v>
      </c>
      <c r="E24" s="56">
        <v>4800</v>
      </c>
      <c r="F24" s="25" t="s">
        <v>91</v>
      </c>
      <c r="G24" s="26" t="s">
        <v>125</v>
      </c>
      <c r="H24" s="31"/>
    </row>
    <row r="25" spans="2:8" s="18" customFormat="1" ht="33.75" x14ac:dyDescent="0.25">
      <c r="B25" s="65" t="s">
        <v>132</v>
      </c>
      <c r="C25" s="23" t="s">
        <v>94</v>
      </c>
      <c r="D25" s="23" t="s">
        <v>95</v>
      </c>
      <c r="E25" s="56">
        <v>4800</v>
      </c>
      <c r="F25" s="25" t="s">
        <v>91</v>
      </c>
      <c r="G25" s="26" t="s">
        <v>125</v>
      </c>
      <c r="H25" s="31"/>
    </row>
    <row r="26" spans="2:8" s="18" customFormat="1" ht="33.75" x14ac:dyDescent="0.25">
      <c r="B26" s="65" t="s">
        <v>132</v>
      </c>
      <c r="C26" s="34">
        <v>39800000</v>
      </c>
      <c r="D26" s="34" t="s">
        <v>84</v>
      </c>
      <c r="E26" s="56">
        <v>4800</v>
      </c>
      <c r="F26" s="25" t="s">
        <v>91</v>
      </c>
      <c r="G26" s="26" t="s">
        <v>125</v>
      </c>
      <c r="H26" s="31"/>
    </row>
    <row r="27" spans="2:8" s="18" customFormat="1" ht="33.75" x14ac:dyDescent="0.25">
      <c r="B27" s="65" t="s">
        <v>132</v>
      </c>
      <c r="C27" s="85">
        <v>42900000</v>
      </c>
      <c r="D27" s="85" t="s">
        <v>168</v>
      </c>
      <c r="E27" s="56">
        <v>1920</v>
      </c>
      <c r="F27" s="79" t="s">
        <v>60</v>
      </c>
      <c r="G27" s="110" t="s">
        <v>160</v>
      </c>
      <c r="H27" s="110"/>
    </row>
    <row r="28" spans="2:8" s="18" customFormat="1" ht="51.75" customHeight="1" x14ac:dyDescent="0.25">
      <c r="B28" s="65" t="s">
        <v>132</v>
      </c>
      <c r="C28" s="84">
        <v>41100000</v>
      </c>
      <c r="D28" s="85" t="s">
        <v>149</v>
      </c>
      <c r="E28" s="56">
        <v>6750</v>
      </c>
      <c r="F28" s="79" t="s">
        <v>64</v>
      </c>
      <c r="G28" s="80" t="s">
        <v>125</v>
      </c>
      <c r="H28" s="81"/>
    </row>
    <row r="29" spans="2:8" s="18" customFormat="1" ht="51.75" customHeight="1" x14ac:dyDescent="0.25">
      <c r="B29" s="65" t="s">
        <v>132</v>
      </c>
      <c r="C29" s="84">
        <v>44400000</v>
      </c>
      <c r="D29" s="85" t="s">
        <v>167</v>
      </c>
      <c r="E29" s="56">
        <v>4120</v>
      </c>
      <c r="F29" s="79" t="s">
        <v>64</v>
      </c>
      <c r="G29" s="80" t="s">
        <v>160</v>
      </c>
      <c r="H29" s="81"/>
    </row>
    <row r="30" spans="2:8" s="18" customFormat="1" ht="51.75" customHeight="1" x14ac:dyDescent="0.25">
      <c r="B30" s="65" t="s">
        <v>132</v>
      </c>
      <c r="C30" s="30">
        <v>45400000</v>
      </c>
      <c r="D30" s="34" t="s">
        <v>102</v>
      </c>
      <c r="E30" s="56">
        <v>40000</v>
      </c>
      <c r="F30" s="25" t="s">
        <v>64</v>
      </c>
      <c r="G30" s="26" t="s">
        <v>125</v>
      </c>
      <c r="H30" s="31"/>
    </row>
    <row r="31" spans="2:8" s="18" customFormat="1" ht="37.5" customHeight="1" x14ac:dyDescent="0.25">
      <c r="B31" s="65" t="s">
        <v>133</v>
      </c>
      <c r="C31" s="30">
        <v>48700000</v>
      </c>
      <c r="D31" s="23" t="s">
        <v>104</v>
      </c>
      <c r="E31" s="56">
        <v>30000</v>
      </c>
      <c r="F31" s="25" t="s">
        <v>64</v>
      </c>
      <c r="G31" s="26" t="s">
        <v>125</v>
      </c>
      <c r="H31" s="31"/>
    </row>
    <row r="32" spans="2:8" s="18" customFormat="1" ht="37.5" customHeight="1" x14ac:dyDescent="0.25">
      <c r="B32" s="67" t="s">
        <v>133</v>
      </c>
      <c r="C32" s="82">
        <v>48800000</v>
      </c>
      <c r="D32" s="68" t="s">
        <v>179</v>
      </c>
      <c r="E32" s="69">
        <v>85900</v>
      </c>
      <c r="F32" s="69" t="s">
        <v>64</v>
      </c>
      <c r="G32" s="113" t="s">
        <v>173</v>
      </c>
      <c r="H32" s="72"/>
    </row>
    <row r="33" spans="2:8" s="18" customFormat="1" ht="37.5" customHeight="1" x14ac:dyDescent="0.25">
      <c r="B33" s="67" t="s">
        <v>132</v>
      </c>
      <c r="C33" s="82">
        <v>48800000</v>
      </c>
      <c r="D33" s="68" t="s">
        <v>179</v>
      </c>
      <c r="E33" s="69">
        <v>500</v>
      </c>
      <c r="F33" s="69" t="s">
        <v>64</v>
      </c>
      <c r="G33" s="113" t="s">
        <v>173</v>
      </c>
      <c r="H33" s="72"/>
    </row>
    <row r="34" spans="2:8" s="18" customFormat="1" ht="56.25" x14ac:dyDescent="0.25">
      <c r="B34" s="65" t="s">
        <v>132</v>
      </c>
      <c r="C34" s="78">
        <v>50100000</v>
      </c>
      <c r="D34" s="78" t="s">
        <v>44</v>
      </c>
      <c r="E34" s="56">
        <f>10000+30000</f>
        <v>40000</v>
      </c>
      <c r="F34" s="79" t="s">
        <v>61</v>
      </c>
      <c r="G34" s="80" t="s">
        <v>125</v>
      </c>
      <c r="H34" s="102" t="s">
        <v>66</v>
      </c>
    </row>
    <row r="35" spans="2:8" s="1" customFormat="1" ht="92.25" customHeight="1" x14ac:dyDescent="0.25">
      <c r="B35" s="104" t="s">
        <v>132</v>
      </c>
      <c r="C35" s="23" t="s">
        <v>59</v>
      </c>
      <c r="D35" s="23" t="s">
        <v>62</v>
      </c>
      <c r="E35" s="24">
        <f>120000-30000+15000</f>
        <v>105000</v>
      </c>
      <c r="F35" s="25" t="s">
        <v>64</v>
      </c>
      <c r="G35" s="26" t="s">
        <v>125</v>
      </c>
      <c r="H35" s="36"/>
    </row>
    <row r="36" spans="2:8" s="18" customFormat="1" ht="56.25" x14ac:dyDescent="0.25">
      <c r="B36" s="65" t="s">
        <v>132</v>
      </c>
      <c r="C36" s="78">
        <v>50100000</v>
      </c>
      <c r="D36" s="78" t="s">
        <v>44</v>
      </c>
      <c r="E36" s="56">
        <v>2080</v>
      </c>
      <c r="F36" s="79" t="s">
        <v>61</v>
      </c>
      <c r="G36" s="80" t="s">
        <v>160</v>
      </c>
      <c r="H36" s="102" t="s">
        <v>85</v>
      </c>
    </row>
    <row r="37" spans="2:8" s="18" customFormat="1" ht="92.25" customHeight="1" x14ac:dyDescent="0.25">
      <c r="B37" s="65" t="s">
        <v>132</v>
      </c>
      <c r="C37" s="23" t="s">
        <v>107</v>
      </c>
      <c r="D37" s="23" t="s">
        <v>108</v>
      </c>
      <c r="E37" s="56">
        <v>50000</v>
      </c>
      <c r="F37" s="25" t="s">
        <v>64</v>
      </c>
      <c r="G37" s="26" t="s">
        <v>125</v>
      </c>
      <c r="H37" s="31"/>
    </row>
    <row r="38" spans="2:8" s="18" customFormat="1" ht="92.25" customHeight="1" x14ac:dyDescent="0.25">
      <c r="B38" s="65" t="s">
        <v>132</v>
      </c>
      <c r="C38" s="23" t="s">
        <v>105</v>
      </c>
      <c r="D38" s="23" t="s">
        <v>106</v>
      </c>
      <c r="E38" s="56">
        <v>310000</v>
      </c>
      <c r="F38" s="25" t="s">
        <v>64</v>
      </c>
      <c r="G38" s="26" t="s">
        <v>125</v>
      </c>
      <c r="H38" s="36"/>
    </row>
    <row r="39" spans="2:8" s="18" customFormat="1" ht="92.25" customHeight="1" x14ac:dyDescent="0.25">
      <c r="B39" s="65" t="s">
        <v>147</v>
      </c>
      <c r="C39" s="23" t="s">
        <v>109</v>
      </c>
      <c r="D39" s="23" t="s">
        <v>110</v>
      </c>
      <c r="E39" s="56">
        <f>60000+45000-20000</f>
        <v>85000</v>
      </c>
      <c r="F39" s="25" t="s">
        <v>64</v>
      </c>
      <c r="G39" s="26" t="s">
        <v>125</v>
      </c>
      <c r="H39" s="36"/>
    </row>
    <row r="40" spans="2:8" s="18" customFormat="1" ht="102.75" customHeight="1" x14ac:dyDescent="0.25">
      <c r="B40" s="65" t="s">
        <v>132</v>
      </c>
      <c r="C40" s="23" t="s">
        <v>86</v>
      </c>
      <c r="D40" s="23" t="s">
        <v>87</v>
      </c>
      <c r="E40" s="56">
        <v>8000</v>
      </c>
      <c r="F40" s="25" t="s">
        <v>64</v>
      </c>
      <c r="G40" s="26" t="s">
        <v>125</v>
      </c>
      <c r="H40" s="23"/>
    </row>
    <row r="41" spans="2:8" s="18" customFormat="1" ht="115.5" customHeight="1" x14ac:dyDescent="0.25">
      <c r="B41" s="65" t="s">
        <v>132</v>
      </c>
      <c r="C41" s="23">
        <v>50700000</v>
      </c>
      <c r="D41" s="23" t="s">
        <v>13</v>
      </c>
      <c r="E41" s="56">
        <f>1600000-59200</f>
        <v>1540800</v>
      </c>
      <c r="F41" s="23" t="s">
        <v>61</v>
      </c>
      <c r="G41" s="26" t="s">
        <v>125</v>
      </c>
      <c r="H41" s="23" t="s">
        <v>99</v>
      </c>
    </row>
    <row r="42" spans="2:8" s="18" customFormat="1" ht="115.5" customHeight="1" x14ac:dyDescent="0.25">
      <c r="B42" s="65" t="s">
        <v>132</v>
      </c>
      <c r="C42" s="78">
        <v>50700000</v>
      </c>
      <c r="D42" s="78" t="s">
        <v>13</v>
      </c>
      <c r="E42" s="56">
        <f>93000-45000+20000+46148</f>
        <v>114148</v>
      </c>
      <c r="F42" s="78" t="s">
        <v>64</v>
      </c>
      <c r="G42" s="80" t="s">
        <v>125</v>
      </c>
      <c r="H42" s="78"/>
    </row>
    <row r="43" spans="2:8" s="18" customFormat="1" ht="115.5" customHeight="1" x14ac:dyDescent="0.25">
      <c r="B43" s="65" t="s">
        <v>132</v>
      </c>
      <c r="C43" s="78" t="s">
        <v>117</v>
      </c>
      <c r="D43" s="78" t="s">
        <v>118</v>
      </c>
      <c r="E43" s="56">
        <f>120000+68250</f>
        <v>188250</v>
      </c>
      <c r="F43" s="78" t="s">
        <v>64</v>
      </c>
      <c r="G43" s="80" t="s">
        <v>125</v>
      </c>
      <c r="H43" s="78"/>
    </row>
    <row r="44" spans="2:8" s="18" customFormat="1" ht="115.5" customHeight="1" x14ac:dyDescent="0.25">
      <c r="B44" s="65" t="s">
        <v>132</v>
      </c>
      <c r="C44" s="23" t="s">
        <v>111</v>
      </c>
      <c r="D44" s="23" t="s">
        <v>112</v>
      </c>
      <c r="E44" s="56">
        <v>120000</v>
      </c>
      <c r="F44" s="23" t="s">
        <v>64</v>
      </c>
      <c r="G44" s="26" t="s">
        <v>125</v>
      </c>
      <c r="H44" s="23"/>
    </row>
    <row r="45" spans="2:8" s="18" customFormat="1" ht="58.5" customHeight="1" x14ac:dyDescent="0.25">
      <c r="B45" s="65" t="s">
        <v>132</v>
      </c>
      <c r="C45" s="30">
        <v>63700000</v>
      </c>
      <c r="D45" s="23" t="s">
        <v>70</v>
      </c>
      <c r="E45" s="56">
        <v>2000</v>
      </c>
      <c r="F45" s="25" t="s">
        <v>61</v>
      </c>
      <c r="G45" s="26" t="s">
        <v>125</v>
      </c>
      <c r="H45" s="26" t="s">
        <v>85</v>
      </c>
    </row>
    <row r="46" spans="2:8" s="18" customFormat="1" ht="63.75" customHeight="1" x14ac:dyDescent="0.25">
      <c r="B46" s="65" t="s">
        <v>132</v>
      </c>
      <c r="C46" s="23" t="s">
        <v>47</v>
      </c>
      <c r="D46" s="23" t="s">
        <v>48</v>
      </c>
      <c r="E46" s="56">
        <v>6000</v>
      </c>
      <c r="F46" s="25" t="s">
        <v>64</v>
      </c>
      <c r="G46" s="26" t="s">
        <v>125</v>
      </c>
      <c r="H46" s="23"/>
    </row>
    <row r="47" spans="2:8" s="18" customFormat="1" ht="33.75" x14ac:dyDescent="0.25">
      <c r="B47" s="65" t="s">
        <v>132</v>
      </c>
      <c r="C47" s="38" t="s">
        <v>18</v>
      </c>
      <c r="D47" s="23" t="s">
        <v>46</v>
      </c>
      <c r="E47" s="56">
        <v>25000</v>
      </c>
      <c r="F47" s="25" t="s">
        <v>64</v>
      </c>
      <c r="G47" s="26" t="s">
        <v>125</v>
      </c>
      <c r="H47" s="33"/>
    </row>
    <row r="48" spans="2:8" s="18" customFormat="1" ht="56.25" x14ac:dyDescent="0.25">
      <c r="B48" s="65" t="s">
        <v>132</v>
      </c>
      <c r="C48" s="38" t="s">
        <v>18</v>
      </c>
      <c r="D48" s="23" t="s">
        <v>46</v>
      </c>
      <c r="E48" s="56">
        <v>25500</v>
      </c>
      <c r="F48" s="25" t="s">
        <v>61</v>
      </c>
      <c r="G48" s="26" t="s">
        <v>125</v>
      </c>
      <c r="H48" s="26" t="s">
        <v>96</v>
      </c>
    </row>
    <row r="49" spans="2:10" s="18" customFormat="1" ht="56.25" x14ac:dyDescent="0.25">
      <c r="B49" s="65" t="s">
        <v>132</v>
      </c>
      <c r="C49" s="77" t="s">
        <v>161</v>
      </c>
      <c r="D49" s="78" t="s">
        <v>46</v>
      </c>
      <c r="E49" s="56">
        <v>9000</v>
      </c>
      <c r="F49" s="79" t="s">
        <v>61</v>
      </c>
      <c r="G49" s="80" t="s">
        <v>152</v>
      </c>
      <c r="H49" s="80" t="s">
        <v>162</v>
      </c>
    </row>
    <row r="50" spans="2:10" s="18" customFormat="1" ht="33.75" x14ac:dyDescent="0.25">
      <c r="B50" s="65" t="s">
        <v>132</v>
      </c>
      <c r="C50" s="38" t="s">
        <v>18</v>
      </c>
      <c r="D50" s="23" t="s">
        <v>46</v>
      </c>
      <c r="E50" s="56">
        <v>24000</v>
      </c>
      <c r="F50" s="25" t="s">
        <v>60</v>
      </c>
      <c r="G50" s="26" t="s">
        <v>125</v>
      </c>
      <c r="H50" s="33"/>
    </row>
    <row r="51" spans="2:10" s="18" customFormat="1" ht="33.75" x14ac:dyDescent="0.25">
      <c r="B51" s="65" t="s">
        <v>134</v>
      </c>
      <c r="C51" s="38" t="s">
        <v>114</v>
      </c>
      <c r="D51" s="23" t="s">
        <v>113</v>
      </c>
      <c r="E51" s="56">
        <v>30000</v>
      </c>
      <c r="F51" s="25" t="s">
        <v>64</v>
      </c>
      <c r="G51" s="26" t="s">
        <v>125</v>
      </c>
      <c r="H51" s="26"/>
    </row>
    <row r="52" spans="2:10" s="18" customFormat="1" ht="33.75" x14ac:dyDescent="0.25">
      <c r="B52" s="65" t="s">
        <v>132</v>
      </c>
      <c r="C52" s="38" t="s">
        <v>55</v>
      </c>
      <c r="D52" s="23" t="s">
        <v>56</v>
      </c>
      <c r="E52" s="56">
        <v>1680</v>
      </c>
      <c r="F52" s="25" t="s">
        <v>91</v>
      </c>
      <c r="G52" s="26" t="s">
        <v>125</v>
      </c>
      <c r="H52" s="33"/>
    </row>
    <row r="53" spans="2:10" s="18" customFormat="1" ht="57" customHeight="1" x14ac:dyDescent="0.25">
      <c r="B53" s="65" t="s">
        <v>132</v>
      </c>
      <c r="C53" s="77" t="s">
        <v>17</v>
      </c>
      <c r="D53" s="78" t="s">
        <v>16</v>
      </c>
      <c r="E53" s="56">
        <f>90000+34000</f>
        <v>124000</v>
      </c>
      <c r="F53" s="79" t="s">
        <v>61</v>
      </c>
      <c r="G53" s="80" t="s">
        <v>125</v>
      </c>
      <c r="H53" s="80" t="s">
        <v>67</v>
      </c>
    </row>
    <row r="54" spans="2:10" s="18" customFormat="1" ht="65.25" customHeight="1" x14ac:dyDescent="0.25">
      <c r="B54" s="65" t="s">
        <v>132</v>
      </c>
      <c r="C54" s="77" t="s">
        <v>17</v>
      </c>
      <c r="D54" s="78" t="s">
        <v>16</v>
      </c>
      <c r="E54" s="56">
        <f>150+400+266+21+350</f>
        <v>1187</v>
      </c>
      <c r="F54" s="79" t="s">
        <v>61</v>
      </c>
      <c r="G54" s="80" t="s">
        <v>125</v>
      </c>
      <c r="H54" s="80"/>
      <c r="J54" s="20"/>
    </row>
    <row r="55" spans="2:10" s="18" customFormat="1" ht="56.25" x14ac:dyDescent="0.25">
      <c r="B55" s="65" t="s">
        <v>132</v>
      </c>
      <c r="C55" s="38" t="s">
        <v>77</v>
      </c>
      <c r="D55" s="23" t="s">
        <v>78</v>
      </c>
      <c r="E55" s="56">
        <v>3000</v>
      </c>
      <c r="F55" s="25" t="s">
        <v>61</v>
      </c>
      <c r="G55" s="26" t="s">
        <v>125</v>
      </c>
      <c r="H55" s="26" t="s">
        <v>79</v>
      </c>
    </row>
    <row r="56" spans="2:10" s="18" customFormat="1" ht="56.25" x14ac:dyDescent="0.25">
      <c r="B56" s="65" t="s">
        <v>132</v>
      </c>
      <c r="C56" s="77" t="s">
        <v>163</v>
      </c>
      <c r="D56" s="78" t="s">
        <v>164</v>
      </c>
      <c r="E56" s="56">
        <v>500</v>
      </c>
      <c r="F56" s="79" t="s">
        <v>61</v>
      </c>
      <c r="G56" s="80" t="s">
        <v>152</v>
      </c>
      <c r="H56" s="80" t="s">
        <v>79</v>
      </c>
    </row>
    <row r="57" spans="2:10" s="18" customFormat="1" ht="75" customHeight="1" x14ac:dyDescent="0.25">
      <c r="B57" s="65" t="s">
        <v>132</v>
      </c>
      <c r="C57" s="77" t="s">
        <v>25</v>
      </c>
      <c r="D57" s="78" t="s">
        <v>119</v>
      </c>
      <c r="E57" s="56">
        <v>100000</v>
      </c>
      <c r="F57" s="79" t="s">
        <v>64</v>
      </c>
      <c r="G57" s="80" t="s">
        <v>125</v>
      </c>
      <c r="H57" s="80"/>
    </row>
    <row r="58" spans="2:10" s="1" customFormat="1" ht="63.75" customHeight="1" x14ac:dyDescent="0.25">
      <c r="B58" s="104" t="s">
        <v>132</v>
      </c>
      <c r="C58" s="23" t="s">
        <v>45</v>
      </c>
      <c r="D58" s="23" t="s">
        <v>63</v>
      </c>
      <c r="E58" s="24">
        <f>6000+3850</f>
        <v>9850</v>
      </c>
      <c r="F58" s="25" t="s">
        <v>64</v>
      </c>
      <c r="G58" s="26" t="s">
        <v>125</v>
      </c>
      <c r="H58" s="26"/>
    </row>
    <row r="59" spans="2:10" s="18" customFormat="1" ht="63.75" customHeight="1" x14ac:dyDescent="0.25">
      <c r="B59" s="65" t="s">
        <v>132</v>
      </c>
      <c r="C59" s="78" t="s">
        <v>120</v>
      </c>
      <c r="D59" s="78" t="s">
        <v>121</v>
      </c>
      <c r="E59" s="56">
        <v>450</v>
      </c>
      <c r="F59" s="79" t="s">
        <v>61</v>
      </c>
      <c r="G59" s="80" t="s">
        <v>125</v>
      </c>
      <c r="H59" s="80"/>
    </row>
    <row r="60" spans="2:10" s="18" customFormat="1" ht="77.25" customHeight="1" x14ac:dyDescent="0.25">
      <c r="B60" s="65" t="s">
        <v>132</v>
      </c>
      <c r="C60" s="30">
        <v>79700000</v>
      </c>
      <c r="D60" s="23" t="s">
        <v>27</v>
      </c>
      <c r="E60" s="56">
        <v>600000</v>
      </c>
      <c r="F60" s="25" t="s">
        <v>61</v>
      </c>
      <c r="G60" s="26" t="s">
        <v>125</v>
      </c>
      <c r="H60" s="26" t="s">
        <v>80</v>
      </c>
    </row>
    <row r="61" spans="2:10" s="18" customFormat="1" ht="62.25" customHeight="1" x14ac:dyDescent="0.25">
      <c r="B61" s="65" t="s">
        <v>132</v>
      </c>
      <c r="C61" s="30">
        <v>79800000</v>
      </c>
      <c r="D61" s="23" t="s">
        <v>81</v>
      </c>
      <c r="E61" s="56">
        <v>10000</v>
      </c>
      <c r="F61" s="25" t="s">
        <v>64</v>
      </c>
      <c r="G61" s="26" t="s">
        <v>125</v>
      </c>
      <c r="H61" s="26"/>
    </row>
    <row r="62" spans="2:10" s="18" customFormat="1" ht="62.25" customHeight="1" x14ac:dyDescent="0.25">
      <c r="B62" s="65" t="s">
        <v>132</v>
      </c>
      <c r="C62" s="78" t="s">
        <v>53</v>
      </c>
      <c r="D62" s="78" t="s">
        <v>65</v>
      </c>
      <c r="E62" s="56">
        <f>20000+12000-2305</f>
        <v>29695</v>
      </c>
      <c r="F62" s="79" t="s">
        <v>61</v>
      </c>
      <c r="G62" s="80" t="s">
        <v>125</v>
      </c>
      <c r="H62" s="78" t="s">
        <v>68</v>
      </c>
    </row>
    <row r="63" spans="2:10" s="18" customFormat="1" ht="62.25" customHeight="1" x14ac:dyDescent="0.25">
      <c r="B63" s="65" t="s">
        <v>132</v>
      </c>
      <c r="C63" s="78" t="s">
        <v>53</v>
      </c>
      <c r="D63" s="78" t="s">
        <v>65</v>
      </c>
      <c r="E63" s="56">
        <v>2305</v>
      </c>
      <c r="F63" s="79" t="s">
        <v>61</v>
      </c>
      <c r="G63" s="80" t="s">
        <v>173</v>
      </c>
      <c r="H63" s="78"/>
    </row>
    <row r="64" spans="2:10" s="18" customFormat="1" ht="62.25" customHeight="1" x14ac:dyDescent="0.25">
      <c r="B64" s="65" t="s">
        <v>132</v>
      </c>
      <c r="C64" s="38" t="s">
        <v>24</v>
      </c>
      <c r="D64" s="23" t="s">
        <v>71</v>
      </c>
      <c r="E64" s="56">
        <v>12000</v>
      </c>
      <c r="F64" s="25" t="s">
        <v>64</v>
      </c>
      <c r="G64" s="26" t="s">
        <v>125</v>
      </c>
      <c r="H64" s="23"/>
    </row>
    <row r="65" spans="2:13" s="18" customFormat="1" ht="62.25" customHeight="1" x14ac:dyDescent="0.25">
      <c r="B65" s="65" t="s">
        <v>132</v>
      </c>
      <c r="C65" s="38" t="s">
        <v>122</v>
      </c>
      <c r="D65" s="23" t="s">
        <v>123</v>
      </c>
      <c r="E65" s="56">
        <v>1000</v>
      </c>
      <c r="F65" s="25" t="s">
        <v>61</v>
      </c>
      <c r="G65" s="26" t="s">
        <v>125</v>
      </c>
      <c r="H65" s="23"/>
    </row>
    <row r="66" spans="2:13" s="18" customFormat="1" ht="60.75" customHeight="1" x14ac:dyDescent="0.25">
      <c r="B66" s="65" t="s">
        <v>132</v>
      </c>
      <c r="C66" s="78" t="s">
        <v>82</v>
      </c>
      <c r="D66" s="78" t="s">
        <v>83</v>
      </c>
      <c r="E66" s="56">
        <v>10000</v>
      </c>
      <c r="F66" s="79" t="s">
        <v>61</v>
      </c>
      <c r="G66" s="80" t="s">
        <v>125</v>
      </c>
      <c r="H66" s="80" t="s">
        <v>79</v>
      </c>
    </row>
    <row r="67" spans="2:13" s="18" customFormat="1" ht="36.75" customHeight="1" x14ac:dyDescent="0.25">
      <c r="B67" s="65" t="s">
        <v>132</v>
      </c>
      <c r="C67" s="78" t="s">
        <v>12</v>
      </c>
      <c r="D67" s="78" t="s">
        <v>19</v>
      </c>
      <c r="E67" s="56">
        <f>80000+110000</f>
        <v>190000</v>
      </c>
      <c r="F67" s="79" t="s">
        <v>64</v>
      </c>
      <c r="G67" s="80" t="s">
        <v>125</v>
      </c>
      <c r="H67" s="81"/>
    </row>
    <row r="68" spans="2:13" s="18" customFormat="1" ht="54.75" customHeight="1" x14ac:dyDescent="0.25">
      <c r="B68" s="65" t="s">
        <v>132</v>
      </c>
      <c r="C68" s="78" t="s">
        <v>115</v>
      </c>
      <c r="D68" s="78" t="s">
        <v>116</v>
      </c>
      <c r="E68" s="56">
        <v>15000</v>
      </c>
      <c r="F68" s="79" t="s">
        <v>61</v>
      </c>
      <c r="G68" s="80" t="s">
        <v>125</v>
      </c>
      <c r="H68" s="80" t="s">
        <v>79</v>
      </c>
    </row>
    <row r="69" spans="2:13" s="18" customFormat="1" ht="54.75" customHeight="1" x14ac:dyDescent="0.25">
      <c r="B69" s="108" t="s">
        <v>132</v>
      </c>
      <c r="C69" s="78" t="s">
        <v>165</v>
      </c>
      <c r="D69" s="78" t="s">
        <v>166</v>
      </c>
      <c r="E69" s="56">
        <v>4900</v>
      </c>
      <c r="F69" s="79" t="s">
        <v>61</v>
      </c>
      <c r="G69" s="80" t="s">
        <v>152</v>
      </c>
      <c r="H69" s="80" t="s">
        <v>79</v>
      </c>
    </row>
    <row r="70" spans="2:13" s="1" customFormat="1" ht="75" customHeight="1" x14ac:dyDescent="0.25">
      <c r="B70" s="126" t="s">
        <v>135</v>
      </c>
      <c r="C70" s="127"/>
      <c r="D70" s="127"/>
      <c r="E70" s="16">
        <f>SUM(E71:E74)</f>
        <v>1710000</v>
      </c>
      <c r="F70" s="13"/>
      <c r="G70" s="14"/>
      <c r="H70" s="10"/>
      <c r="I70" s="61"/>
      <c r="J70" s="62"/>
    </row>
    <row r="71" spans="2:13" s="1" customFormat="1" ht="59.25" customHeight="1" x14ac:dyDescent="0.25">
      <c r="B71" s="104" t="s">
        <v>132</v>
      </c>
      <c r="C71" s="23" t="s">
        <v>24</v>
      </c>
      <c r="D71" s="23" t="s">
        <v>71</v>
      </c>
      <c r="E71" s="24">
        <f>1710000-142500-E73-E72</f>
        <v>1314302.3999999999</v>
      </c>
      <c r="F71" s="25" t="s">
        <v>64</v>
      </c>
      <c r="G71" s="26" t="s">
        <v>125</v>
      </c>
      <c r="H71" s="41"/>
      <c r="J71" s="62"/>
    </row>
    <row r="72" spans="2:13" s="1" customFormat="1" ht="67.5" x14ac:dyDescent="0.25">
      <c r="B72" s="104" t="s">
        <v>132</v>
      </c>
      <c r="C72" s="23" t="s">
        <v>103</v>
      </c>
      <c r="D72" s="23" t="s">
        <v>71</v>
      </c>
      <c r="E72" s="24">
        <v>33000</v>
      </c>
      <c r="F72" s="25" t="s">
        <v>61</v>
      </c>
      <c r="G72" s="26" t="s">
        <v>151</v>
      </c>
      <c r="H72" s="48" t="s">
        <v>98</v>
      </c>
      <c r="J72" s="62"/>
    </row>
    <row r="73" spans="2:13" s="1" customFormat="1" ht="67.5" x14ac:dyDescent="0.25">
      <c r="B73" s="104" t="s">
        <v>132</v>
      </c>
      <c r="C73" s="23" t="s">
        <v>103</v>
      </c>
      <c r="D73" s="23" t="s">
        <v>71</v>
      </c>
      <c r="E73" s="24">
        <v>220197.6</v>
      </c>
      <c r="F73" s="25" t="s">
        <v>61</v>
      </c>
      <c r="G73" s="26" t="s">
        <v>150</v>
      </c>
      <c r="H73" s="48" t="s">
        <v>98</v>
      </c>
    </row>
    <row r="74" spans="2:13" s="1" customFormat="1" ht="98.25" customHeight="1" x14ac:dyDescent="0.25">
      <c r="B74" s="104" t="s">
        <v>132</v>
      </c>
      <c r="C74" s="23" t="s">
        <v>24</v>
      </c>
      <c r="D74" s="23" t="s">
        <v>71</v>
      </c>
      <c r="E74" s="24">
        <v>142500</v>
      </c>
      <c r="F74" s="25" t="s">
        <v>61</v>
      </c>
      <c r="G74" s="26" t="s">
        <v>125</v>
      </c>
      <c r="H74" s="48" t="s">
        <v>128</v>
      </c>
      <c r="J74" s="62"/>
    </row>
    <row r="75" spans="2:13" s="1" customFormat="1" ht="31.5" customHeight="1" x14ac:dyDescent="0.25">
      <c r="B75" s="126" t="s">
        <v>136</v>
      </c>
      <c r="C75" s="127"/>
      <c r="D75" s="127"/>
      <c r="E75" s="16">
        <f>SUM(E76:E80)</f>
        <v>22370000</v>
      </c>
      <c r="F75" s="13"/>
      <c r="G75" s="9"/>
      <c r="H75" s="10"/>
      <c r="I75" s="61"/>
      <c r="J75" s="62"/>
    </row>
    <row r="76" spans="2:13" s="1" customFormat="1" ht="75.75" customHeight="1" x14ac:dyDescent="0.25">
      <c r="B76" s="104" t="s">
        <v>132</v>
      </c>
      <c r="C76" s="23" t="s">
        <v>7</v>
      </c>
      <c r="D76" s="23" t="s">
        <v>57</v>
      </c>
      <c r="E76" s="24">
        <f>3750000+400000</f>
        <v>4150000</v>
      </c>
      <c r="F76" s="25" t="s">
        <v>61</v>
      </c>
      <c r="G76" s="26" t="s">
        <v>125</v>
      </c>
      <c r="H76" s="48" t="s">
        <v>97</v>
      </c>
    </row>
    <row r="77" spans="2:13" s="1" customFormat="1" ht="75.75" customHeight="1" x14ac:dyDescent="0.25">
      <c r="B77" s="66" t="s">
        <v>133</v>
      </c>
      <c r="C77" s="23" t="s">
        <v>7</v>
      </c>
      <c r="D77" s="23" t="s">
        <v>57</v>
      </c>
      <c r="E77" s="24">
        <v>100000</v>
      </c>
      <c r="F77" s="25" t="s">
        <v>61</v>
      </c>
      <c r="G77" s="26" t="s">
        <v>125</v>
      </c>
      <c r="H77" s="48" t="s">
        <v>97</v>
      </c>
    </row>
    <row r="78" spans="2:13" s="1" customFormat="1" ht="121.5" customHeight="1" x14ac:dyDescent="0.25">
      <c r="B78" s="104" t="s">
        <v>132</v>
      </c>
      <c r="C78" s="23">
        <v>33600000</v>
      </c>
      <c r="D78" s="23" t="s">
        <v>29</v>
      </c>
      <c r="E78" s="24">
        <f>1440000+270000-22680</f>
        <v>1687320</v>
      </c>
      <c r="F78" s="25" t="s">
        <v>64</v>
      </c>
      <c r="G78" s="26" t="s">
        <v>125</v>
      </c>
      <c r="H78" s="41"/>
      <c r="J78" s="62"/>
      <c r="L78" s="62"/>
      <c r="M78" s="62"/>
    </row>
    <row r="79" spans="2:13" s="1" customFormat="1" ht="121.5" customHeight="1" x14ac:dyDescent="0.25">
      <c r="B79" s="104" t="s">
        <v>132</v>
      </c>
      <c r="C79" s="23" t="s">
        <v>32</v>
      </c>
      <c r="D79" s="23" t="s">
        <v>29</v>
      </c>
      <c r="E79" s="24">
        <v>22680</v>
      </c>
      <c r="F79" s="25" t="s">
        <v>61</v>
      </c>
      <c r="G79" s="26" t="s">
        <v>150</v>
      </c>
      <c r="H79" s="48" t="s">
        <v>157</v>
      </c>
      <c r="J79" s="62"/>
      <c r="L79" s="62"/>
      <c r="M79" s="62"/>
    </row>
    <row r="80" spans="2:13" s="1" customFormat="1" ht="87.75" customHeight="1" x14ac:dyDescent="0.25">
      <c r="B80" s="104" t="s">
        <v>132</v>
      </c>
      <c r="C80" s="23" t="s">
        <v>32</v>
      </c>
      <c r="D80" s="23" t="s">
        <v>29</v>
      </c>
      <c r="E80" s="24">
        <v>16410000</v>
      </c>
      <c r="F80" s="25" t="s">
        <v>61</v>
      </c>
      <c r="G80" s="26" t="s">
        <v>125</v>
      </c>
      <c r="H80" s="48" t="s">
        <v>98</v>
      </c>
      <c r="J80" s="62"/>
      <c r="K80" s="62"/>
    </row>
    <row r="81" spans="2:11" s="1" customFormat="1" ht="60" customHeight="1" x14ac:dyDescent="0.25">
      <c r="B81" s="126" t="s">
        <v>137</v>
      </c>
      <c r="C81" s="127"/>
      <c r="D81" s="127"/>
      <c r="E81" s="16">
        <f>SUM(E82:E86)</f>
        <v>1700000</v>
      </c>
      <c r="F81" s="13"/>
      <c r="G81" s="14"/>
      <c r="H81" s="10"/>
      <c r="I81" s="61"/>
      <c r="J81" s="105"/>
    </row>
    <row r="82" spans="2:11" s="1" customFormat="1" ht="36.75" customHeight="1" x14ac:dyDescent="0.25">
      <c r="B82" s="104" t="s">
        <v>132</v>
      </c>
      <c r="C82" s="23" t="s">
        <v>7</v>
      </c>
      <c r="D82" s="23" t="s">
        <v>28</v>
      </c>
      <c r="E82" s="24">
        <v>42272.9</v>
      </c>
      <c r="F82" s="25" t="s">
        <v>64</v>
      </c>
      <c r="G82" s="26" t="s">
        <v>125</v>
      </c>
      <c r="H82" s="41"/>
    </row>
    <row r="83" spans="2:11" s="1" customFormat="1" ht="51" customHeight="1" x14ac:dyDescent="0.25">
      <c r="B83" s="104" t="s">
        <v>132</v>
      </c>
      <c r="C83" s="23" t="s">
        <v>32</v>
      </c>
      <c r="D83" s="23" t="s">
        <v>29</v>
      </c>
      <c r="E83" s="24">
        <v>60607.14</v>
      </c>
      <c r="F83" s="25" t="s">
        <v>64</v>
      </c>
      <c r="G83" s="26" t="s">
        <v>125</v>
      </c>
      <c r="H83" s="41"/>
      <c r="J83" s="62"/>
    </row>
    <row r="84" spans="2:11" s="1" customFormat="1" ht="45" customHeight="1" x14ac:dyDescent="0.25">
      <c r="B84" s="104" t="s">
        <v>132</v>
      </c>
      <c r="C84" s="23" t="s">
        <v>89</v>
      </c>
      <c r="D84" s="23" t="s">
        <v>90</v>
      </c>
      <c r="E84" s="24">
        <v>798000</v>
      </c>
      <c r="F84" s="25" t="s">
        <v>64</v>
      </c>
      <c r="G84" s="26" t="s">
        <v>125</v>
      </c>
      <c r="H84" s="48"/>
    </row>
    <row r="85" spans="2:11" s="1" customFormat="1" ht="78.75" x14ac:dyDescent="0.25">
      <c r="B85" s="104" t="s">
        <v>132</v>
      </c>
      <c r="C85" s="23" t="s">
        <v>24</v>
      </c>
      <c r="D85" s="23" t="s">
        <v>71</v>
      </c>
      <c r="E85" s="24">
        <v>69239.960000000006</v>
      </c>
      <c r="F85" s="25" t="s">
        <v>61</v>
      </c>
      <c r="G85" s="26" t="s">
        <v>125</v>
      </c>
      <c r="H85" s="48" t="s">
        <v>129</v>
      </c>
      <c r="J85" s="62"/>
    </row>
    <row r="86" spans="2:11" s="1" customFormat="1" ht="67.5" x14ac:dyDescent="0.25">
      <c r="B86" s="104" t="s">
        <v>132</v>
      </c>
      <c r="C86" s="23" t="s">
        <v>24</v>
      </c>
      <c r="D86" s="23" t="s">
        <v>71</v>
      </c>
      <c r="E86" s="24">
        <v>729880</v>
      </c>
      <c r="F86" s="25" t="s">
        <v>61</v>
      </c>
      <c r="G86" s="26" t="s">
        <v>152</v>
      </c>
      <c r="H86" s="48" t="s">
        <v>98</v>
      </c>
    </row>
    <row r="87" spans="2:11" s="1" customFormat="1" ht="65.25" customHeight="1" x14ac:dyDescent="0.25">
      <c r="B87" s="126" t="s">
        <v>138</v>
      </c>
      <c r="C87" s="127"/>
      <c r="D87" s="127"/>
      <c r="E87" s="16">
        <f>SUM(E88:E90)</f>
        <v>1753700.5</v>
      </c>
      <c r="F87" s="13"/>
      <c r="G87" s="14"/>
      <c r="H87" s="10"/>
      <c r="I87" s="61"/>
      <c r="J87" s="62"/>
    </row>
    <row r="88" spans="2:11" s="1" customFormat="1" ht="33.75" x14ac:dyDescent="0.25">
      <c r="B88" s="67" t="s">
        <v>132</v>
      </c>
      <c r="C88" s="91" t="s">
        <v>25</v>
      </c>
      <c r="D88" s="91" t="s">
        <v>69</v>
      </c>
      <c r="E88" s="69">
        <f>55000+145000</f>
        <v>200000</v>
      </c>
      <c r="F88" s="94" t="s">
        <v>64</v>
      </c>
      <c r="G88" s="71" t="s">
        <v>125</v>
      </c>
      <c r="H88" s="95"/>
    </row>
    <row r="89" spans="2:11" s="1" customFormat="1" ht="78.75" x14ac:dyDescent="0.25">
      <c r="B89" s="104" t="s">
        <v>132</v>
      </c>
      <c r="C89" s="23">
        <v>85100000</v>
      </c>
      <c r="D89" s="23" t="s">
        <v>71</v>
      </c>
      <c r="E89" s="24">
        <v>127500.5</v>
      </c>
      <c r="F89" s="25" t="s">
        <v>61</v>
      </c>
      <c r="G89" s="26" t="s">
        <v>125</v>
      </c>
      <c r="H89" s="45" t="s">
        <v>124</v>
      </c>
    </row>
    <row r="90" spans="2:11" s="1" customFormat="1" ht="60.75" customHeight="1" x14ac:dyDescent="0.25">
      <c r="B90" s="67" t="s">
        <v>132</v>
      </c>
      <c r="C90" s="68">
        <v>85100000</v>
      </c>
      <c r="D90" s="68" t="s">
        <v>71</v>
      </c>
      <c r="E90" s="69">
        <f>1460000+111200-145000</f>
        <v>1426200</v>
      </c>
      <c r="F90" s="70" t="s">
        <v>61</v>
      </c>
      <c r="G90" s="71" t="s">
        <v>125</v>
      </c>
      <c r="H90" s="92" t="s">
        <v>98</v>
      </c>
      <c r="K90" s="62"/>
    </row>
    <row r="91" spans="2:11" s="1" customFormat="1" ht="61.5" customHeight="1" x14ac:dyDescent="0.25">
      <c r="B91" s="126" t="s">
        <v>139</v>
      </c>
      <c r="C91" s="127"/>
      <c r="D91" s="127"/>
      <c r="E91" s="16">
        <f>SUM(E92:E93)</f>
        <v>184166.6</v>
      </c>
      <c r="F91" s="13"/>
      <c r="G91" s="14"/>
      <c r="H91" s="10"/>
      <c r="I91" s="61"/>
      <c r="J91" s="62"/>
    </row>
    <row r="92" spans="2:11" s="18" customFormat="1" ht="70.5" customHeight="1" x14ac:dyDescent="0.25">
      <c r="B92" s="65" t="s">
        <v>132</v>
      </c>
      <c r="C92" s="23" t="s">
        <v>24</v>
      </c>
      <c r="D92" s="23" t="s">
        <v>71</v>
      </c>
      <c r="E92" s="56">
        <v>14166.6</v>
      </c>
      <c r="F92" s="25" t="s">
        <v>61</v>
      </c>
      <c r="G92" s="26" t="s">
        <v>125</v>
      </c>
      <c r="H92" s="48" t="s">
        <v>76</v>
      </c>
    </row>
    <row r="93" spans="2:11" s="1" customFormat="1" ht="75" customHeight="1" x14ac:dyDescent="0.25">
      <c r="B93" s="104" t="s">
        <v>132</v>
      </c>
      <c r="C93" s="23" t="s">
        <v>24</v>
      </c>
      <c r="D93" s="23" t="s">
        <v>71</v>
      </c>
      <c r="E93" s="24">
        <v>170000</v>
      </c>
      <c r="F93" s="25" t="s">
        <v>61</v>
      </c>
      <c r="G93" s="26" t="s">
        <v>125</v>
      </c>
      <c r="H93" s="48" t="s">
        <v>98</v>
      </c>
    </row>
    <row r="94" spans="2:11" s="1" customFormat="1" ht="65.25" customHeight="1" x14ac:dyDescent="0.25">
      <c r="B94" s="121" t="s">
        <v>140</v>
      </c>
      <c r="C94" s="122"/>
      <c r="D94" s="122"/>
      <c r="E94" s="16">
        <f>SUM(E95:E99)</f>
        <v>1090000</v>
      </c>
      <c r="F94" s="13"/>
      <c r="G94" s="14"/>
      <c r="H94" s="60"/>
      <c r="I94" s="61"/>
      <c r="J94" s="62"/>
    </row>
    <row r="95" spans="2:11" s="1" customFormat="1" ht="49.5" customHeight="1" x14ac:dyDescent="0.25">
      <c r="B95" s="104" t="s">
        <v>132</v>
      </c>
      <c r="C95" s="23" t="s">
        <v>14</v>
      </c>
      <c r="D95" s="23" t="s">
        <v>15</v>
      </c>
      <c r="E95" s="24">
        <v>24200</v>
      </c>
      <c r="F95" s="25" t="s">
        <v>60</v>
      </c>
      <c r="G95" s="26" t="s">
        <v>125</v>
      </c>
      <c r="H95" s="41"/>
    </row>
    <row r="96" spans="2:11" s="1" customFormat="1" ht="33.75" x14ac:dyDescent="0.25">
      <c r="B96" s="104" t="s">
        <v>132</v>
      </c>
      <c r="C96" s="28">
        <v>33100000</v>
      </c>
      <c r="D96" s="28" t="s">
        <v>28</v>
      </c>
      <c r="E96" s="24">
        <f>240004-87983</f>
        <v>152021</v>
      </c>
      <c r="F96" s="29" t="s">
        <v>64</v>
      </c>
      <c r="G96" s="26" t="s">
        <v>125</v>
      </c>
      <c r="H96" s="46"/>
    </row>
    <row r="97" spans="2:10" s="1" customFormat="1" ht="60.75" customHeight="1" x14ac:dyDescent="0.25">
      <c r="B97" s="104" t="s">
        <v>132</v>
      </c>
      <c r="C97" s="23" t="s">
        <v>59</v>
      </c>
      <c r="D97" s="23" t="s">
        <v>44</v>
      </c>
      <c r="E97" s="24">
        <v>15000</v>
      </c>
      <c r="F97" s="25" t="s">
        <v>64</v>
      </c>
      <c r="G97" s="26" t="s">
        <v>125</v>
      </c>
      <c r="H97" s="41"/>
    </row>
    <row r="98" spans="2:10" s="1" customFormat="1" ht="75" customHeight="1" x14ac:dyDescent="0.25">
      <c r="B98" s="104" t="s">
        <v>132</v>
      </c>
      <c r="C98" s="23">
        <v>85100000</v>
      </c>
      <c r="D98" s="23" t="s">
        <v>71</v>
      </c>
      <c r="E98" s="24">
        <v>48983</v>
      </c>
      <c r="F98" s="25" t="s">
        <v>61</v>
      </c>
      <c r="G98" s="26" t="s">
        <v>125</v>
      </c>
      <c r="H98" s="48" t="s">
        <v>126</v>
      </c>
      <c r="J98" s="62"/>
    </row>
    <row r="99" spans="2:10" s="18" customFormat="1" ht="65.25" customHeight="1" x14ac:dyDescent="0.25">
      <c r="B99" s="65" t="s">
        <v>132</v>
      </c>
      <c r="C99" s="78">
        <v>85100000</v>
      </c>
      <c r="D99" s="78" t="s">
        <v>71</v>
      </c>
      <c r="E99" s="56">
        <f>1071996+37800-260000</f>
        <v>849796</v>
      </c>
      <c r="F99" s="79" t="s">
        <v>61</v>
      </c>
      <c r="G99" s="80" t="s">
        <v>125</v>
      </c>
      <c r="H99" s="111" t="s">
        <v>98</v>
      </c>
    </row>
    <row r="100" spans="2:10" s="1" customFormat="1" ht="80.25" customHeight="1" x14ac:dyDescent="0.25">
      <c r="B100" s="126" t="s">
        <v>141</v>
      </c>
      <c r="C100" s="127"/>
      <c r="D100" s="127"/>
      <c r="E100" s="16">
        <f>SUM(E101:E101)</f>
        <v>1250000</v>
      </c>
      <c r="F100" s="13"/>
      <c r="G100" s="14"/>
      <c r="H100" s="10"/>
      <c r="I100" s="61"/>
      <c r="J100" s="62"/>
    </row>
    <row r="101" spans="2:10" s="1" customFormat="1" ht="84.75" customHeight="1" x14ac:dyDescent="0.25">
      <c r="B101" s="104" t="s">
        <v>132</v>
      </c>
      <c r="C101" s="23" t="s">
        <v>32</v>
      </c>
      <c r="D101" s="23" t="s">
        <v>29</v>
      </c>
      <c r="E101" s="24">
        <v>1250000</v>
      </c>
      <c r="F101" s="25" t="s">
        <v>61</v>
      </c>
      <c r="G101" s="26" t="s">
        <v>125</v>
      </c>
      <c r="H101" s="48" t="s">
        <v>98</v>
      </c>
    </row>
    <row r="102" spans="2:10" s="1" customFormat="1" ht="57.75" customHeight="1" x14ac:dyDescent="0.25">
      <c r="B102" s="119" t="s">
        <v>142</v>
      </c>
      <c r="C102" s="120"/>
      <c r="D102" s="120"/>
      <c r="E102" s="57">
        <f>SUM(E103:E106)</f>
        <v>4000000</v>
      </c>
      <c r="F102" s="58"/>
      <c r="G102" s="58"/>
      <c r="H102" s="59"/>
      <c r="I102" s="61"/>
      <c r="J102" s="62"/>
    </row>
    <row r="103" spans="2:10" s="18" customFormat="1" ht="29.25" customHeight="1" x14ac:dyDescent="0.25">
      <c r="B103" s="65" t="s">
        <v>132</v>
      </c>
      <c r="C103" s="38">
        <v>33100000</v>
      </c>
      <c r="D103" s="23" t="s">
        <v>8</v>
      </c>
      <c r="E103" s="56">
        <v>124876.2</v>
      </c>
      <c r="F103" s="25" t="s">
        <v>64</v>
      </c>
      <c r="G103" s="26" t="s">
        <v>125</v>
      </c>
      <c r="H103" s="26"/>
    </row>
    <row r="104" spans="2:10" s="1" customFormat="1" ht="33.75" x14ac:dyDescent="0.25">
      <c r="B104" s="104" t="s">
        <v>132</v>
      </c>
      <c r="C104" s="38" t="s">
        <v>32</v>
      </c>
      <c r="D104" s="23" t="s">
        <v>9</v>
      </c>
      <c r="E104" s="24">
        <f>2995349.4-3495.8-99984.41</f>
        <v>2891869.19</v>
      </c>
      <c r="F104" s="25" t="s">
        <v>64</v>
      </c>
      <c r="G104" s="26" t="s">
        <v>125</v>
      </c>
      <c r="H104" s="26"/>
    </row>
    <row r="105" spans="2:10" s="1" customFormat="1" ht="67.5" x14ac:dyDescent="0.25">
      <c r="B105" s="104" t="s">
        <v>132</v>
      </c>
      <c r="C105" s="38" t="s">
        <v>24</v>
      </c>
      <c r="D105" s="23" t="s">
        <v>71</v>
      </c>
      <c r="E105" s="24">
        <v>73605.850000000006</v>
      </c>
      <c r="F105" s="25" t="s">
        <v>61</v>
      </c>
      <c r="G105" s="26" t="s">
        <v>125</v>
      </c>
      <c r="H105" s="45" t="s">
        <v>127</v>
      </c>
    </row>
    <row r="106" spans="2:10" s="1" customFormat="1" ht="83.25" customHeight="1" x14ac:dyDescent="0.25">
      <c r="B106" s="104" t="s">
        <v>132</v>
      </c>
      <c r="C106" s="23" t="s">
        <v>24</v>
      </c>
      <c r="D106" s="23" t="s">
        <v>71</v>
      </c>
      <c r="E106" s="24">
        <v>909648.76</v>
      </c>
      <c r="F106" s="25" t="s">
        <v>61</v>
      </c>
      <c r="G106" s="26" t="s">
        <v>152</v>
      </c>
      <c r="H106" s="32" t="s">
        <v>98</v>
      </c>
    </row>
    <row r="107" spans="2:10" ht="122.25" customHeight="1" x14ac:dyDescent="0.25">
      <c r="B107" s="126" t="s">
        <v>143</v>
      </c>
      <c r="C107" s="127"/>
      <c r="D107" s="127"/>
      <c r="E107" s="16">
        <f>SUM(E108)</f>
        <v>2190000</v>
      </c>
      <c r="F107" s="13"/>
      <c r="G107" s="14"/>
      <c r="H107" s="10"/>
      <c r="I107" s="61"/>
      <c r="J107" s="63">
        <f>E102-4000000</f>
        <v>0</v>
      </c>
    </row>
    <row r="108" spans="2:10" s="1" customFormat="1" ht="117.75" customHeight="1" x14ac:dyDescent="0.25">
      <c r="B108" s="104" t="s">
        <v>132</v>
      </c>
      <c r="C108" s="23" t="s">
        <v>32</v>
      </c>
      <c r="D108" s="23" t="s">
        <v>29</v>
      </c>
      <c r="E108" s="24">
        <v>2190000</v>
      </c>
      <c r="F108" s="25" t="s">
        <v>61</v>
      </c>
      <c r="G108" s="26" t="s">
        <v>152</v>
      </c>
      <c r="H108" s="48" t="s">
        <v>98</v>
      </c>
    </row>
    <row r="109" spans="2:10" s="1" customFormat="1" ht="57" customHeight="1" x14ac:dyDescent="0.25">
      <c r="B109" s="121" t="s">
        <v>144</v>
      </c>
      <c r="C109" s="122"/>
      <c r="D109" s="122"/>
      <c r="E109" s="16">
        <f>SUM(E110:E114)</f>
        <v>474000</v>
      </c>
      <c r="F109" s="13"/>
      <c r="G109" s="60"/>
      <c r="H109" s="60"/>
      <c r="I109" s="61"/>
      <c r="J109" s="62"/>
    </row>
    <row r="110" spans="2:10" s="1" customFormat="1" ht="59.25" customHeight="1" x14ac:dyDescent="0.25">
      <c r="B110" s="104" t="s">
        <v>148</v>
      </c>
      <c r="C110" s="23">
        <v>33100000</v>
      </c>
      <c r="D110" s="23" t="s">
        <v>28</v>
      </c>
      <c r="E110" s="24">
        <f>20000+14559.87+22385.83</f>
        <v>56945.700000000004</v>
      </c>
      <c r="F110" s="25" t="s">
        <v>64</v>
      </c>
      <c r="G110" s="26" t="s">
        <v>125</v>
      </c>
      <c r="H110" s="41"/>
    </row>
    <row r="111" spans="2:10" s="1" customFormat="1" ht="38.25" x14ac:dyDescent="0.25">
      <c r="B111" s="104" t="s">
        <v>148</v>
      </c>
      <c r="C111" s="36">
        <v>33600000</v>
      </c>
      <c r="D111" s="36" t="s">
        <v>29</v>
      </c>
      <c r="E111" s="24">
        <f>266824.3+68000-17770</f>
        <v>317054.3</v>
      </c>
      <c r="F111" s="43" t="s">
        <v>64</v>
      </c>
      <c r="G111" s="26" t="s">
        <v>125</v>
      </c>
      <c r="H111" s="44"/>
    </row>
    <row r="112" spans="2:10" s="1" customFormat="1" ht="78.75" x14ac:dyDescent="0.25">
      <c r="B112" s="104" t="s">
        <v>132</v>
      </c>
      <c r="C112" s="38" t="s">
        <v>103</v>
      </c>
      <c r="D112" s="23" t="s">
        <v>71</v>
      </c>
      <c r="E112" s="24">
        <v>6870</v>
      </c>
      <c r="F112" s="25" t="s">
        <v>61</v>
      </c>
      <c r="G112" s="26" t="s">
        <v>125</v>
      </c>
      <c r="H112" s="45" t="s">
        <v>130</v>
      </c>
    </row>
    <row r="113" spans="2:11" s="1" customFormat="1" ht="67.5" x14ac:dyDescent="0.25">
      <c r="B113" s="104" t="s">
        <v>132</v>
      </c>
      <c r="C113" s="38" t="s">
        <v>103</v>
      </c>
      <c r="D113" s="23" t="s">
        <v>71</v>
      </c>
      <c r="E113" s="24">
        <f>13740+6870</f>
        <v>20610</v>
      </c>
      <c r="F113" s="25" t="s">
        <v>61</v>
      </c>
      <c r="G113" s="26" t="s">
        <v>152</v>
      </c>
      <c r="H113" s="48" t="s">
        <v>98</v>
      </c>
      <c r="J113" s="62"/>
      <c r="K113" s="62"/>
    </row>
    <row r="114" spans="2:11" s="1" customFormat="1" ht="51" customHeight="1" x14ac:dyDescent="0.25">
      <c r="B114" s="104" t="s">
        <v>132</v>
      </c>
      <c r="C114" s="38" t="s">
        <v>24</v>
      </c>
      <c r="D114" s="23" t="s">
        <v>71</v>
      </c>
      <c r="E114" s="24">
        <v>72520</v>
      </c>
      <c r="F114" s="25" t="s">
        <v>64</v>
      </c>
      <c r="G114" s="26" t="s">
        <v>153</v>
      </c>
      <c r="H114" s="45"/>
      <c r="J114" s="62"/>
      <c r="K114" s="62"/>
    </row>
    <row r="115" spans="2:11" ht="59.25" customHeight="1" x14ac:dyDescent="0.25">
      <c r="B115" s="126" t="s">
        <v>145</v>
      </c>
      <c r="C115" s="127"/>
      <c r="D115" s="127"/>
      <c r="E115" s="16">
        <f>SUM(E116:E119)</f>
        <v>2100000</v>
      </c>
      <c r="F115" s="13"/>
      <c r="G115" s="14"/>
      <c r="H115" s="10"/>
      <c r="I115" s="61"/>
      <c r="J115" s="63"/>
    </row>
    <row r="116" spans="2:11" s="18" customFormat="1" ht="42.75" customHeight="1" x14ac:dyDescent="0.25">
      <c r="B116" s="67" t="s">
        <v>132</v>
      </c>
      <c r="C116" s="68" t="s">
        <v>25</v>
      </c>
      <c r="D116" s="68" t="s">
        <v>69</v>
      </c>
      <c r="E116" s="69">
        <f>2100000-115976-175000</f>
        <v>1809024</v>
      </c>
      <c r="F116" s="70" t="s">
        <v>64</v>
      </c>
      <c r="G116" s="71" t="s">
        <v>125</v>
      </c>
      <c r="H116" s="112"/>
    </row>
    <row r="117" spans="2:11" s="1" customFormat="1" ht="42.75" customHeight="1" x14ac:dyDescent="0.25">
      <c r="B117" s="104" t="s">
        <v>132</v>
      </c>
      <c r="C117" s="23" t="s">
        <v>25</v>
      </c>
      <c r="D117" s="23" t="s">
        <v>69</v>
      </c>
      <c r="E117" s="24">
        <f>5976</f>
        <v>5976</v>
      </c>
      <c r="F117" s="25" t="s">
        <v>61</v>
      </c>
      <c r="G117" s="26" t="s">
        <v>152</v>
      </c>
      <c r="H117" s="48" t="s">
        <v>98</v>
      </c>
    </row>
    <row r="118" spans="2:11" s="1" customFormat="1" ht="42.75" customHeight="1" x14ac:dyDescent="0.25">
      <c r="B118" s="67" t="s">
        <v>132</v>
      </c>
      <c r="C118" s="68" t="s">
        <v>176</v>
      </c>
      <c r="D118" s="68" t="s">
        <v>177</v>
      </c>
      <c r="E118" s="69">
        <v>175000</v>
      </c>
      <c r="F118" s="70" t="s">
        <v>64</v>
      </c>
      <c r="G118" s="71" t="s">
        <v>178</v>
      </c>
      <c r="H118" s="92"/>
    </row>
    <row r="119" spans="2:11" s="1" customFormat="1" ht="80.25" customHeight="1" x14ac:dyDescent="0.25">
      <c r="B119" s="104" t="s">
        <v>132</v>
      </c>
      <c r="C119" s="23" t="s">
        <v>154</v>
      </c>
      <c r="D119" s="23" t="s">
        <v>155</v>
      </c>
      <c r="E119" s="24">
        <f>115976-5976</f>
        <v>110000</v>
      </c>
      <c r="F119" s="25" t="s">
        <v>61</v>
      </c>
      <c r="G119" s="26" t="s">
        <v>152</v>
      </c>
      <c r="H119" s="48" t="s">
        <v>98</v>
      </c>
    </row>
    <row r="120" spans="2:11" ht="70.5" customHeight="1" x14ac:dyDescent="0.25">
      <c r="B120" s="126" t="s">
        <v>146</v>
      </c>
      <c r="C120" s="127"/>
      <c r="D120" s="127"/>
      <c r="E120" s="16">
        <f>SUM(E121:E123)</f>
        <v>442800</v>
      </c>
      <c r="F120" s="13"/>
      <c r="G120" s="14"/>
      <c r="H120" s="10"/>
      <c r="I120" s="61"/>
      <c r="J120" s="63"/>
    </row>
    <row r="121" spans="2:11" s="18" customFormat="1" ht="33.75" x14ac:dyDescent="0.25">
      <c r="B121" s="65" t="s">
        <v>132</v>
      </c>
      <c r="C121" s="99" t="s">
        <v>32</v>
      </c>
      <c r="D121" s="99" t="s">
        <v>29</v>
      </c>
      <c r="E121" s="56">
        <f>264000-4020</f>
        <v>259980</v>
      </c>
      <c r="F121" s="100" t="s">
        <v>64</v>
      </c>
      <c r="G121" s="80" t="s">
        <v>125</v>
      </c>
      <c r="H121" s="101"/>
    </row>
    <row r="122" spans="2:11" s="18" customFormat="1" ht="33.75" x14ac:dyDescent="0.25">
      <c r="B122" s="65" t="s">
        <v>132</v>
      </c>
      <c r="C122" s="28" t="s">
        <v>7</v>
      </c>
      <c r="D122" s="28" t="s">
        <v>28</v>
      </c>
      <c r="E122" s="24">
        <v>132000</v>
      </c>
      <c r="F122" s="29" t="s">
        <v>64</v>
      </c>
      <c r="G122" s="26" t="s">
        <v>125</v>
      </c>
      <c r="H122" s="55"/>
    </row>
    <row r="123" spans="2:11" s="1" customFormat="1" ht="33.75" x14ac:dyDescent="0.25">
      <c r="B123" s="104" t="s">
        <v>132</v>
      </c>
      <c r="C123" s="23" t="s">
        <v>14</v>
      </c>
      <c r="D123" s="23" t="s">
        <v>40</v>
      </c>
      <c r="E123" s="24">
        <f>4020+46800</f>
        <v>50820</v>
      </c>
      <c r="F123" s="25" t="s">
        <v>60</v>
      </c>
      <c r="G123" s="26" t="s">
        <v>125</v>
      </c>
      <c r="H123" s="23"/>
    </row>
  </sheetData>
  <autoFilter ref="A8:H123"/>
  <mergeCells count="20">
    <mergeCell ref="B87:D87"/>
    <mergeCell ref="B2:H2"/>
    <mergeCell ref="B3:H3"/>
    <mergeCell ref="B4:E4"/>
    <mergeCell ref="F4:H4"/>
    <mergeCell ref="B5:E5"/>
    <mergeCell ref="F5:H5"/>
    <mergeCell ref="B6:F6"/>
    <mergeCell ref="B9:D9"/>
    <mergeCell ref="B70:D70"/>
    <mergeCell ref="B75:D75"/>
    <mergeCell ref="B81:D81"/>
    <mergeCell ref="B115:D115"/>
    <mergeCell ref="B120:D120"/>
    <mergeCell ref="B91:D91"/>
    <mergeCell ref="B94:D94"/>
    <mergeCell ref="B100:D100"/>
    <mergeCell ref="B102:D102"/>
    <mergeCell ref="B107:D107"/>
    <mergeCell ref="B109:D109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24"/>
  <sheetViews>
    <sheetView topLeftCell="B67" zoomScaleNormal="100" zoomScaleSheetLayoutView="80" workbookViewId="0">
      <selection activeCell="E36" sqref="E36"/>
    </sheetView>
  </sheetViews>
  <sheetFormatPr defaultRowHeight="15" x14ac:dyDescent="0.2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1.5703125" bestFit="1" customWidth="1"/>
    <col min="12" max="12" width="14.28515625" bestFit="1" customWidth="1"/>
    <col min="13" max="13" width="11.5703125" bestFit="1" customWidth="1"/>
  </cols>
  <sheetData>
    <row r="2" spans="2:9" ht="18.75" x14ac:dyDescent="0.25">
      <c r="B2" s="123" t="s">
        <v>41</v>
      </c>
      <c r="C2" s="123"/>
      <c r="D2" s="123"/>
      <c r="E2" s="123"/>
      <c r="F2" s="123"/>
      <c r="G2" s="123"/>
      <c r="H2" s="123"/>
    </row>
    <row r="3" spans="2:9" ht="18.75" x14ac:dyDescent="0.3">
      <c r="B3" s="124" t="s">
        <v>4</v>
      </c>
      <c r="C3" s="124"/>
      <c r="D3" s="124"/>
      <c r="E3" s="124"/>
      <c r="F3" s="124"/>
      <c r="G3" s="124"/>
      <c r="H3" s="124"/>
    </row>
    <row r="4" spans="2:9" x14ac:dyDescent="0.25">
      <c r="B4" s="125" t="s">
        <v>54</v>
      </c>
      <c r="C4" s="125"/>
      <c r="D4" s="125"/>
      <c r="E4" s="125"/>
      <c r="F4" s="125" t="s">
        <v>21</v>
      </c>
      <c r="G4" s="125"/>
      <c r="H4" s="125"/>
    </row>
    <row r="5" spans="2:9" x14ac:dyDescent="0.25">
      <c r="B5" s="125" t="s">
        <v>20</v>
      </c>
      <c r="C5" s="125"/>
      <c r="D5" s="125"/>
      <c r="E5" s="125"/>
      <c r="F5" s="125" t="s">
        <v>10</v>
      </c>
      <c r="G5" s="125"/>
      <c r="H5" s="125"/>
      <c r="I5" s="109"/>
    </row>
    <row r="6" spans="2:9" ht="24.75" customHeight="1" x14ac:dyDescent="0.25">
      <c r="B6" s="115" t="s">
        <v>22</v>
      </c>
      <c r="C6" s="116"/>
      <c r="D6" s="116"/>
      <c r="E6" s="116"/>
      <c r="F6" s="116"/>
      <c r="G6" s="2">
        <f>E9+E71+E76+E82+E88+E92+E95+E101+E103+E108+E110+E116+E121</f>
        <v>43587791.600000001</v>
      </c>
      <c r="H6" s="3" t="s">
        <v>23</v>
      </c>
    </row>
    <row r="7" spans="2:9" ht="25.5" x14ac:dyDescent="0.2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9" x14ac:dyDescent="0.25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9" ht="60.75" customHeight="1" x14ac:dyDescent="0.25">
      <c r="B9" s="117" t="s">
        <v>131</v>
      </c>
      <c r="C9" s="118"/>
      <c r="D9" s="118"/>
      <c r="E9" s="15">
        <f>SUM(E10:E69)</f>
        <v>4323124.5</v>
      </c>
      <c r="F9" s="11"/>
      <c r="G9" s="9"/>
      <c r="H9" s="10"/>
    </row>
    <row r="10" spans="2:9" s="18" customFormat="1" ht="33.75" x14ac:dyDescent="0.2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9" s="18" customFormat="1" ht="33.75" x14ac:dyDescent="0.2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9" s="18" customFormat="1" ht="25.5" x14ac:dyDescent="0.25">
      <c r="B12" s="65" t="s">
        <v>132</v>
      </c>
      <c r="C12" s="78" t="s">
        <v>169</v>
      </c>
      <c r="D12" s="78" t="s">
        <v>170</v>
      </c>
      <c r="E12" s="56">
        <v>6100</v>
      </c>
      <c r="F12" s="79" t="s">
        <v>60</v>
      </c>
      <c r="G12" s="110" t="s">
        <v>160</v>
      </c>
      <c r="H12" s="78"/>
    </row>
    <row r="13" spans="2:9" s="18" customFormat="1" ht="33.75" x14ac:dyDescent="0.25">
      <c r="B13" s="65" t="s">
        <v>132</v>
      </c>
      <c r="C13" s="23" t="s">
        <v>100</v>
      </c>
      <c r="D13" s="23" t="s">
        <v>101</v>
      </c>
      <c r="E13" s="56">
        <v>500</v>
      </c>
      <c r="F13" s="25" t="s">
        <v>61</v>
      </c>
      <c r="G13" s="26" t="s">
        <v>125</v>
      </c>
      <c r="H13" s="23"/>
    </row>
    <row r="14" spans="2:9" s="19" customFormat="1" ht="33.75" x14ac:dyDescent="0.25">
      <c r="B14" s="65" t="s">
        <v>132</v>
      </c>
      <c r="C14" s="28" t="s">
        <v>50</v>
      </c>
      <c r="D14" s="28" t="s">
        <v>52</v>
      </c>
      <c r="E14" s="56">
        <v>1600</v>
      </c>
      <c r="F14" s="29" t="s">
        <v>61</v>
      </c>
      <c r="G14" s="26" t="s">
        <v>125</v>
      </c>
      <c r="H14" s="28"/>
    </row>
    <row r="15" spans="2:9" s="106" customFormat="1" ht="38.25" customHeight="1" x14ac:dyDescent="0.25">
      <c r="B15" s="104" t="s">
        <v>132</v>
      </c>
      <c r="C15" s="28" t="s">
        <v>159</v>
      </c>
      <c r="D15" s="28" t="s">
        <v>158</v>
      </c>
      <c r="E15" s="24">
        <v>1973</v>
      </c>
      <c r="F15" s="29" t="s">
        <v>61</v>
      </c>
      <c r="G15" s="26" t="s">
        <v>152</v>
      </c>
      <c r="H15" s="28"/>
    </row>
    <row r="16" spans="2:9" s="18" customFormat="1" ht="49.5" customHeight="1" x14ac:dyDescent="0.25">
      <c r="B16" s="65" t="s">
        <v>132</v>
      </c>
      <c r="C16" s="78" t="s">
        <v>39</v>
      </c>
      <c r="D16" s="78" t="s">
        <v>58</v>
      </c>
      <c r="E16" s="56">
        <f>23100-15587</f>
        <v>7513</v>
      </c>
      <c r="F16" s="79" t="s">
        <v>60</v>
      </c>
      <c r="G16" s="80" t="s">
        <v>125</v>
      </c>
      <c r="H16" s="78"/>
    </row>
    <row r="17" spans="2:8" s="18" customFormat="1" ht="49.5" customHeight="1" x14ac:dyDescent="0.25">
      <c r="B17" s="65" t="s">
        <v>132</v>
      </c>
      <c r="C17" s="78" t="s">
        <v>39</v>
      </c>
      <c r="D17" s="78" t="s">
        <v>58</v>
      </c>
      <c r="E17" s="56">
        <f>60000+9000+15587</f>
        <v>84587</v>
      </c>
      <c r="F17" s="79" t="s">
        <v>64</v>
      </c>
      <c r="G17" s="80" t="s">
        <v>125</v>
      </c>
      <c r="H17" s="78"/>
    </row>
    <row r="18" spans="2:8" s="18" customFormat="1" ht="38.25" customHeight="1" x14ac:dyDescent="0.25">
      <c r="B18" s="65" t="s">
        <v>147</v>
      </c>
      <c r="C18" s="84">
        <v>31400000</v>
      </c>
      <c r="D18" s="78" t="s">
        <v>11</v>
      </c>
      <c r="E18" s="56">
        <f>3000+1800</f>
        <v>4800</v>
      </c>
      <c r="F18" s="79" t="s">
        <v>60</v>
      </c>
      <c r="G18" s="80" t="s">
        <v>125</v>
      </c>
      <c r="H18" s="81"/>
    </row>
    <row r="19" spans="2:8" s="18" customFormat="1" ht="56.25" x14ac:dyDescent="0.25">
      <c r="B19" s="65" t="s">
        <v>147</v>
      </c>
      <c r="C19" s="84">
        <v>33100000</v>
      </c>
      <c r="D19" s="78" t="s">
        <v>57</v>
      </c>
      <c r="E19" s="56">
        <v>2000</v>
      </c>
      <c r="F19" s="79" t="s">
        <v>61</v>
      </c>
      <c r="G19" s="80" t="s">
        <v>160</v>
      </c>
      <c r="H19" s="102" t="s">
        <v>85</v>
      </c>
    </row>
    <row r="20" spans="2:8" s="18" customFormat="1" ht="25.5" x14ac:dyDescent="0.25">
      <c r="B20" s="65" t="s">
        <v>147</v>
      </c>
      <c r="C20" s="84">
        <v>35800000</v>
      </c>
      <c r="D20" s="78" t="s">
        <v>171</v>
      </c>
      <c r="E20" s="56">
        <v>405</v>
      </c>
      <c r="F20" s="79" t="s">
        <v>61</v>
      </c>
      <c r="G20" s="80" t="s">
        <v>172</v>
      </c>
      <c r="H20" s="102"/>
    </row>
    <row r="21" spans="2:8" s="18" customFormat="1" ht="56.25" x14ac:dyDescent="0.25">
      <c r="B21" s="65" t="s">
        <v>147</v>
      </c>
      <c r="C21" s="84">
        <v>33600000</v>
      </c>
      <c r="D21" s="78" t="s">
        <v>29</v>
      </c>
      <c r="E21" s="56">
        <v>10000</v>
      </c>
      <c r="F21" s="79" t="s">
        <v>61</v>
      </c>
      <c r="G21" s="80" t="s">
        <v>160</v>
      </c>
      <c r="H21" s="102" t="s">
        <v>85</v>
      </c>
    </row>
    <row r="22" spans="2:8" s="18" customFormat="1" ht="38.25" customHeight="1" x14ac:dyDescent="0.25">
      <c r="B22" s="65" t="s">
        <v>147</v>
      </c>
      <c r="C22" s="78" t="s">
        <v>43</v>
      </c>
      <c r="D22" s="78" t="s">
        <v>42</v>
      </c>
      <c r="E22" s="56">
        <f>10000+7260+80</f>
        <v>17340</v>
      </c>
      <c r="F22" s="79" t="s">
        <v>60</v>
      </c>
      <c r="G22" s="80" t="s">
        <v>125</v>
      </c>
      <c r="H22" s="110"/>
    </row>
    <row r="23" spans="2:8" s="18" customFormat="1" ht="42" customHeight="1" x14ac:dyDescent="0.25">
      <c r="B23" s="65" t="s">
        <v>132</v>
      </c>
      <c r="C23" s="78" t="s">
        <v>174</v>
      </c>
      <c r="D23" s="78" t="s">
        <v>175</v>
      </c>
      <c r="E23" s="56">
        <v>3756</v>
      </c>
      <c r="F23" s="79" t="s">
        <v>91</v>
      </c>
      <c r="G23" s="80" t="s">
        <v>172</v>
      </c>
      <c r="H23" s="81"/>
    </row>
    <row r="24" spans="2:8" s="18" customFormat="1" ht="33.75" x14ac:dyDescent="0.25">
      <c r="B24" s="65" t="s">
        <v>132</v>
      </c>
      <c r="C24" s="23" t="s">
        <v>92</v>
      </c>
      <c r="D24" s="23" t="s">
        <v>93</v>
      </c>
      <c r="E24" s="56">
        <v>4800</v>
      </c>
      <c r="F24" s="25" t="s">
        <v>91</v>
      </c>
      <c r="G24" s="26" t="s">
        <v>125</v>
      </c>
      <c r="H24" s="31"/>
    </row>
    <row r="25" spans="2:8" s="18" customFormat="1" ht="33.75" x14ac:dyDescent="0.25">
      <c r="B25" s="65" t="s">
        <v>132</v>
      </c>
      <c r="C25" s="23" t="s">
        <v>94</v>
      </c>
      <c r="D25" s="23" t="s">
        <v>95</v>
      </c>
      <c r="E25" s="56">
        <v>4800</v>
      </c>
      <c r="F25" s="25" t="s">
        <v>91</v>
      </c>
      <c r="G25" s="26" t="s">
        <v>125</v>
      </c>
      <c r="H25" s="31"/>
    </row>
    <row r="26" spans="2:8" s="18" customFormat="1" ht="33.75" x14ac:dyDescent="0.25">
      <c r="B26" s="65" t="s">
        <v>132</v>
      </c>
      <c r="C26" s="34">
        <v>39800000</v>
      </c>
      <c r="D26" s="34" t="s">
        <v>84</v>
      </c>
      <c r="E26" s="56">
        <v>4800</v>
      </c>
      <c r="F26" s="25" t="s">
        <v>91</v>
      </c>
      <c r="G26" s="26" t="s">
        <v>125</v>
      </c>
      <c r="H26" s="31"/>
    </row>
    <row r="27" spans="2:8" s="18" customFormat="1" ht="33.75" x14ac:dyDescent="0.25">
      <c r="B27" s="65" t="s">
        <v>132</v>
      </c>
      <c r="C27" s="85">
        <v>42900000</v>
      </c>
      <c r="D27" s="85" t="s">
        <v>168</v>
      </c>
      <c r="E27" s="56">
        <v>1920</v>
      </c>
      <c r="F27" s="79" t="s">
        <v>60</v>
      </c>
      <c r="G27" s="110" t="s">
        <v>160</v>
      </c>
      <c r="H27" s="110"/>
    </row>
    <row r="28" spans="2:8" s="18" customFormat="1" ht="51.75" customHeight="1" x14ac:dyDescent="0.25">
      <c r="B28" s="65" t="s">
        <v>132</v>
      </c>
      <c r="C28" s="84">
        <v>41100000</v>
      </c>
      <c r="D28" s="85" t="s">
        <v>149</v>
      </c>
      <c r="E28" s="56">
        <v>6750</v>
      </c>
      <c r="F28" s="79" t="s">
        <v>64</v>
      </c>
      <c r="G28" s="80" t="s">
        <v>125</v>
      </c>
      <c r="H28" s="81"/>
    </row>
    <row r="29" spans="2:8" s="18" customFormat="1" ht="51.75" customHeight="1" x14ac:dyDescent="0.25">
      <c r="B29" s="65" t="s">
        <v>132</v>
      </c>
      <c r="C29" s="84">
        <v>44400000</v>
      </c>
      <c r="D29" s="85" t="s">
        <v>167</v>
      </c>
      <c r="E29" s="56">
        <v>4120</v>
      </c>
      <c r="F29" s="79" t="s">
        <v>64</v>
      </c>
      <c r="G29" s="80" t="s">
        <v>160</v>
      </c>
      <c r="H29" s="81"/>
    </row>
    <row r="30" spans="2:8" s="18" customFormat="1" ht="51.75" customHeight="1" x14ac:dyDescent="0.25">
      <c r="B30" s="65" t="s">
        <v>132</v>
      </c>
      <c r="C30" s="30">
        <v>45400000</v>
      </c>
      <c r="D30" s="34" t="s">
        <v>102</v>
      </c>
      <c r="E30" s="56">
        <v>40000</v>
      </c>
      <c r="F30" s="25" t="s">
        <v>64</v>
      </c>
      <c r="G30" s="26" t="s">
        <v>125</v>
      </c>
      <c r="H30" s="31"/>
    </row>
    <row r="31" spans="2:8" s="18" customFormat="1" ht="37.5" customHeight="1" x14ac:dyDescent="0.25">
      <c r="B31" s="65" t="s">
        <v>133</v>
      </c>
      <c r="C31" s="30">
        <v>48700000</v>
      </c>
      <c r="D31" s="23" t="s">
        <v>104</v>
      </c>
      <c r="E31" s="56">
        <v>30000</v>
      </c>
      <c r="F31" s="25" t="s">
        <v>64</v>
      </c>
      <c r="G31" s="26" t="s">
        <v>125</v>
      </c>
      <c r="H31" s="31"/>
    </row>
    <row r="32" spans="2:8" s="18" customFormat="1" ht="37.5" customHeight="1" x14ac:dyDescent="0.25">
      <c r="B32" s="104" t="s">
        <v>133</v>
      </c>
      <c r="C32" s="30">
        <v>48800000</v>
      </c>
      <c r="D32" s="23" t="s">
        <v>179</v>
      </c>
      <c r="E32" s="24">
        <v>85900</v>
      </c>
      <c r="F32" s="24" t="s">
        <v>64</v>
      </c>
      <c r="G32" s="114" t="s">
        <v>173</v>
      </c>
      <c r="H32" s="31"/>
    </row>
    <row r="33" spans="2:9" s="18" customFormat="1" ht="37.5" customHeight="1" x14ac:dyDescent="0.25">
      <c r="B33" s="104" t="s">
        <v>132</v>
      </c>
      <c r="C33" s="30">
        <v>48800000</v>
      </c>
      <c r="D33" s="23" t="s">
        <v>179</v>
      </c>
      <c r="E33" s="24">
        <v>500</v>
      </c>
      <c r="F33" s="24" t="s">
        <v>64</v>
      </c>
      <c r="G33" s="114" t="s">
        <v>173</v>
      </c>
      <c r="H33" s="31"/>
    </row>
    <row r="34" spans="2:9" s="18" customFormat="1" ht="56.25" x14ac:dyDescent="0.25">
      <c r="B34" s="65" t="s">
        <v>132</v>
      </c>
      <c r="C34" s="78">
        <v>50100000</v>
      </c>
      <c r="D34" s="78" t="s">
        <v>44</v>
      </c>
      <c r="E34" s="56">
        <f>10000+30000</f>
        <v>40000</v>
      </c>
      <c r="F34" s="79" t="s">
        <v>61</v>
      </c>
      <c r="G34" s="80" t="s">
        <v>125</v>
      </c>
      <c r="H34" s="102" t="s">
        <v>66</v>
      </c>
    </row>
    <row r="35" spans="2:9" s="1" customFormat="1" ht="92.25" customHeight="1" x14ac:dyDescent="0.25">
      <c r="B35" s="104" t="s">
        <v>132</v>
      </c>
      <c r="C35" s="23" t="s">
        <v>59</v>
      </c>
      <c r="D35" s="23" t="s">
        <v>62</v>
      </c>
      <c r="E35" s="24">
        <f>120000-30000+15000</f>
        <v>105000</v>
      </c>
      <c r="F35" s="25" t="s">
        <v>64</v>
      </c>
      <c r="G35" s="26" t="s">
        <v>125</v>
      </c>
      <c r="H35" s="36"/>
    </row>
    <row r="36" spans="2:9" s="18" customFormat="1" ht="56.25" x14ac:dyDescent="0.25">
      <c r="B36" s="65" t="s">
        <v>132</v>
      </c>
      <c r="C36" s="78">
        <v>50100000</v>
      </c>
      <c r="D36" s="78" t="s">
        <v>44</v>
      </c>
      <c r="E36" s="56">
        <v>2080</v>
      </c>
      <c r="F36" s="79" t="s">
        <v>61</v>
      </c>
      <c r="G36" s="80" t="s">
        <v>160</v>
      </c>
      <c r="H36" s="102" t="s">
        <v>85</v>
      </c>
    </row>
    <row r="37" spans="2:9" s="18" customFormat="1" ht="92.25" customHeight="1" x14ac:dyDescent="0.25">
      <c r="B37" s="65" t="s">
        <v>132</v>
      </c>
      <c r="C37" s="23" t="s">
        <v>107</v>
      </c>
      <c r="D37" s="23" t="s">
        <v>108</v>
      </c>
      <c r="E37" s="56">
        <v>50000</v>
      </c>
      <c r="F37" s="25" t="s">
        <v>64</v>
      </c>
      <c r="G37" s="26" t="s">
        <v>125</v>
      </c>
      <c r="H37" s="31"/>
    </row>
    <row r="38" spans="2:9" s="18" customFormat="1" ht="92.25" customHeight="1" x14ac:dyDescent="0.25">
      <c r="B38" s="65" t="s">
        <v>132</v>
      </c>
      <c r="C38" s="23" t="s">
        <v>105</v>
      </c>
      <c r="D38" s="23" t="s">
        <v>106</v>
      </c>
      <c r="E38" s="56">
        <v>310000</v>
      </c>
      <c r="F38" s="25" t="s">
        <v>64</v>
      </c>
      <c r="G38" s="26" t="s">
        <v>125</v>
      </c>
      <c r="H38" s="36"/>
    </row>
    <row r="39" spans="2:9" s="18" customFormat="1" ht="115.5" customHeight="1" x14ac:dyDescent="0.25">
      <c r="B39" s="67" t="s">
        <v>132</v>
      </c>
      <c r="C39" s="68" t="s">
        <v>105</v>
      </c>
      <c r="D39" s="68" t="s">
        <v>106</v>
      </c>
      <c r="E39" s="69">
        <f>23265*I39</f>
        <v>62815.500000000007</v>
      </c>
      <c r="F39" s="68" t="s">
        <v>61</v>
      </c>
      <c r="G39" s="71" t="s">
        <v>152</v>
      </c>
      <c r="H39" s="68" t="s">
        <v>180</v>
      </c>
      <c r="I39" s="18">
        <v>2.7</v>
      </c>
    </row>
    <row r="40" spans="2:9" s="18" customFormat="1" ht="102.75" customHeight="1" x14ac:dyDescent="0.25">
      <c r="B40" s="65" t="s">
        <v>132</v>
      </c>
      <c r="C40" s="23" t="s">
        <v>86</v>
      </c>
      <c r="D40" s="23" t="s">
        <v>87</v>
      </c>
      <c r="E40" s="56">
        <v>8000</v>
      </c>
      <c r="F40" s="25" t="s">
        <v>64</v>
      </c>
      <c r="G40" s="26" t="s">
        <v>125</v>
      </c>
      <c r="H40" s="23"/>
    </row>
    <row r="41" spans="2:9" s="18" customFormat="1" ht="115.5" customHeight="1" x14ac:dyDescent="0.25">
      <c r="B41" s="65" t="s">
        <v>132</v>
      </c>
      <c r="C41" s="23">
        <v>50700000</v>
      </c>
      <c r="D41" s="23" t="s">
        <v>13</v>
      </c>
      <c r="E41" s="56">
        <f>1600000-59200</f>
        <v>1540800</v>
      </c>
      <c r="F41" s="23" t="s">
        <v>61</v>
      </c>
      <c r="G41" s="26" t="s">
        <v>125</v>
      </c>
      <c r="H41" s="23" t="s">
        <v>99</v>
      </c>
    </row>
    <row r="43" spans="2:9" s="18" customFormat="1" ht="115.5" customHeight="1" x14ac:dyDescent="0.25">
      <c r="B43" s="65" t="s">
        <v>132</v>
      </c>
      <c r="C43" s="78">
        <v>50700000</v>
      </c>
      <c r="D43" s="78" t="s">
        <v>13</v>
      </c>
      <c r="E43" s="56">
        <f>93000-45000+20000+46148</f>
        <v>114148</v>
      </c>
      <c r="F43" s="78" t="s">
        <v>64</v>
      </c>
      <c r="G43" s="80" t="s">
        <v>125</v>
      </c>
      <c r="H43" s="78"/>
    </row>
    <row r="44" spans="2:9" s="18" customFormat="1" ht="115.5" customHeight="1" x14ac:dyDescent="0.25">
      <c r="B44" s="65" t="s">
        <v>132</v>
      </c>
      <c r="C44" s="78" t="s">
        <v>117</v>
      </c>
      <c r="D44" s="78" t="s">
        <v>118</v>
      </c>
      <c r="E44" s="56">
        <f>120000+68250</f>
        <v>188250</v>
      </c>
      <c r="F44" s="78" t="s">
        <v>64</v>
      </c>
      <c r="G44" s="80" t="s">
        <v>125</v>
      </c>
      <c r="H44" s="78"/>
    </row>
    <row r="45" spans="2:9" s="18" customFormat="1" ht="115.5" customHeight="1" x14ac:dyDescent="0.25">
      <c r="B45" s="65" t="s">
        <v>132</v>
      </c>
      <c r="C45" s="23" t="s">
        <v>111</v>
      </c>
      <c r="D45" s="23" t="s">
        <v>112</v>
      </c>
      <c r="E45" s="56">
        <v>120000</v>
      </c>
      <c r="F45" s="23" t="s">
        <v>64</v>
      </c>
      <c r="G45" s="26" t="s">
        <v>125</v>
      </c>
      <c r="H45" s="23"/>
    </row>
    <row r="46" spans="2:9" s="18" customFormat="1" ht="58.5" customHeight="1" x14ac:dyDescent="0.25">
      <c r="B46" s="65" t="s">
        <v>132</v>
      </c>
      <c r="C46" s="30">
        <v>63700000</v>
      </c>
      <c r="D46" s="23" t="s">
        <v>70</v>
      </c>
      <c r="E46" s="56">
        <v>2000</v>
      </c>
      <c r="F46" s="25" t="s">
        <v>61</v>
      </c>
      <c r="G46" s="26" t="s">
        <v>125</v>
      </c>
      <c r="H46" s="26" t="s">
        <v>85</v>
      </c>
    </row>
    <row r="47" spans="2:9" s="18" customFormat="1" ht="63.75" customHeight="1" x14ac:dyDescent="0.25">
      <c r="B47" s="65" t="s">
        <v>132</v>
      </c>
      <c r="C47" s="23" t="s">
        <v>47</v>
      </c>
      <c r="D47" s="23" t="s">
        <v>48</v>
      </c>
      <c r="E47" s="56">
        <v>6000</v>
      </c>
      <c r="F47" s="25" t="s">
        <v>64</v>
      </c>
      <c r="G47" s="26" t="s">
        <v>125</v>
      </c>
      <c r="H47" s="23"/>
    </row>
    <row r="48" spans="2:9" s="18" customFormat="1" ht="33.75" x14ac:dyDescent="0.25">
      <c r="B48" s="65" t="s">
        <v>132</v>
      </c>
      <c r="C48" s="38" t="s">
        <v>18</v>
      </c>
      <c r="D48" s="23" t="s">
        <v>46</v>
      </c>
      <c r="E48" s="56">
        <v>25000</v>
      </c>
      <c r="F48" s="25" t="s">
        <v>64</v>
      </c>
      <c r="G48" s="26" t="s">
        <v>125</v>
      </c>
      <c r="H48" s="33"/>
    </row>
    <row r="49" spans="2:10" s="18" customFormat="1" ht="56.25" x14ac:dyDescent="0.25">
      <c r="B49" s="65" t="s">
        <v>132</v>
      </c>
      <c r="C49" s="38" t="s">
        <v>18</v>
      </c>
      <c r="D49" s="23" t="s">
        <v>46</v>
      </c>
      <c r="E49" s="56">
        <v>25500</v>
      </c>
      <c r="F49" s="25" t="s">
        <v>61</v>
      </c>
      <c r="G49" s="26" t="s">
        <v>125</v>
      </c>
      <c r="H49" s="26" t="s">
        <v>96</v>
      </c>
    </row>
    <row r="50" spans="2:10" s="18" customFormat="1" ht="56.25" x14ac:dyDescent="0.25">
      <c r="B50" s="65" t="s">
        <v>132</v>
      </c>
      <c r="C50" s="77" t="s">
        <v>161</v>
      </c>
      <c r="D50" s="78" t="s">
        <v>46</v>
      </c>
      <c r="E50" s="56">
        <v>9000</v>
      </c>
      <c r="F50" s="79" t="s">
        <v>61</v>
      </c>
      <c r="G50" s="80" t="s">
        <v>152</v>
      </c>
      <c r="H50" s="80" t="s">
        <v>162</v>
      </c>
    </row>
    <row r="51" spans="2:10" s="18" customFormat="1" ht="33.75" x14ac:dyDescent="0.25">
      <c r="B51" s="65" t="s">
        <v>132</v>
      </c>
      <c r="C51" s="38" t="s">
        <v>18</v>
      </c>
      <c r="D51" s="23" t="s">
        <v>46</v>
      </c>
      <c r="E51" s="56">
        <v>24000</v>
      </c>
      <c r="F51" s="25" t="s">
        <v>60</v>
      </c>
      <c r="G51" s="26" t="s">
        <v>125</v>
      </c>
      <c r="H51" s="33"/>
    </row>
    <row r="52" spans="2:10" s="18" customFormat="1" ht="33.75" x14ac:dyDescent="0.25">
      <c r="B52" s="65" t="s">
        <v>134</v>
      </c>
      <c r="C52" s="38" t="s">
        <v>114</v>
      </c>
      <c r="D52" s="23" t="s">
        <v>113</v>
      </c>
      <c r="E52" s="56">
        <v>30000</v>
      </c>
      <c r="F52" s="25" t="s">
        <v>64</v>
      </c>
      <c r="G52" s="26" t="s">
        <v>125</v>
      </c>
      <c r="H52" s="26"/>
    </row>
    <row r="53" spans="2:10" s="18" customFormat="1" ht="33.75" x14ac:dyDescent="0.25">
      <c r="B53" s="65" t="s">
        <v>132</v>
      </c>
      <c r="C53" s="38" t="s">
        <v>55</v>
      </c>
      <c r="D53" s="23" t="s">
        <v>56</v>
      </c>
      <c r="E53" s="56">
        <v>1680</v>
      </c>
      <c r="F53" s="25" t="s">
        <v>91</v>
      </c>
      <c r="G53" s="26" t="s">
        <v>125</v>
      </c>
      <c r="H53" s="33"/>
    </row>
    <row r="54" spans="2:10" s="18" customFormat="1" ht="57" customHeight="1" x14ac:dyDescent="0.25">
      <c r="B54" s="65" t="s">
        <v>132</v>
      </c>
      <c r="C54" s="77" t="s">
        <v>17</v>
      </c>
      <c r="D54" s="78" t="s">
        <v>16</v>
      </c>
      <c r="E54" s="56">
        <f>90000+34000</f>
        <v>124000</v>
      </c>
      <c r="F54" s="79" t="s">
        <v>61</v>
      </c>
      <c r="G54" s="80" t="s">
        <v>125</v>
      </c>
      <c r="H54" s="80" t="s">
        <v>67</v>
      </c>
    </row>
    <row r="55" spans="2:10" s="18" customFormat="1" ht="65.25" customHeight="1" x14ac:dyDescent="0.25">
      <c r="B55" s="65" t="s">
        <v>132</v>
      </c>
      <c r="C55" s="77" t="s">
        <v>17</v>
      </c>
      <c r="D55" s="78" t="s">
        <v>16</v>
      </c>
      <c r="E55" s="56">
        <f>150+400+266+21+350</f>
        <v>1187</v>
      </c>
      <c r="F55" s="79" t="s">
        <v>61</v>
      </c>
      <c r="G55" s="80" t="s">
        <v>125</v>
      </c>
      <c r="H55" s="80"/>
      <c r="J55" s="20"/>
    </row>
    <row r="56" spans="2:10" s="18" customFormat="1" ht="56.25" x14ac:dyDescent="0.25">
      <c r="B56" s="65" t="s">
        <v>132</v>
      </c>
      <c r="C56" s="38" t="s">
        <v>77</v>
      </c>
      <c r="D56" s="23" t="s">
        <v>78</v>
      </c>
      <c r="E56" s="56">
        <v>3000</v>
      </c>
      <c r="F56" s="25" t="s">
        <v>61</v>
      </c>
      <c r="G56" s="26" t="s">
        <v>125</v>
      </c>
      <c r="H56" s="26" t="s">
        <v>79</v>
      </c>
    </row>
    <row r="57" spans="2:10" s="18" customFormat="1" ht="56.25" x14ac:dyDescent="0.25">
      <c r="B57" s="65" t="s">
        <v>132</v>
      </c>
      <c r="C57" s="77" t="s">
        <v>163</v>
      </c>
      <c r="D57" s="78" t="s">
        <v>164</v>
      </c>
      <c r="E57" s="56">
        <v>500</v>
      </c>
      <c r="F57" s="79" t="s">
        <v>61</v>
      </c>
      <c r="G57" s="80" t="s">
        <v>152</v>
      </c>
      <c r="H57" s="80" t="s">
        <v>79</v>
      </c>
    </row>
    <row r="58" spans="2:10" s="18" customFormat="1" ht="75" customHeight="1" x14ac:dyDescent="0.25">
      <c r="B58" s="65" t="s">
        <v>132</v>
      </c>
      <c r="C58" s="77" t="s">
        <v>25</v>
      </c>
      <c r="D58" s="78" t="s">
        <v>119</v>
      </c>
      <c r="E58" s="56">
        <v>100000</v>
      </c>
      <c r="F58" s="79" t="s">
        <v>64</v>
      </c>
      <c r="G58" s="80" t="s">
        <v>125</v>
      </c>
      <c r="H58" s="80"/>
    </row>
    <row r="59" spans="2:10" s="1" customFormat="1" ht="63.75" customHeight="1" x14ac:dyDescent="0.25">
      <c r="B59" s="104" t="s">
        <v>132</v>
      </c>
      <c r="C59" s="23" t="s">
        <v>45</v>
      </c>
      <c r="D59" s="23" t="s">
        <v>63</v>
      </c>
      <c r="E59" s="24">
        <f>6000+3850</f>
        <v>9850</v>
      </c>
      <c r="F59" s="25" t="s">
        <v>64</v>
      </c>
      <c r="G59" s="26" t="s">
        <v>125</v>
      </c>
      <c r="H59" s="26"/>
    </row>
    <row r="60" spans="2:10" s="18" customFormat="1" ht="63.75" customHeight="1" x14ac:dyDescent="0.25">
      <c r="B60" s="65" t="s">
        <v>132</v>
      </c>
      <c r="C60" s="78" t="s">
        <v>120</v>
      </c>
      <c r="D60" s="78" t="s">
        <v>121</v>
      </c>
      <c r="E60" s="56">
        <v>450</v>
      </c>
      <c r="F60" s="79" t="s">
        <v>61</v>
      </c>
      <c r="G60" s="80" t="s">
        <v>125</v>
      </c>
      <c r="H60" s="80"/>
    </row>
    <row r="61" spans="2:10" s="18" customFormat="1" ht="77.25" customHeight="1" x14ac:dyDescent="0.25">
      <c r="B61" s="65" t="s">
        <v>132</v>
      </c>
      <c r="C61" s="30">
        <v>79700000</v>
      </c>
      <c r="D61" s="23" t="s">
        <v>27</v>
      </c>
      <c r="E61" s="56">
        <v>600000</v>
      </c>
      <c r="F61" s="25" t="s">
        <v>61</v>
      </c>
      <c r="G61" s="26" t="s">
        <v>125</v>
      </c>
      <c r="H61" s="26" t="s">
        <v>80</v>
      </c>
    </row>
    <row r="62" spans="2:10" s="18" customFormat="1" ht="62.25" customHeight="1" x14ac:dyDescent="0.25">
      <c r="B62" s="65" t="s">
        <v>132</v>
      </c>
      <c r="C62" s="30">
        <v>79800000</v>
      </c>
      <c r="D62" s="23" t="s">
        <v>81</v>
      </c>
      <c r="E62" s="56">
        <v>10000</v>
      </c>
      <c r="F62" s="25" t="s">
        <v>64</v>
      </c>
      <c r="G62" s="26" t="s">
        <v>125</v>
      </c>
      <c r="H62" s="26"/>
    </row>
    <row r="63" spans="2:10" s="18" customFormat="1" ht="62.25" customHeight="1" x14ac:dyDescent="0.25">
      <c r="B63" s="65" t="s">
        <v>132</v>
      </c>
      <c r="C63" s="78" t="s">
        <v>53</v>
      </c>
      <c r="D63" s="78" t="s">
        <v>65</v>
      </c>
      <c r="E63" s="56">
        <f>20000+12000-2305</f>
        <v>29695</v>
      </c>
      <c r="F63" s="79" t="s">
        <v>61</v>
      </c>
      <c r="G63" s="80" t="s">
        <v>125</v>
      </c>
      <c r="H63" s="78" t="s">
        <v>68</v>
      </c>
    </row>
    <row r="64" spans="2:10" s="18" customFormat="1" ht="62.25" customHeight="1" x14ac:dyDescent="0.25">
      <c r="B64" s="65" t="s">
        <v>132</v>
      </c>
      <c r="C64" s="78" t="s">
        <v>53</v>
      </c>
      <c r="D64" s="78" t="s">
        <v>65</v>
      </c>
      <c r="E64" s="56">
        <v>2305</v>
      </c>
      <c r="F64" s="79" t="s">
        <v>61</v>
      </c>
      <c r="G64" s="80" t="s">
        <v>173</v>
      </c>
      <c r="H64" s="78"/>
    </row>
    <row r="65" spans="2:13" s="18" customFormat="1" ht="62.25" customHeight="1" x14ac:dyDescent="0.25">
      <c r="B65" s="65" t="s">
        <v>132</v>
      </c>
      <c r="C65" s="38" t="s">
        <v>24</v>
      </c>
      <c r="D65" s="23" t="s">
        <v>71</v>
      </c>
      <c r="E65" s="56">
        <v>12000</v>
      </c>
      <c r="F65" s="25" t="s">
        <v>64</v>
      </c>
      <c r="G65" s="26" t="s">
        <v>125</v>
      </c>
      <c r="H65" s="23"/>
    </row>
    <row r="66" spans="2:13" s="18" customFormat="1" ht="62.25" customHeight="1" x14ac:dyDescent="0.25">
      <c r="B66" s="65" t="s">
        <v>132</v>
      </c>
      <c r="C66" s="38" t="s">
        <v>122</v>
      </c>
      <c r="D66" s="23" t="s">
        <v>123</v>
      </c>
      <c r="E66" s="56">
        <v>1000</v>
      </c>
      <c r="F66" s="25" t="s">
        <v>61</v>
      </c>
      <c r="G66" s="26" t="s">
        <v>125</v>
      </c>
      <c r="H66" s="23"/>
    </row>
    <row r="67" spans="2:13" s="18" customFormat="1" ht="60.75" customHeight="1" x14ac:dyDescent="0.25">
      <c r="B67" s="65" t="s">
        <v>132</v>
      </c>
      <c r="C67" s="78" t="s">
        <v>82</v>
      </c>
      <c r="D67" s="78" t="s">
        <v>83</v>
      </c>
      <c r="E67" s="56">
        <v>10000</v>
      </c>
      <c r="F67" s="79" t="s">
        <v>61</v>
      </c>
      <c r="G67" s="80" t="s">
        <v>125</v>
      </c>
      <c r="H67" s="80" t="s">
        <v>79</v>
      </c>
    </row>
    <row r="68" spans="2:13" s="18" customFormat="1" ht="36.75" customHeight="1" x14ac:dyDescent="0.25">
      <c r="B68" s="65" t="s">
        <v>132</v>
      </c>
      <c r="C68" s="78" t="s">
        <v>12</v>
      </c>
      <c r="D68" s="78" t="s">
        <v>19</v>
      </c>
      <c r="E68" s="56">
        <f>80000+110000</f>
        <v>190000</v>
      </c>
      <c r="F68" s="79" t="s">
        <v>64</v>
      </c>
      <c r="G68" s="80" t="s">
        <v>125</v>
      </c>
      <c r="H68" s="81"/>
    </row>
    <row r="69" spans="2:13" s="18" customFormat="1" ht="54.75" customHeight="1" x14ac:dyDescent="0.25">
      <c r="B69" s="65" t="s">
        <v>132</v>
      </c>
      <c r="C69" s="78" t="s">
        <v>115</v>
      </c>
      <c r="D69" s="78" t="s">
        <v>116</v>
      </c>
      <c r="E69" s="56">
        <v>15000</v>
      </c>
      <c r="F69" s="79" t="s">
        <v>61</v>
      </c>
      <c r="G69" s="80" t="s">
        <v>125</v>
      </c>
      <c r="H69" s="80" t="s">
        <v>79</v>
      </c>
    </row>
    <row r="70" spans="2:13" s="18" customFormat="1" ht="54.75" customHeight="1" x14ac:dyDescent="0.25">
      <c r="B70" s="108" t="s">
        <v>132</v>
      </c>
      <c r="C70" s="78" t="s">
        <v>165</v>
      </c>
      <c r="D70" s="78" t="s">
        <v>166</v>
      </c>
      <c r="E70" s="56">
        <v>4900</v>
      </c>
      <c r="F70" s="79" t="s">
        <v>61</v>
      </c>
      <c r="G70" s="80" t="s">
        <v>152</v>
      </c>
      <c r="H70" s="80" t="s">
        <v>79</v>
      </c>
    </row>
    <row r="71" spans="2:13" s="1" customFormat="1" ht="75" customHeight="1" x14ac:dyDescent="0.25">
      <c r="B71" s="126" t="s">
        <v>135</v>
      </c>
      <c r="C71" s="127"/>
      <c r="D71" s="127"/>
      <c r="E71" s="16">
        <f>SUM(E72:E75)</f>
        <v>1710000</v>
      </c>
      <c r="F71" s="13"/>
      <c r="G71" s="14"/>
      <c r="H71" s="10"/>
      <c r="I71" s="61"/>
      <c r="J71" s="62"/>
    </row>
    <row r="72" spans="2:13" s="1" customFormat="1" ht="59.25" customHeight="1" x14ac:dyDescent="0.25">
      <c r="B72" s="104" t="s">
        <v>132</v>
      </c>
      <c r="C72" s="23" t="s">
        <v>24</v>
      </c>
      <c r="D72" s="23" t="s">
        <v>71</v>
      </c>
      <c r="E72" s="24">
        <f>1710000-142500-E74-E73</f>
        <v>1314302.3999999999</v>
      </c>
      <c r="F72" s="25" t="s">
        <v>64</v>
      </c>
      <c r="G72" s="26" t="s">
        <v>125</v>
      </c>
      <c r="H72" s="41"/>
      <c r="J72" s="62"/>
    </row>
    <row r="73" spans="2:13" s="1" customFormat="1" ht="67.5" x14ac:dyDescent="0.25">
      <c r="B73" s="104" t="s">
        <v>132</v>
      </c>
      <c r="C73" s="23" t="s">
        <v>103</v>
      </c>
      <c r="D73" s="23" t="s">
        <v>71</v>
      </c>
      <c r="E73" s="24">
        <v>33000</v>
      </c>
      <c r="F73" s="25" t="s">
        <v>61</v>
      </c>
      <c r="G73" s="26" t="s">
        <v>151</v>
      </c>
      <c r="H73" s="48" t="s">
        <v>98</v>
      </c>
      <c r="J73" s="62"/>
    </row>
    <row r="74" spans="2:13" s="1" customFormat="1" ht="67.5" x14ac:dyDescent="0.25">
      <c r="B74" s="104" t="s">
        <v>132</v>
      </c>
      <c r="C74" s="23" t="s">
        <v>103</v>
      </c>
      <c r="D74" s="23" t="s">
        <v>71</v>
      </c>
      <c r="E74" s="24">
        <v>220197.6</v>
      </c>
      <c r="F74" s="25" t="s">
        <v>61</v>
      </c>
      <c r="G74" s="26" t="s">
        <v>150</v>
      </c>
      <c r="H74" s="48" t="s">
        <v>98</v>
      </c>
    </row>
    <row r="75" spans="2:13" s="1" customFormat="1" ht="98.25" customHeight="1" x14ac:dyDescent="0.25">
      <c r="B75" s="104" t="s">
        <v>132</v>
      </c>
      <c r="C75" s="23" t="s">
        <v>24</v>
      </c>
      <c r="D75" s="23" t="s">
        <v>71</v>
      </c>
      <c r="E75" s="24">
        <v>142500</v>
      </c>
      <c r="F75" s="25" t="s">
        <v>61</v>
      </c>
      <c r="G75" s="26" t="s">
        <v>125</v>
      </c>
      <c r="H75" s="48" t="s">
        <v>128</v>
      </c>
      <c r="J75" s="62"/>
    </row>
    <row r="76" spans="2:13" s="1" customFormat="1" ht="31.5" customHeight="1" x14ac:dyDescent="0.25">
      <c r="B76" s="126" t="s">
        <v>136</v>
      </c>
      <c r="C76" s="127"/>
      <c r="D76" s="127"/>
      <c r="E76" s="16">
        <f>SUM(E77:E81)</f>
        <v>22370000</v>
      </c>
      <c r="F76" s="13"/>
      <c r="G76" s="9"/>
      <c r="H76" s="10"/>
      <c r="I76" s="61"/>
      <c r="J76" s="62"/>
    </row>
    <row r="77" spans="2:13" s="1" customFormat="1" ht="75.75" customHeight="1" x14ac:dyDescent="0.25">
      <c r="B77" s="104" t="s">
        <v>132</v>
      </c>
      <c r="C77" s="23" t="s">
        <v>7</v>
      </c>
      <c r="D77" s="23" t="s">
        <v>57</v>
      </c>
      <c r="E77" s="24">
        <f>3750000+400000</f>
        <v>4150000</v>
      </c>
      <c r="F77" s="25" t="s">
        <v>61</v>
      </c>
      <c r="G77" s="26" t="s">
        <v>125</v>
      </c>
      <c r="H77" s="48" t="s">
        <v>97</v>
      </c>
    </row>
    <row r="78" spans="2:13" s="1" customFormat="1" ht="75.75" customHeight="1" x14ac:dyDescent="0.25">
      <c r="B78" s="66" t="s">
        <v>133</v>
      </c>
      <c r="C78" s="23" t="s">
        <v>7</v>
      </c>
      <c r="D78" s="23" t="s">
        <v>57</v>
      </c>
      <c r="E78" s="24">
        <v>100000</v>
      </c>
      <c r="F78" s="25" t="s">
        <v>61</v>
      </c>
      <c r="G78" s="26" t="s">
        <v>125</v>
      </c>
      <c r="H78" s="48" t="s">
        <v>97</v>
      </c>
    </row>
    <row r="79" spans="2:13" s="1" customFormat="1" ht="121.5" customHeight="1" x14ac:dyDescent="0.25">
      <c r="B79" s="104" t="s">
        <v>132</v>
      </c>
      <c r="C79" s="23">
        <v>33600000</v>
      </c>
      <c r="D79" s="23" t="s">
        <v>29</v>
      </c>
      <c r="E79" s="24">
        <f>1440000+270000-22680</f>
        <v>1687320</v>
      </c>
      <c r="F79" s="25" t="s">
        <v>64</v>
      </c>
      <c r="G79" s="26" t="s">
        <v>125</v>
      </c>
      <c r="H79" s="41"/>
      <c r="J79" s="62"/>
      <c r="L79" s="62"/>
      <c r="M79" s="62"/>
    </row>
    <row r="80" spans="2:13" s="1" customFormat="1" ht="121.5" customHeight="1" x14ac:dyDescent="0.25">
      <c r="B80" s="104" t="s">
        <v>132</v>
      </c>
      <c r="C80" s="23" t="s">
        <v>32</v>
      </c>
      <c r="D80" s="23" t="s">
        <v>29</v>
      </c>
      <c r="E80" s="24">
        <v>22680</v>
      </c>
      <c r="F80" s="25" t="s">
        <v>61</v>
      </c>
      <c r="G80" s="26" t="s">
        <v>150</v>
      </c>
      <c r="H80" s="48" t="s">
        <v>157</v>
      </c>
      <c r="J80" s="62"/>
      <c r="L80" s="62"/>
      <c r="M80" s="62"/>
    </row>
    <row r="81" spans="2:11" s="1" customFormat="1" ht="87.75" customHeight="1" x14ac:dyDescent="0.25">
      <c r="B81" s="104" t="s">
        <v>132</v>
      </c>
      <c r="C81" s="23" t="s">
        <v>32</v>
      </c>
      <c r="D81" s="23" t="s">
        <v>29</v>
      </c>
      <c r="E81" s="24">
        <v>16410000</v>
      </c>
      <c r="F81" s="25" t="s">
        <v>61</v>
      </c>
      <c r="G81" s="26" t="s">
        <v>125</v>
      </c>
      <c r="H81" s="48" t="s">
        <v>98</v>
      </c>
      <c r="J81" s="62"/>
      <c r="K81" s="62"/>
    </row>
    <row r="82" spans="2:11" s="1" customFormat="1" ht="60" customHeight="1" x14ac:dyDescent="0.25">
      <c r="B82" s="126" t="s">
        <v>137</v>
      </c>
      <c r="C82" s="127"/>
      <c r="D82" s="127"/>
      <c r="E82" s="16">
        <f>SUM(E83:E87)</f>
        <v>1700000</v>
      </c>
      <c r="F82" s="13"/>
      <c r="G82" s="14"/>
      <c r="H82" s="10"/>
      <c r="I82" s="61"/>
      <c r="J82" s="105"/>
    </row>
    <row r="83" spans="2:11" s="1" customFormat="1" ht="36.75" customHeight="1" x14ac:dyDescent="0.25">
      <c r="B83" s="104" t="s">
        <v>132</v>
      </c>
      <c r="C83" s="23" t="s">
        <v>7</v>
      </c>
      <c r="D83" s="23" t="s">
        <v>28</v>
      </c>
      <c r="E83" s="24">
        <v>42272.9</v>
      </c>
      <c r="F83" s="25" t="s">
        <v>64</v>
      </c>
      <c r="G83" s="26" t="s">
        <v>125</v>
      </c>
      <c r="H83" s="41"/>
    </row>
    <row r="84" spans="2:11" s="1" customFormat="1" ht="51" customHeight="1" x14ac:dyDescent="0.25">
      <c r="B84" s="104" t="s">
        <v>132</v>
      </c>
      <c r="C84" s="23" t="s">
        <v>32</v>
      </c>
      <c r="D84" s="23" t="s">
        <v>29</v>
      </c>
      <c r="E84" s="24">
        <v>60607.14</v>
      </c>
      <c r="F84" s="25" t="s">
        <v>64</v>
      </c>
      <c r="G84" s="26" t="s">
        <v>125</v>
      </c>
      <c r="H84" s="41"/>
      <c r="J84" s="62"/>
    </row>
    <row r="85" spans="2:11" s="1" customFormat="1" ht="45" customHeight="1" x14ac:dyDescent="0.25">
      <c r="B85" s="104" t="s">
        <v>132</v>
      </c>
      <c r="C85" s="23" t="s">
        <v>89</v>
      </c>
      <c r="D85" s="23" t="s">
        <v>90</v>
      </c>
      <c r="E85" s="24">
        <v>798000</v>
      </c>
      <c r="F85" s="25" t="s">
        <v>64</v>
      </c>
      <c r="G85" s="26" t="s">
        <v>125</v>
      </c>
      <c r="H85" s="48"/>
    </row>
    <row r="86" spans="2:11" s="1" customFormat="1" ht="78.75" x14ac:dyDescent="0.25">
      <c r="B86" s="104" t="s">
        <v>132</v>
      </c>
      <c r="C86" s="23" t="s">
        <v>24</v>
      </c>
      <c r="D86" s="23" t="s">
        <v>71</v>
      </c>
      <c r="E86" s="24">
        <v>69239.960000000006</v>
      </c>
      <c r="F86" s="25" t="s">
        <v>61</v>
      </c>
      <c r="G86" s="26" t="s">
        <v>125</v>
      </c>
      <c r="H86" s="48" t="s">
        <v>129</v>
      </c>
      <c r="J86" s="62"/>
    </row>
    <row r="87" spans="2:11" s="1" customFormat="1" ht="67.5" x14ac:dyDescent="0.25">
      <c r="B87" s="104" t="s">
        <v>132</v>
      </c>
      <c r="C87" s="23" t="s">
        <v>24</v>
      </c>
      <c r="D87" s="23" t="s">
        <v>71</v>
      </c>
      <c r="E87" s="24">
        <v>729880</v>
      </c>
      <c r="F87" s="25" t="s">
        <v>61</v>
      </c>
      <c r="G87" s="26" t="s">
        <v>152</v>
      </c>
      <c r="H87" s="48" t="s">
        <v>98</v>
      </c>
    </row>
    <row r="88" spans="2:11" s="1" customFormat="1" ht="65.25" customHeight="1" x14ac:dyDescent="0.25">
      <c r="B88" s="126" t="s">
        <v>138</v>
      </c>
      <c r="C88" s="127"/>
      <c r="D88" s="127"/>
      <c r="E88" s="16">
        <f>SUM(E89:E91)</f>
        <v>1753700.5</v>
      </c>
      <c r="F88" s="13"/>
      <c r="G88" s="14"/>
      <c r="H88" s="10"/>
      <c r="I88" s="61"/>
      <c r="J88" s="62"/>
    </row>
    <row r="89" spans="2:11" s="1" customFormat="1" ht="33.75" x14ac:dyDescent="0.25">
      <c r="B89" s="104" t="s">
        <v>132</v>
      </c>
      <c r="C89" s="36" t="s">
        <v>25</v>
      </c>
      <c r="D89" s="36" t="s">
        <v>69</v>
      </c>
      <c r="E89" s="24">
        <f>55000+145000</f>
        <v>200000</v>
      </c>
      <c r="F89" s="43" t="s">
        <v>64</v>
      </c>
      <c r="G89" s="26" t="s">
        <v>125</v>
      </c>
      <c r="H89" s="44"/>
    </row>
    <row r="90" spans="2:11" s="1" customFormat="1" ht="78.75" x14ac:dyDescent="0.25">
      <c r="B90" s="104" t="s">
        <v>132</v>
      </c>
      <c r="C90" s="23">
        <v>85100000</v>
      </c>
      <c r="D90" s="23" t="s">
        <v>71</v>
      </c>
      <c r="E90" s="24">
        <v>127500.5</v>
      </c>
      <c r="F90" s="25" t="s">
        <v>61</v>
      </c>
      <c r="G90" s="26" t="s">
        <v>125</v>
      </c>
      <c r="H90" s="45" t="s">
        <v>124</v>
      </c>
    </row>
    <row r="91" spans="2:11" s="1" customFormat="1" ht="60.75" customHeight="1" x14ac:dyDescent="0.25">
      <c r="B91" s="104" t="s">
        <v>132</v>
      </c>
      <c r="C91" s="23">
        <v>85100000</v>
      </c>
      <c r="D91" s="23" t="s">
        <v>71</v>
      </c>
      <c r="E91" s="24">
        <f>1460000+111200-145000</f>
        <v>1426200</v>
      </c>
      <c r="F91" s="25" t="s">
        <v>61</v>
      </c>
      <c r="G91" s="26" t="s">
        <v>125</v>
      </c>
      <c r="H91" s="48" t="s">
        <v>98</v>
      </c>
      <c r="K91" s="62"/>
    </row>
    <row r="92" spans="2:11" s="1" customFormat="1" ht="61.5" customHeight="1" x14ac:dyDescent="0.25">
      <c r="B92" s="126" t="s">
        <v>139</v>
      </c>
      <c r="C92" s="127"/>
      <c r="D92" s="127"/>
      <c r="E92" s="16">
        <f>SUM(E93:E94)</f>
        <v>184166.6</v>
      </c>
      <c r="F92" s="13"/>
      <c r="G92" s="14"/>
      <c r="H92" s="10"/>
      <c r="I92" s="61"/>
      <c r="J92" s="62"/>
    </row>
    <row r="93" spans="2:11" s="18" customFormat="1" ht="70.5" customHeight="1" x14ac:dyDescent="0.25">
      <c r="B93" s="65" t="s">
        <v>132</v>
      </c>
      <c r="C93" s="23" t="s">
        <v>24</v>
      </c>
      <c r="D93" s="23" t="s">
        <v>71</v>
      </c>
      <c r="E93" s="56">
        <v>14166.6</v>
      </c>
      <c r="F93" s="25" t="s">
        <v>61</v>
      </c>
      <c r="G93" s="26" t="s">
        <v>125</v>
      </c>
      <c r="H93" s="48" t="s">
        <v>76</v>
      </c>
    </row>
    <row r="94" spans="2:11" s="1" customFormat="1" ht="75" customHeight="1" x14ac:dyDescent="0.25">
      <c r="B94" s="104" t="s">
        <v>132</v>
      </c>
      <c r="C94" s="23" t="s">
        <v>24</v>
      </c>
      <c r="D94" s="23" t="s">
        <v>71</v>
      </c>
      <c r="E94" s="24">
        <v>170000</v>
      </c>
      <c r="F94" s="25" t="s">
        <v>61</v>
      </c>
      <c r="G94" s="26" t="s">
        <v>125</v>
      </c>
      <c r="H94" s="48" t="s">
        <v>98</v>
      </c>
    </row>
    <row r="95" spans="2:11" s="1" customFormat="1" ht="65.25" customHeight="1" x14ac:dyDescent="0.25">
      <c r="B95" s="121" t="s">
        <v>140</v>
      </c>
      <c r="C95" s="122"/>
      <c r="D95" s="122"/>
      <c r="E95" s="16">
        <f>SUM(E96:E100)</f>
        <v>1090000</v>
      </c>
      <c r="F95" s="13"/>
      <c r="G95" s="14"/>
      <c r="H95" s="60"/>
      <c r="I95" s="61"/>
      <c r="J95" s="62"/>
    </row>
    <row r="96" spans="2:11" s="1" customFormat="1" ht="49.5" customHeight="1" x14ac:dyDescent="0.25">
      <c r="B96" s="104" t="s">
        <v>132</v>
      </c>
      <c r="C96" s="23" t="s">
        <v>14</v>
      </c>
      <c r="D96" s="23" t="s">
        <v>15</v>
      </c>
      <c r="E96" s="24">
        <v>24200</v>
      </c>
      <c r="F96" s="25" t="s">
        <v>60</v>
      </c>
      <c r="G96" s="26" t="s">
        <v>125</v>
      </c>
      <c r="H96" s="41"/>
    </row>
    <row r="97" spans="2:10" s="1" customFormat="1" ht="33.75" x14ac:dyDescent="0.25">
      <c r="B97" s="104" t="s">
        <v>132</v>
      </c>
      <c r="C97" s="28">
        <v>33100000</v>
      </c>
      <c r="D97" s="28" t="s">
        <v>28</v>
      </c>
      <c r="E97" s="24">
        <f>240004-87983</f>
        <v>152021</v>
      </c>
      <c r="F97" s="29" t="s">
        <v>64</v>
      </c>
      <c r="G97" s="26" t="s">
        <v>125</v>
      </c>
      <c r="H97" s="46"/>
    </row>
    <row r="98" spans="2:10" s="1" customFormat="1" ht="60.75" customHeight="1" x14ac:dyDescent="0.25">
      <c r="B98" s="104" t="s">
        <v>132</v>
      </c>
      <c r="C98" s="23" t="s">
        <v>59</v>
      </c>
      <c r="D98" s="23" t="s">
        <v>44</v>
      </c>
      <c r="E98" s="24">
        <v>15000</v>
      </c>
      <c r="F98" s="25" t="s">
        <v>64</v>
      </c>
      <c r="G98" s="26" t="s">
        <v>125</v>
      </c>
      <c r="H98" s="41"/>
    </row>
    <row r="99" spans="2:10" s="1" customFormat="1" ht="75" customHeight="1" x14ac:dyDescent="0.25">
      <c r="B99" s="104" t="s">
        <v>132</v>
      </c>
      <c r="C99" s="23">
        <v>85100000</v>
      </c>
      <c r="D99" s="23" t="s">
        <v>71</v>
      </c>
      <c r="E99" s="24">
        <v>48983</v>
      </c>
      <c r="F99" s="25" t="s">
        <v>61</v>
      </c>
      <c r="G99" s="26" t="s">
        <v>125</v>
      </c>
      <c r="H99" s="48" t="s">
        <v>126</v>
      </c>
      <c r="J99" s="62"/>
    </row>
    <row r="100" spans="2:10" s="18" customFormat="1" ht="65.25" customHeight="1" x14ac:dyDescent="0.25">
      <c r="B100" s="65" t="s">
        <v>132</v>
      </c>
      <c r="C100" s="78">
        <v>85100000</v>
      </c>
      <c r="D100" s="78" t="s">
        <v>71</v>
      </c>
      <c r="E100" s="56">
        <f>1071996+37800-260000</f>
        <v>849796</v>
      </c>
      <c r="F100" s="79" t="s">
        <v>61</v>
      </c>
      <c r="G100" s="80" t="s">
        <v>125</v>
      </c>
      <c r="H100" s="111" t="s">
        <v>98</v>
      </c>
    </row>
    <row r="101" spans="2:10" s="1" customFormat="1" ht="80.25" customHeight="1" x14ac:dyDescent="0.25">
      <c r="B101" s="126" t="s">
        <v>141</v>
      </c>
      <c r="C101" s="127"/>
      <c r="D101" s="127"/>
      <c r="E101" s="16">
        <f>SUM(E102:E102)</f>
        <v>1250000</v>
      </c>
      <c r="F101" s="13"/>
      <c r="G101" s="14"/>
      <c r="H101" s="10"/>
      <c r="I101" s="61"/>
      <c r="J101" s="62"/>
    </row>
    <row r="102" spans="2:10" s="1" customFormat="1" ht="84.75" customHeight="1" x14ac:dyDescent="0.25">
      <c r="B102" s="104" t="s">
        <v>132</v>
      </c>
      <c r="C102" s="23" t="s">
        <v>32</v>
      </c>
      <c r="D102" s="23" t="s">
        <v>29</v>
      </c>
      <c r="E102" s="24">
        <v>1250000</v>
      </c>
      <c r="F102" s="25" t="s">
        <v>61</v>
      </c>
      <c r="G102" s="26" t="s">
        <v>125</v>
      </c>
      <c r="H102" s="48" t="s">
        <v>98</v>
      </c>
    </row>
    <row r="103" spans="2:10" s="1" customFormat="1" ht="57.75" customHeight="1" x14ac:dyDescent="0.25">
      <c r="B103" s="119" t="s">
        <v>142</v>
      </c>
      <c r="C103" s="120"/>
      <c r="D103" s="120"/>
      <c r="E103" s="57">
        <f>SUM(E104:E107)</f>
        <v>4000000</v>
      </c>
      <c r="F103" s="58"/>
      <c r="G103" s="58"/>
      <c r="H103" s="59"/>
      <c r="I103" s="61"/>
      <c r="J103" s="62"/>
    </row>
    <row r="104" spans="2:10" s="18" customFormat="1" ht="29.25" customHeight="1" x14ac:dyDescent="0.25">
      <c r="B104" s="65" t="s">
        <v>132</v>
      </c>
      <c r="C104" s="38">
        <v>33100000</v>
      </c>
      <c r="D104" s="23" t="s">
        <v>8</v>
      </c>
      <c r="E104" s="56">
        <v>124876.2</v>
      </c>
      <c r="F104" s="25" t="s">
        <v>64</v>
      </c>
      <c r="G104" s="26" t="s">
        <v>125</v>
      </c>
      <c r="H104" s="26"/>
    </row>
    <row r="105" spans="2:10" s="1" customFormat="1" ht="33.75" x14ac:dyDescent="0.25">
      <c r="B105" s="104" t="s">
        <v>132</v>
      </c>
      <c r="C105" s="38" t="s">
        <v>32</v>
      </c>
      <c r="D105" s="23" t="s">
        <v>9</v>
      </c>
      <c r="E105" s="24">
        <f>2995349.4-3495.8-99984.41</f>
        <v>2891869.19</v>
      </c>
      <c r="F105" s="25" t="s">
        <v>64</v>
      </c>
      <c r="G105" s="26" t="s">
        <v>125</v>
      </c>
      <c r="H105" s="26"/>
    </row>
    <row r="106" spans="2:10" s="1" customFormat="1" ht="67.5" x14ac:dyDescent="0.25">
      <c r="B106" s="104" t="s">
        <v>132</v>
      </c>
      <c r="C106" s="38" t="s">
        <v>24</v>
      </c>
      <c r="D106" s="23" t="s">
        <v>71</v>
      </c>
      <c r="E106" s="24">
        <v>73605.850000000006</v>
      </c>
      <c r="F106" s="25" t="s">
        <v>61</v>
      </c>
      <c r="G106" s="26" t="s">
        <v>125</v>
      </c>
      <c r="H106" s="45" t="s">
        <v>127</v>
      </c>
    </row>
    <row r="107" spans="2:10" s="1" customFormat="1" ht="83.25" customHeight="1" x14ac:dyDescent="0.25">
      <c r="B107" s="104" t="s">
        <v>132</v>
      </c>
      <c r="C107" s="23" t="s">
        <v>24</v>
      </c>
      <c r="D107" s="23" t="s">
        <v>71</v>
      </c>
      <c r="E107" s="24">
        <v>909648.76</v>
      </c>
      <c r="F107" s="25" t="s">
        <v>61</v>
      </c>
      <c r="G107" s="26" t="s">
        <v>152</v>
      </c>
      <c r="H107" s="32" t="s">
        <v>98</v>
      </c>
    </row>
    <row r="108" spans="2:10" ht="122.25" customHeight="1" x14ac:dyDescent="0.25">
      <c r="B108" s="126" t="s">
        <v>143</v>
      </c>
      <c r="C108" s="127"/>
      <c r="D108" s="127"/>
      <c r="E108" s="16">
        <f>SUM(E109)</f>
        <v>2190000</v>
      </c>
      <c r="F108" s="13"/>
      <c r="G108" s="14"/>
      <c r="H108" s="10"/>
      <c r="I108" s="61"/>
      <c r="J108" s="63">
        <f>E103-4000000</f>
        <v>0</v>
      </c>
    </row>
    <row r="109" spans="2:10" s="1" customFormat="1" ht="117.75" customHeight="1" x14ac:dyDescent="0.25">
      <c r="B109" s="104" t="s">
        <v>132</v>
      </c>
      <c r="C109" s="23" t="s">
        <v>32</v>
      </c>
      <c r="D109" s="23" t="s">
        <v>29</v>
      </c>
      <c r="E109" s="24">
        <v>2190000</v>
      </c>
      <c r="F109" s="25" t="s">
        <v>61</v>
      </c>
      <c r="G109" s="26" t="s">
        <v>152</v>
      </c>
      <c r="H109" s="48" t="s">
        <v>98</v>
      </c>
    </row>
    <row r="110" spans="2:10" s="1" customFormat="1" ht="57" customHeight="1" x14ac:dyDescent="0.25">
      <c r="B110" s="121" t="s">
        <v>144</v>
      </c>
      <c r="C110" s="122"/>
      <c r="D110" s="122"/>
      <c r="E110" s="16">
        <f>SUM(E111:E115)</f>
        <v>474000</v>
      </c>
      <c r="F110" s="13"/>
      <c r="G110" s="60"/>
      <c r="H110" s="60"/>
      <c r="I110" s="61"/>
      <c r="J110" s="62"/>
    </row>
    <row r="111" spans="2:10" s="1" customFormat="1" ht="59.25" customHeight="1" x14ac:dyDescent="0.25">
      <c r="B111" s="104" t="s">
        <v>148</v>
      </c>
      <c r="C111" s="23">
        <v>33100000</v>
      </c>
      <c r="D111" s="23" t="s">
        <v>28</v>
      </c>
      <c r="E111" s="24">
        <f>20000+14559.87+22385.83</f>
        <v>56945.700000000004</v>
      </c>
      <c r="F111" s="25" t="s">
        <v>64</v>
      </c>
      <c r="G111" s="26" t="s">
        <v>125</v>
      </c>
      <c r="H111" s="41"/>
    </row>
    <row r="112" spans="2:10" s="1" customFormat="1" ht="38.25" x14ac:dyDescent="0.25">
      <c r="B112" s="104" t="s">
        <v>148</v>
      </c>
      <c r="C112" s="36">
        <v>33600000</v>
      </c>
      <c r="D112" s="36" t="s">
        <v>29</v>
      </c>
      <c r="E112" s="24">
        <f>266824.3+68000-17770</f>
        <v>317054.3</v>
      </c>
      <c r="F112" s="43" t="s">
        <v>64</v>
      </c>
      <c r="G112" s="26" t="s">
        <v>125</v>
      </c>
      <c r="H112" s="44"/>
    </row>
    <row r="113" spans="2:11" s="1" customFormat="1" ht="78.75" x14ac:dyDescent="0.25">
      <c r="B113" s="104" t="s">
        <v>132</v>
      </c>
      <c r="C113" s="38" t="s">
        <v>103</v>
      </c>
      <c r="D113" s="23" t="s">
        <v>71</v>
      </c>
      <c r="E113" s="24">
        <v>6870</v>
      </c>
      <c r="F113" s="25" t="s">
        <v>61</v>
      </c>
      <c r="G113" s="26" t="s">
        <v>125</v>
      </c>
      <c r="H113" s="45" t="s">
        <v>130</v>
      </c>
    </row>
    <row r="114" spans="2:11" s="1" customFormat="1" ht="67.5" x14ac:dyDescent="0.25">
      <c r="B114" s="104" t="s">
        <v>132</v>
      </c>
      <c r="C114" s="38" t="s">
        <v>103</v>
      </c>
      <c r="D114" s="23" t="s">
        <v>71</v>
      </c>
      <c r="E114" s="24">
        <f>13740+6870</f>
        <v>20610</v>
      </c>
      <c r="F114" s="25" t="s">
        <v>61</v>
      </c>
      <c r="G114" s="26" t="s">
        <v>152</v>
      </c>
      <c r="H114" s="48" t="s">
        <v>98</v>
      </c>
      <c r="J114" s="62"/>
      <c r="K114" s="62"/>
    </row>
    <row r="115" spans="2:11" s="1" customFormat="1" ht="51" customHeight="1" x14ac:dyDescent="0.25">
      <c r="B115" s="104" t="s">
        <v>132</v>
      </c>
      <c r="C115" s="38" t="s">
        <v>24</v>
      </c>
      <c r="D115" s="23" t="s">
        <v>71</v>
      </c>
      <c r="E115" s="24">
        <v>72520</v>
      </c>
      <c r="F115" s="25" t="s">
        <v>64</v>
      </c>
      <c r="G115" s="26" t="s">
        <v>153</v>
      </c>
      <c r="H115" s="45"/>
      <c r="J115" s="62"/>
      <c r="K115" s="62"/>
    </row>
    <row r="116" spans="2:11" ht="59.25" customHeight="1" x14ac:dyDescent="0.25">
      <c r="B116" s="126" t="s">
        <v>145</v>
      </c>
      <c r="C116" s="127"/>
      <c r="D116" s="127"/>
      <c r="E116" s="16">
        <f>SUM(E117:E120)</f>
        <v>2100000</v>
      </c>
      <c r="F116" s="13"/>
      <c r="G116" s="14"/>
      <c r="H116" s="10"/>
      <c r="I116" s="61"/>
      <c r="J116" s="63"/>
    </row>
    <row r="117" spans="2:11" s="18" customFormat="1" ht="42.75" customHeight="1" x14ac:dyDescent="0.25">
      <c r="B117" s="104" t="s">
        <v>132</v>
      </c>
      <c r="C117" s="23" t="s">
        <v>25</v>
      </c>
      <c r="D117" s="23" t="s">
        <v>69</v>
      </c>
      <c r="E117" s="24">
        <f>2100000-115976-175000</f>
        <v>1809024</v>
      </c>
      <c r="F117" s="25" t="s">
        <v>64</v>
      </c>
      <c r="G117" s="26" t="s">
        <v>125</v>
      </c>
      <c r="H117" s="53"/>
    </row>
    <row r="118" spans="2:11" s="1" customFormat="1" ht="42.75" customHeight="1" x14ac:dyDescent="0.25">
      <c r="B118" s="104" t="s">
        <v>132</v>
      </c>
      <c r="C118" s="23" t="s">
        <v>25</v>
      </c>
      <c r="D118" s="23" t="s">
        <v>69</v>
      </c>
      <c r="E118" s="24">
        <f>5976</f>
        <v>5976</v>
      </c>
      <c r="F118" s="25" t="s">
        <v>61</v>
      </c>
      <c r="G118" s="26" t="s">
        <v>152</v>
      </c>
      <c r="H118" s="48" t="s">
        <v>98</v>
      </c>
    </row>
    <row r="119" spans="2:11" s="1" customFormat="1" ht="42.75" customHeight="1" x14ac:dyDescent="0.25">
      <c r="B119" s="104" t="s">
        <v>132</v>
      </c>
      <c r="C119" s="23" t="s">
        <v>176</v>
      </c>
      <c r="D119" s="23" t="s">
        <v>177</v>
      </c>
      <c r="E119" s="24">
        <v>175000</v>
      </c>
      <c r="F119" s="25" t="s">
        <v>64</v>
      </c>
      <c r="G119" s="26" t="s">
        <v>178</v>
      </c>
      <c r="H119" s="48"/>
    </row>
    <row r="120" spans="2:11" s="1" customFormat="1" ht="80.25" customHeight="1" x14ac:dyDescent="0.25">
      <c r="B120" s="104" t="s">
        <v>132</v>
      </c>
      <c r="C120" s="23" t="s">
        <v>154</v>
      </c>
      <c r="D120" s="23" t="s">
        <v>155</v>
      </c>
      <c r="E120" s="24">
        <f>115976-5976</f>
        <v>110000</v>
      </c>
      <c r="F120" s="25" t="s">
        <v>61</v>
      </c>
      <c r="G120" s="26" t="s">
        <v>152</v>
      </c>
      <c r="H120" s="48" t="s">
        <v>98</v>
      </c>
    </row>
    <row r="121" spans="2:11" ht="70.5" customHeight="1" x14ac:dyDescent="0.25">
      <c r="B121" s="126" t="s">
        <v>146</v>
      </c>
      <c r="C121" s="127"/>
      <c r="D121" s="127"/>
      <c r="E121" s="16">
        <f>SUM(E122:E124)</f>
        <v>442800</v>
      </c>
      <c r="F121" s="13"/>
      <c r="G121" s="14"/>
      <c r="H121" s="10"/>
      <c r="I121" s="61"/>
      <c r="J121" s="63"/>
    </row>
    <row r="122" spans="2:11" s="18" customFormat="1" ht="33.75" x14ac:dyDescent="0.25">
      <c r="B122" s="65" t="s">
        <v>132</v>
      </c>
      <c r="C122" s="99" t="s">
        <v>32</v>
      </c>
      <c r="D122" s="99" t="s">
        <v>29</v>
      </c>
      <c r="E122" s="56">
        <f>264000-4020</f>
        <v>259980</v>
      </c>
      <c r="F122" s="100" t="s">
        <v>64</v>
      </c>
      <c r="G122" s="80" t="s">
        <v>125</v>
      </c>
      <c r="H122" s="101"/>
    </row>
    <row r="123" spans="2:11" s="18" customFormat="1" ht="33.75" x14ac:dyDescent="0.25">
      <c r="B123" s="65" t="s">
        <v>132</v>
      </c>
      <c r="C123" s="28" t="s">
        <v>7</v>
      </c>
      <c r="D123" s="28" t="s">
        <v>28</v>
      </c>
      <c r="E123" s="24">
        <v>132000</v>
      </c>
      <c r="F123" s="29" t="s">
        <v>64</v>
      </c>
      <c r="G123" s="26" t="s">
        <v>125</v>
      </c>
      <c r="H123" s="55"/>
    </row>
    <row r="124" spans="2:11" s="1" customFormat="1" ht="33.75" x14ac:dyDescent="0.25">
      <c r="B124" s="104" t="s">
        <v>132</v>
      </c>
      <c r="C124" s="23" t="s">
        <v>14</v>
      </c>
      <c r="D124" s="23" t="s">
        <v>40</v>
      </c>
      <c r="E124" s="24">
        <f>4020+46800</f>
        <v>50820</v>
      </c>
      <c r="F124" s="25" t="s">
        <v>60</v>
      </c>
      <c r="G124" s="26" t="s">
        <v>125</v>
      </c>
      <c r="H124" s="23"/>
    </row>
  </sheetData>
  <autoFilter ref="A8:H124"/>
  <mergeCells count="20">
    <mergeCell ref="B88:D88"/>
    <mergeCell ref="B2:H2"/>
    <mergeCell ref="B3:H3"/>
    <mergeCell ref="B4:E4"/>
    <mergeCell ref="F4:H4"/>
    <mergeCell ref="B5:E5"/>
    <mergeCell ref="F5:H5"/>
    <mergeCell ref="B6:F6"/>
    <mergeCell ref="B9:D9"/>
    <mergeCell ref="B71:D71"/>
    <mergeCell ref="B76:D76"/>
    <mergeCell ref="B82:D82"/>
    <mergeCell ref="B116:D116"/>
    <mergeCell ref="B121:D121"/>
    <mergeCell ref="B92:D92"/>
    <mergeCell ref="B95:D95"/>
    <mergeCell ref="B101:D101"/>
    <mergeCell ref="B103:D103"/>
    <mergeCell ref="B108:D108"/>
    <mergeCell ref="B110:D110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99"/>
  <sheetViews>
    <sheetView topLeftCell="B1" zoomScaleNormal="100" zoomScaleSheetLayoutView="80" workbookViewId="0">
      <selection activeCell="G123" sqref="G123"/>
    </sheetView>
  </sheetViews>
  <sheetFormatPr defaultRowHeight="15" x14ac:dyDescent="0.2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3" width="11.5703125" bestFit="1" customWidth="1"/>
  </cols>
  <sheetData>
    <row r="2" spans="2:8" ht="18.75" x14ac:dyDescent="0.25">
      <c r="B2" s="123" t="s">
        <v>41</v>
      </c>
      <c r="C2" s="123"/>
      <c r="D2" s="123"/>
      <c r="E2" s="123"/>
      <c r="F2" s="123"/>
      <c r="G2" s="123"/>
      <c r="H2" s="123"/>
    </row>
    <row r="3" spans="2:8" ht="18.75" x14ac:dyDescent="0.3">
      <c r="B3" s="124" t="s">
        <v>4</v>
      </c>
      <c r="C3" s="124"/>
      <c r="D3" s="124"/>
      <c r="E3" s="124"/>
      <c r="F3" s="124"/>
      <c r="G3" s="124"/>
      <c r="H3" s="124"/>
    </row>
    <row r="4" spans="2:8" x14ac:dyDescent="0.25">
      <c r="B4" s="125" t="s">
        <v>54</v>
      </c>
      <c r="C4" s="125"/>
      <c r="D4" s="125"/>
      <c r="E4" s="125"/>
      <c r="F4" s="125" t="s">
        <v>21</v>
      </c>
      <c r="G4" s="125"/>
      <c r="H4" s="125"/>
    </row>
    <row r="5" spans="2:8" x14ac:dyDescent="0.25">
      <c r="B5" s="125" t="s">
        <v>20</v>
      </c>
      <c r="C5" s="125"/>
      <c r="D5" s="125"/>
      <c r="E5" s="125"/>
      <c r="F5" s="125" t="s">
        <v>10</v>
      </c>
      <c r="G5" s="125"/>
      <c r="H5" s="125"/>
    </row>
    <row r="6" spans="2:8" ht="24.75" customHeight="1" x14ac:dyDescent="0.25">
      <c r="B6" s="115" t="s">
        <v>22</v>
      </c>
      <c r="C6" s="116"/>
      <c r="D6" s="116"/>
      <c r="E6" s="116"/>
      <c r="F6" s="116"/>
      <c r="G6" s="2">
        <f>E9+E54+E57+E62+E68+E72+E75+E81+E83+E88+E90+E95+E97</f>
        <v>43322737.999999993</v>
      </c>
      <c r="H6" s="3" t="s">
        <v>23</v>
      </c>
    </row>
    <row r="7" spans="2:8" ht="25.5" x14ac:dyDescent="0.2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 x14ac:dyDescent="0.25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customHeight="1" x14ac:dyDescent="0.25">
      <c r="B9" s="117" t="s">
        <v>131</v>
      </c>
      <c r="C9" s="118"/>
      <c r="D9" s="118"/>
      <c r="E9" s="15">
        <f>SUM(E10:E53)</f>
        <v>4112930</v>
      </c>
      <c r="F9" s="11"/>
      <c r="G9" s="9"/>
      <c r="H9" s="10"/>
    </row>
    <row r="10" spans="2:8" s="18" customFormat="1" ht="33.75" x14ac:dyDescent="0.2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8" s="18" customFormat="1" ht="33.75" x14ac:dyDescent="0.2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8" s="18" customFormat="1" ht="33.75" x14ac:dyDescent="0.25">
      <c r="B12" s="65" t="s">
        <v>132</v>
      </c>
      <c r="C12" s="23" t="s">
        <v>100</v>
      </c>
      <c r="D12" s="23" t="s">
        <v>101</v>
      </c>
      <c r="E12" s="56">
        <v>500</v>
      </c>
      <c r="F12" s="25" t="s">
        <v>61</v>
      </c>
      <c r="G12" s="26" t="s">
        <v>125</v>
      </c>
      <c r="H12" s="23"/>
    </row>
    <row r="13" spans="2:8" s="19" customFormat="1" ht="33.75" x14ac:dyDescent="0.25">
      <c r="B13" s="65" t="s">
        <v>132</v>
      </c>
      <c r="C13" s="28" t="s">
        <v>50</v>
      </c>
      <c r="D13" s="28" t="s">
        <v>52</v>
      </c>
      <c r="E13" s="56">
        <v>1600</v>
      </c>
      <c r="F13" s="29" t="s">
        <v>61</v>
      </c>
      <c r="G13" s="26" t="s">
        <v>125</v>
      </c>
      <c r="H13" s="28"/>
    </row>
    <row r="14" spans="2:8" s="18" customFormat="1" ht="49.5" customHeight="1" x14ac:dyDescent="0.25">
      <c r="B14" s="65" t="s">
        <v>132</v>
      </c>
      <c r="C14" s="23" t="s">
        <v>39</v>
      </c>
      <c r="D14" s="23" t="s">
        <v>58</v>
      </c>
      <c r="E14" s="56">
        <f>23100</f>
        <v>23100</v>
      </c>
      <c r="F14" s="25" t="s">
        <v>60</v>
      </c>
      <c r="G14" s="26" t="s">
        <v>125</v>
      </c>
      <c r="H14" s="23"/>
    </row>
    <row r="15" spans="2:8" s="18" customFormat="1" ht="49.5" customHeight="1" x14ac:dyDescent="0.25">
      <c r="B15" s="65" t="s">
        <v>132</v>
      </c>
      <c r="C15" s="23" t="s">
        <v>39</v>
      </c>
      <c r="D15" s="23" t="s">
        <v>58</v>
      </c>
      <c r="E15" s="56">
        <f>60000+9000</f>
        <v>69000</v>
      </c>
      <c r="F15" s="25" t="s">
        <v>64</v>
      </c>
      <c r="G15" s="26" t="s">
        <v>125</v>
      </c>
      <c r="H15" s="23"/>
    </row>
    <row r="16" spans="2:8" s="18" customFormat="1" ht="38.25" customHeight="1" x14ac:dyDescent="0.25">
      <c r="B16" s="65" t="s">
        <v>147</v>
      </c>
      <c r="C16" s="30">
        <v>31400000</v>
      </c>
      <c r="D16" s="23" t="s">
        <v>11</v>
      </c>
      <c r="E16" s="56">
        <f>3000+1800</f>
        <v>4800</v>
      </c>
      <c r="F16" s="25" t="s">
        <v>61</v>
      </c>
      <c r="G16" s="26" t="s">
        <v>125</v>
      </c>
      <c r="H16" s="31"/>
    </row>
    <row r="17" spans="2:8" s="18" customFormat="1" ht="38.25" customHeight="1" x14ac:dyDescent="0.25">
      <c r="B17" s="65" t="s">
        <v>147</v>
      </c>
      <c r="C17" s="23" t="s">
        <v>43</v>
      </c>
      <c r="D17" s="23" t="s">
        <v>42</v>
      </c>
      <c r="E17" s="56">
        <v>10000</v>
      </c>
      <c r="F17" s="25" t="s">
        <v>60</v>
      </c>
      <c r="G17" s="26" t="s">
        <v>125</v>
      </c>
      <c r="H17" s="32"/>
    </row>
    <row r="18" spans="2:8" s="18" customFormat="1" ht="33.75" x14ac:dyDescent="0.25">
      <c r="B18" s="65" t="s">
        <v>132</v>
      </c>
      <c r="C18" s="23" t="s">
        <v>92</v>
      </c>
      <c r="D18" s="23" t="s">
        <v>93</v>
      </c>
      <c r="E18" s="56">
        <v>4800</v>
      </c>
      <c r="F18" s="25" t="s">
        <v>91</v>
      </c>
      <c r="G18" s="26" t="s">
        <v>125</v>
      </c>
      <c r="H18" s="31"/>
    </row>
    <row r="19" spans="2:8" s="18" customFormat="1" ht="33.75" x14ac:dyDescent="0.25">
      <c r="B19" s="65" t="s">
        <v>132</v>
      </c>
      <c r="C19" s="23" t="s">
        <v>94</v>
      </c>
      <c r="D19" s="23" t="s">
        <v>95</v>
      </c>
      <c r="E19" s="56">
        <v>4800</v>
      </c>
      <c r="F19" s="25" t="s">
        <v>91</v>
      </c>
      <c r="G19" s="26" t="s">
        <v>125</v>
      </c>
      <c r="H19" s="31"/>
    </row>
    <row r="20" spans="2:8" s="18" customFormat="1" ht="33.75" x14ac:dyDescent="0.25">
      <c r="B20" s="65" t="s">
        <v>132</v>
      </c>
      <c r="C20" s="34">
        <v>39800000</v>
      </c>
      <c r="D20" s="34" t="s">
        <v>84</v>
      </c>
      <c r="E20" s="56">
        <v>4800</v>
      </c>
      <c r="F20" s="25" t="s">
        <v>91</v>
      </c>
      <c r="G20" s="26" t="s">
        <v>125</v>
      </c>
      <c r="H20" s="31"/>
    </row>
    <row r="21" spans="2:8" s="18" customFormat="1" ht="51.75" customHeight="1" x14ac:dyDescent="0.25">
      <c r="B21" s="65" t="s">
        <v>132</v>
      </c>
      <c r="C21" s="30">
        <v>45400000</v>
      </c>
      <c r="D21" s="34" t="s">
        <v>102</v>
      </c>
      <c r="E21" s="56">
        <v>40000</v>
      </c>
      <c r="F21" s="25" t="s">
        <v>64</v>
      </c>
      <c r="G21" s="26" t="s">
        <v>125</v>
      </c>
      <c r="H21" s="31"/>
    </row>
    <row r="22" spans="2:8" s="18" customFormat="1" ht="37.5" customHeight="1" x14ac:dyDescent="0.25">
      <c r="B22" s="65" t="s">
        <v>133</v>
      </c>
      <c r="C22" s="30">
        <v>48700000</v>
      </c>
      <c r="D22" s="23" t="s">
        <v>104</v>
      </c>
      <c r="E22" s="56">
        <v>30000</v>
      </c>
      <c r="F22" s="25" t="s">
        <v>64</v>
      </c>
      <c r="G22" s="26" t="s">
        <v>125</v>
      </c>
      <c r="H22" s="31"/>
    </row>
    <row r="23" spans="2:8" s="18" customFormat="1" ht="56.25" x14ac:dyDescent="0.25">
      <c r="B23" s="65" t="s">
        <v>132</v>
      </c>
      <c r="C23" s="23">
        <v>50100000</v>
      </c>
      <c r="D23" s="23" t="s">
        <v>44</v>
      </c>
      <c r="E23" s="56">
        <v>10000</v>
      </c>
      <c r="F23" s="25" t="s">
        <v>61</v>
      </c>
      <c r="G23" s="26" t="s">
        <v>125</v>
      </c>
      <c r="H23" s="35" t="s">
        <v>66</v>
      </c>
    </row>
    <row r="24" spans="2:8" s="18" customFormat="1" ht="92.25" customHeight="1" x14ac:dyDescent="0.25">
      <c r="B24" s="65" t="s">
        <v>132</v>
      </c>
      <c r="C24" s="23" t="s">
        <v>59</v>
      </c>
      <c r="D24" s="23" t="s">
        <v>62</v>
      </c>
      <c r="E24" s="56">
        <v>120000</v>
      </c>
      <c r="F24" s="25" t="s">
        <v>64</v>
      </c>
      <c r="G24" s="26" t="s">
        <v>125</v>
      </c>
      <c r="H24" s="36"/>
    </row>
    <row r="25" spans="2:8" s="18" customFormat="1" ht="92.25" customHeight="1" x14ac:dyDescent="0.25">
      <c r="B25" s="65" t="s">
        <v>132</v>
      </c>
      <c r="C25" s="23" t="s">
        <v>107</v>
      </c>
      <c r="D25" s="23" t="s">
        <v>108</v>
      </c>
      <c r="E25" s="56">
        <v>50000</v>
      </c>
      <c r="F25" s="25" t="s">
        <v>64</v>
      </c>
      <c r="G25" s="26" t="s">
        <v>125</v>
      </c>
      <c r="H25" s="31"/>
    </row>
    <row r="26" spans="2:8" s="18" customFormat="1" ht="92.25" customHeight="1" x14ac:dyDescent="0.25">
      <c r="B26" s="65" t="s">
        <v>132</v>
      </c>
      <c r="C26" s="23" t="s">
        <v>105</v>
      </c>
      <c r="D26" s="23" t="s">
        <v>106</v>
      </c>
      <c r="E26" s="56">
        <v>310000</v>
      </c>
      <c r="F26" s="25" t="s">
        <v>64</v>
      </c>
      <c r="G26" s="26" t="s">
        <v>125</v>
      </c>
      <c r="H26" s="36"/>
    </row>
    <row r="27" spans="2:8" s="18" customFormat="1" ht="92.25" customHeight="1" x14ac:dyDescent="0.25">
      <c r="B27" s="65" t="s">
        <v>147</v>
      </c>
      <c r="C27" s="23" t="s">
        <v>109</v>
      </c>
      <c r="D27" s="23" t="s">
        <v>110</v>
      </c>
      <c r="E27" s="56">
        <f>60000+45000</f>
        <v>105000</v>
      </c>
      <c r="F27" s="25" t="s">
        <v>64</v>
      </c>
      <c r="G27" s="26" t="s">
        <v>125</v>
      </c>
      <c r="H27" s="36"/>
    </row>
    <row r="28" spans="2:8" s="18" customFormat="1" ht="102.75" customHeight="1" x14ac:dyDescent="0.25">
      <c r="B28" s="65" t="s">
        <v>132</v>
      </c>
      <c r="C28" s="23" t="s">
        <v>86</v>
      </c>
      <c r="D28" s="23" t="s">
        <v>87</v>
      </c>
      <c r="E28" s="56">
        <v>8000</v>
      </c>
      <c r="F28" s="25" t="s">
        <v>64</v>
      </c>
      <c r="G28" s="26" t="s">
        <v>125</v>
      </c>
      <c r="H28" s="23"/>
    </row>
    <row r="29" spans="2:8" s="18" customFormat="1" ht="115.5" customHeight="1" x14ac:dyDescent="0.25">
      <c r="B29" s="65" t="s">
        <v>132</v>
      </c>
      <c r="C29" s="23">
        <v>50700000</v>
      </c>
      <c r="D29" s="23" t="s">
        <v>13</v>
      </c>
      <c r="E29" s="56">
        <f>1600000-59200</f>
        <v>1540800</v>
      </c>
      <c r="F29" s="23" t="s">
        <v>61</v>
      </c>
      <c r="G29" s="26" t="s">
        <v>125</v>
      </c>
      <c r="H29" s="23" t="s">
        <v>99</v>
      </c>
    </row>
    <row r="30" spans="2:8" s="18" customFormat="1" ht="115.5" customHeight="1" x14ac:dyDescent="0.25">
      <c r="B30" s="65" t="s">
        <v>132</v>
      </c>
      <c r="C30" s="23">
        <v>50700000</v>
      </c>
      <c r="D30" s="23" t="s">
        <v>13</v>
      </c>
      <c r="E30" s="56">
        <f>93000-45000</f>
        <v>48000</v>
      </c>
      <c r="F30" s="23" t="s">
        <v>64</v>
      </c>
      <c r="G30" s="26" t="s">
        <v>125</v>
      </c>
      <c r="H30" s="23"/>
    </row>
    <row r="31" spans="2:8" s="18" customFormat="1" ht="115.5" customHeight="1" x14ac:dyDescent="0.25">
      <c r="B31" s="67" t="s">
        <v>132</v>
      </c>
      <c r="C31" s="68" t="s">
        <v>117</v>
      </c>
      <c r="D31" s="68" t="s">
        <v>118</v>
      </c>
      <c r="E31" s="69">
        <f>120000+68250</f>
        <v>188250</v>
      </c>
      <c r="F31" s="68" t="s">
        <v>64</v>
      </c>
      <c r="G31" s="71" t="s">
        <v>125</v>
      </c>
      <c r="H31" s="68"/>
    </row>
    <row r="32" spans="2:8" s="18" customFormat="1" ht="115.5" customHeight="1" x14ac:dyDescent="0.25">
      <c r="B32" s="65" t="s">
        <v>132</v>
      </c>
      <c r="C32" s="23" t="s">
        <v>111</v>
      </c>
      <c r="D32" s="23" t="s">
        <v>112</v>
      </c>
      <c r="E32" s="56">
        <v>120000</v>
      </c>
      <c r="F32" s="23" t="s">
        <v>64</v>
      </c>
      <c r="G32" s="26" t="s">
        <v>125</v>
      </c>
      <c r="H32" s="23"/>
    </row>
    <row r="33" spans="2:10" s="18" customFormat="1" ht="58.5" customHeight="1" x14ac:dyDescent="0.25">
      <c r="B33" s="65" t="s">
        <v>132</v>
      </c>
      <c r="C33" s="30">
        <v>63700000</v>
      </c>
      <c r="D33" s="23" t="s">
        <v>70</v>
      </c>
      <c r="E33" s="56">
        <v>2000</v>
      </c>
      <c r="F33" s="25" t="s">
        <v>61</v>
      </c>
      <c r="G33" s="26" t="s">
        <v>125</v>
      </c>
      <c r="H33" s="26" t="s">
        <v>85</v>
      </c>
    </row>
    <row r="34" spans="2:10" s="18" customFormat="1" ht="63.75" customHeight="1" x14ac:dyDescent="0.25">
      <c r="B34" s="65" t="s">
        <v>132</v>
      </c>
      <c r="C34" s="23" t="s">
        <v>47</v>
      </c>
      <c r="D34" s="23" t="s">
        <v>48</v>
      </c>
      <c r="E34" s="56">
        <v>6000</v>
      </c>
      <c r="F34" s="25" t="s">
        <v>64</v>
      </c>
      <c r="G34" s="26" t="s">
        <v>125</v>
      </c>
      <c r="H34" s="23"/>
    </row>
    <row r="35" spans="2:10" s="18" customFormat="1" ht="33.75" x14ac:dyDescent="0.25">
      <c r="B35" s="65" t="s">
        <v>132</v>
      </c>
      <c r="C35" s="38" t="s">
        <v>18</v>
      </c>
      <c r="D35" s="23" t="s">
        <v>46</v>
      </c>
      <c r="E35" s="56">
        <v>25000</v>
      </c>
      <c r="F35" s="25" t="s">
        <v>64</v>
      </c>
      <c r="G35" s="26" t="s">
        <v>125</v>
      </c>
      <c r="H35" s="33"/>
    </row>
    <row r="36" spans="2:10" s="18" customFormat="1" ht="56.25" x14ac:dyDescent="0.25">
      <c r="B36" s="65" t="s">
        <v>132</v>
      </c>
      <c r="C36" s="38" t="s">
        <v>18</v>
      </c>
      <c r="D36" s="23" t="s">
        <v>46</v>
      </c>
      <c r="E36" s="56">
        <v>25500</v>
      </c>
      <c r="F36" s="25" t="s">
        <v>61</v>
      </c>
      <c r="G36" s="26" t="s">
        <v>125</v>
      </c>
      <c r="H36" s="26" t="s">
        <v>96</v>
      </c>
    </row>
    <row r="37" spans="2:10" s="18" customFormat="1" ht="33.75" x14ac:dyDescent="0.25">
      <c r="B37" s="65" t="s">
        <v>132</v>
      </c>
      <c r="C37" s="38" t="s">
        <v>18</v>
      </c>
      <c r="D37" s="23" t="s">
        <v>46</v>
      </c>
      <c r="E37" s="56">
        <v>24000</v>
      </c>
      <c r="F37" s="25" t="s">
        <v>60</v>
      </c>
      <c r="G37" s="26" t="s">
        <v>125</v>
      </c>
      <c r="H37" s="33"/>
    </row>
    <row r="38" spans="2:10" s="18" customFormat="1" ht="50.25" customHeight="1" x14ac:dyDescent="0.25">
      <c r="B38" s="65" t="s">
        <v>134</v>
      </c>
      <c r="C38" s="38" t="s">
        <v>114</v>
      </c>
      <c r="D38" s="23" t="s">
        <v>113</v>
      </c>
      <c r="E38" s="56">
        <v>30000</v>
      </c>
      <c r="F38" s="25" t="s">
        <v>64</v>
      </c>
      <c r="G38" s="26" t="s">
        <v>125</v>
      </c>
      <c r="H38" s="26"/>
    </row>
    <row r="39" spans="2:10" s="18" customFormat="1" ht="33.75" x14ac:dyDescent="0.25">
      <c r="B39" s="65" t="s">
        <v>132</v>
      </c>
      <c r="C39" s="38" t="s">
        <v>55</v>
      </c>
      <c r="D39" s="23" t="s">
        <v>56</v>
      </c>
      <c r="E39" s="56">
        <v>1680</v>
      </c>
      <c r="F39" s="25" t="s">
        <v>91</v>
      </c>
      <c r="G39" s="26" t="s">
        <v>125</v>
      </c>
      <c r="H39" s="33"/>
    </row>
    <row r="40" spans="2:10" s="18" customFormat="1" ht="57" customHeight="1" x14ac:dyDescent="0.25">
      <c r="B40" s="65" t="s">
        <v>132</v>
      </c>
      <c r="C40" s="38" t="s">
        <v>17</v>
      </c>
      <c r="D40" s="23" t="s">
        <v>16</v>
      </c>
      <c r="E40" s="56">
        <v>90000</v>
      </c>
      <c r="F40" s="25" t="s">
        <v>61</v>
      </c>
      <c r="G40" s="26" t="s">
        <v>125</v>
      </c>
      <c r="H40" s="26" t="s">
        <v>67</v>
      </c>
    </row>
    <row r="41" spans="2:10" s="18" customFormat="1" ht="65.25" customHeight="1" x14ac:dyDescent="0.25">
      <c r="B41" s="65" t="s">
        <v>132</v>
      </c>
      <c r="C41" s="38" t="s">
        <v>17</v>
      </c>
      <c r="D41" s="23" t="s">
        <v>16</v>
      </c>
      <c r="E41" s="56">
        <v>150</v>
      </c>
      <c r="F41" s="25" t="s">
        <v>61</v>
      </c>
      <c r="G41" s="26" t="s">
        <v>125</v>
      </c>
      <c r="H41" s="26"/>
      <c r="J41" s="20"/>
    </row>
    <row r="42" spans="2:10" s="18" customFormat="1" ht="56.25" x14ac:dyDescent="0.25">
      <c r="B42" s="65" t="s">
        <v>132</v>
      </c>
      <c r="C42" s="38" t="s">
        <v>77</v>
      </c>
      <c r="D42" s="23" t="s">
        <v>78</v>
      </c>
      <c r="E42" s="56">
        <v>3000</v>
      </c>
      <c r="F42" s="25" t="s">
        <v>61</v>
      </c>
      <c r="G42" s="26" t="s">
        <v>125</v>
      </c>
      <c r="H42" s="26" t="s">
        <v>79</v>
      </c>
    </row>
    <row r="43" spans="2:10" s="18" customFormat="1" ht="75" customHeight="1" x14ac:dyDescent="0.25">
      <c r="B43" s="65" t="s">
        <v>132</v>
      </c>
      <c r="C43" s="74" t="s">
        <v>25</v>
      </c>
      <c r="D43" s="23" t="s">
        <v>119</v>
      </c>
      <c r="E43" s="56">
        <v>100000</v>
      </c>
      <c r="F43" s="25" t="s">
        <v>64</v>
      </c>
      <c r="G43" s="26" t="s">
        <v>125</v>
      </c>
      <c r="H43" s="26"/>
    </row>
    <row r="44" spans="2:10" s="18" customFormat="1" ht="63.75" customHeight="1" x14ac:dyDescent="0.25">
      <c r="B44" s="65" t="s">
        <v>132</v>
      </c>
      <c r="C44" s="23" t="s">
        <v>45</v>
      </c>
      <c r="D44" s="23" t="s">
        <v>63</v>
      </c>
      <c r="E44" s="56">
        <v>6000</v>
      </c>
      <c r="F44" s="25" t="s">
        <v>64</v>
      </c>
      <c r="G44" s="26" t="s">
        <v>125</v>
      </c>
      <c r="H44" s="26"/>
    </row>
    <row r="45" spans="2:10" s="18" customFormat="1" ht="63.75" customHeight="1" x14ac:dyDescent="0.25">
      <c r="B45" s="65" t="s">
        <v>132</v>
      </c>
      <c r="C45" s="75" t="s">
        <v>120</v>
      </c>
      <c r="D45" s="23" t="s">
        <v>121</v>
      </c>
      <c r="E45" s="56">
        <v>450</v>
      </c>
      <c r="F45" s="25" t="s">
        <v>61</v>
      </c>
      <c r="G45" s="26" t="s">
        <v>125</v>
      </c>
      <c r="H45" s="26"/>
    </row>
    <row r="46" spans="2:10" s="18" customFormat="1" ht="77.25" customHeight="1" x14ac:dyDescent="0.25">
      <c r="B46" s="65" t="s">
        <v>132</v>
      </c>
      <c r="C46" s="30">
        <v>79700000</v>
      </c>
      <c r="D46" s="23" t="s">
        <v>27</v>
      </c>
      <c r="E46" s="56">
        <v>600000</v>
      </c>
      <c r="F46" s="25" t="s">
        <v>61</v>
      </c>
      <c r="G46" s="26" t="s">
        <v>125</v>
      </c>
      <c r="H46" s="26" t="s">
        <v>80</v>
      </c>
    </row>
    <row r="47" spans="2:10" s="18" customFormat="1" ht="62.25" customHeight="1" x14ac:dyDescent="0.25">
      <c r="B47" s="65" t="s">
        <v>132</v>
      </c>
      <c r="C47" s="30">
        <v>79800000</v>
      </c>
      <c r="D47" s="23" t="s">
        <v>81</v>
      </c>
      <c r="E47" s="56">
        <v>10000</v>
      </c>
      <c r="F47" s="25" t="s">
        <v>64</v>
      </c>
      <c r="G47" s="26" t="s">
        <v>125</v>
      </c>
      <c r="H47" s="26"/>
    </row>
    <row r="48" spans="2:10" s="18" customFormat="1" ht="62.25" customHeight="1" x14ac:dyDescent="0.25">
      <c r="B48" s="65" t="s">
        <v>132</v>
      </c>
      <c r="C48" s="23" t="s">
        <v>53</v>
      </c>
      <c r="D48" s="23" t="s">
        <v>65</v>
      </c>
      <c r="E48" s="56">
        <f>20000+12000</f>
        <v>32000</v>
      </c>
      <c r="F48" s="25" t="s">
        <v>61</v>
      </c>
      <c r="G48" s="26" t="s">
        <v>125</v>
      </c>
      <c r="H48" s="23" t="s">
        <v>68</v>
      </c>
    </row>
    <row r="49" spans="2:13" s="18" customFormat="1" ht="62.25" customHeight="1" x14ac:dyDescent="0.25">
      <c r="B49" s="65" t="s">
        <v>132</v>
      </c>
      <c r="C49" s="38" t="s">
        <v>24</v>
      </c>
      <c r="D49" s="23" t="s">
        <v>71</v>
      </c>
      <c r="E49" s="56">
        <v>12000</v>
      </c>
      <c r="F49" s="25" t="s">
        <v>64</v>
      </c>
      <c r="G49" s="26" t="s">
        <v>125</v>
      </c>
      <c r="H49" s="23"/>
    </row>
    <row r="50" spans="2:13" s="18" customFormat="1" ht="62.25" customHeight="1" x14ac:dyDescent="0.25">
      <c r="B50" s="65" t="s">
        <v>132</v>
      </c>
      <c r="C50" s="38" t="s">
        <v>122</v>
      </c>
      <c r="D50" s="23" t="s">
        <v>123</v>
      </c>
      <c r="E50" s="56">
        <v>1000</v>
      </c>
      <c r="F50" s="25" t="s">
        <v>61</v>
      </c>
      <c r="G50" s="26" t="s">
        <v>125</v>
      </c>
      <c r="H50" s="23"/>
    </row>
    <row r="51" spans="2:13" s="18" customFormat="1" ht="60.75" customHeight="1" x14ac:dyDescent="0.25">
      <c r="B51" s="65" t="s">
        <v>132</v>
      </c>
      <c r="C51" s="23" t="s">
        <v>82</v>
      </c>
      <c r="D51" s="23" t="s">
        <v>83</v>
      </c>
      <c r="E51" s="56">
        <v>20000</v>
      </c>
      <c r="F51" s="25" t="s">
        <v>64</v>
      </c>
      <c r="G51" s="26" t="s">
        <v>125</v>
      </c>
      <c r="H51" s="31"/>
    </row>
    <row r="52" spans="2:13" s="18" customFormat="1" ht="36.75" customHeight="1" x14ac:dyDescent="0.25">
      <c r="B52" s="67" t="s">
        <v>132</v>
      </c>
      <c r="C52" s="68" t="s">
        <v>12</v>
      </c>
      <c r="D52" s="68" t="s">
        <v>19</v>
      </c>
      <c r="E52" s="69">
        <f>80000+110000</f>
        <v>190000</v>
      </c>
      <c r="F52" s="70" t="s">
        <v>64</v>
      </c>
      <c r="G52" s="71" t="s">
        <v>125</v>
      </c>
      <c r="H52" s="72"/>
    </row>
    <row r="53" spans="2:13" s="18" customFormat="1" ht="54.75" customHeight="1" x14ac:dyDescent="0.25">
      <c r="B53" s="65" t="s">
        <v>132</v>
      </c>
      <c r="C53" s="23" t="s">
        <v>115</v>
      </c>
      <c r="D53" s="23" t="s">
        <v>116</v>
      </c>
      <c r="E53" s="56">
        <v>15000</v>
      </c>
      <c r="F53" s="25" t="s">
        <v>61</v>
      </c>
      <c r="G53" s="26" t="s">
        <v>125</v>
      </c>
      <c r="H53" s="26" t="s">
        <v>79</v>
      </c>
    </row>
    <row r="54" spans="2:13" s="1" customFormat="1" ht="75" customHeight="1" x14ac:dyDescent="0.25">
      <c r="B54" s="126" t="s">
        <v>135</v>
      </c>
      <c r="C54" s="127"/>
      <c r="D54" s="127"/>
      <c r="E54" s="16">
        <f>SUM(E55:E56)</f>
        <v>1710000</v>
      </c>
      <c r="F54" s="13"/>
      <c r="G54" s="14"/>
      <c r="H54" s="10"/>
      <c r="I54" s="61"/>
      <c r="J54" s="62"/>
    </row>
    <row r="55" spans="2:13" s="18" customFormat="1" ht="59.25" customHeight="1" x14ac:dyDescent="0.25">
      <c r="B55" s="65" t="s">
        <v>132</v>
      </c>
      <c r="C55" s="23" t="s">
        <v>24</v>
      </c>
      <c r="D55" s="23" t="s">
        <v>71</v>
      </c>
      <c r="E55" s="56">
        <f>1710000-142500</f>
        <v>1567500</v>
      </c>
      <c r="F55" s="25" t="s">
        <v>64</v>
      </c>
      <c r="G55" s="26" t="s">
        <v>125</v>
      </c>
      <c r="H55" s="41"/>
    </row>
    <row r="56" spans="2:13" s="18" customFormat="1" ht="98.25" customHeight="1" x14ac:dyDescent="0.25">
      <c r="B56" s="65" t="s">
        <v>132</v>
      </c>
      <c r="C56" s="23" t="s">
        <v>24</v>
      </c>
      <c r="D56" s="23" t="s">
        <v>71</v>
      </c>
      <c r="E56" s="56">
        <v>142500</v>
      </c>
      <c r="F56" s="25" t="s">
        <v>61</v>
      </c>
      <c r="G56" s="26" t="s">
        <v>125</v>
      </c>
      <c r="H56" s="48" t="s">
        <v>128</v>
      </c>
      <c r="J56" s="21"/>
    </row>
    <row r="57" spans="2:13" s="1" customFormat="1" ht="31.5" customHeight="1" x14ac:dyDescent="0.25">
      <c r="B57" s="126" t="s">
        <v>136</v>
      </c>
      <c r="C57" s="127"/>
      <c r="D57" s="127"/>
      <c r="E57" s="16">
        <f>SUM(E58:E61)</f>
        <v>22370000</v>
      </c>
      <c r="F57" s="13"/>
      <c r="G57" s="9"/>
      <c r="H57" s="10"/>
      <c r="I57" s="61"/>
      <c r="J57" s="62"/>
    </row>
    <row r="58" spans="2:13" s="18" customFormat="1" ht="75.75" customHeight="1" x14ac:dyDescent="0.25">
      <c r="B58" s="65" t="s">
        <v>132</v>
      </c>
      <c r="C58" s="23" t="s">
        <v>7</v>
      </c>
      <c r="D58" s="23" t="s">
        <v>57</v>
      </c>
      <c r="E58" s="56">
        <f>123443.2+100000-100000</f>
        <v>123443.20000000001</v>
      </c>
      <c r="F58" s="25" t="s">
        <v>61</v>
      </c>
      <c r="G58" s="26" t="s">
        <v>125</v>
      </c>
      <c r="H58" s="48" t="s">
        <v>97</v>
      </c>
    </row>
    <row r="59" spans="2:13" s="18" customFormat="1" ht="75.75" customHeight="1" x14ac:dyDescent="0.25">
      <c r="B59" s="66" t="s">
        <v>133</v>
      </c>
      <c r="C59" s="23" t="s">
        <v>7</v>
      </c>
      <c r="D59" s="23" t="s">
        <v>57</v>
      </c>
      <c r="E59" s="56">
        <v>100000</v>
      </c>
      <c r="F59" s="25" t="s">
        <v>61</v>
      </c>
      <c r="G59" s="26" t="s">
        <v>125</v>
      </c>
      <c r="H59" s="48" t="s">
        <v>97</v>
      </c>
    </row>
    <row r="60" spans="2:13" s="18" customFormat="1" ht="121.5" customHeight="1" x14ac:dyDescent="0.25">
      <c r="B60" s="65" t="s">
        <v>132</v>
      </c>
      <c r="C60" s="23">
        <v>33600000</v>
      </c>
      <c r="D60" s="23" t="s">
        <v>29</v>
      </c>
      <c r="E60" s="56">
        <v>663000</v>
      </c>
      <c r="F60" s="25" t="s">
        <v>64</v>
      </c>
      <c r="G60" s="26" t="s">
        <v>125</v>
      </c>
      <c r="H60" s="41"/>
      <c r="J60" s="21"/>
      <c r="L60" s="21"/>
      <c r="M60" s="21"/>
    </row>
    <row r="61" spans="2:13" s="18" customFormat="1" ht="87.75" customHeight="1" x14ac:dyDescent="0.25">
      <c r="B61" s="65" t="s">
        <v>132</v>
      </c>
      <c r="C61" s="23" t="s">
        <v>32</v>
      </c>
      <c r="D61" s="23" t="s">
        <v>29</v>
      </c>
      <c r="E61" s="56">
        <v>21483556.800000001</v>
      </c>
      <c r="F61" s="25" t="s">
        <v>61</v>
      </c>
      <c r="G61" s="26" t="s">
        <v>125</v>
      </c>
      <c r="H61" s="48" t="s">
        <v>98</v>
      </c>
      <c r="J61" s="21"/>
      <c r="K61" s="21"/>
    </row>
    <row r="62" spans="2:13" s="1" customFormat="1" ht="60" customHeight="1" x14ac:dyDescent="0.25">
      <c r="B62" s="126" t="s">
        <v>137</v>
      </c>
      <c r="C62" s="127"/>
      <c r="D62" s="127"/>
      <c r="E62" s="16">
        <f>SUM(E63:E67)</f>
        <v>1700000</v>
      </c>
      <c r="F62" s="13"/>
      <c r="G62" s="14"/>
      <c r="H62" s="10"/>
      <c r="I62" s="61"/>
      <c r="J62" s="62"/>
    </row>
    <row r="63" spans="2:13" s="18" customFormat="1" ht="36.75" customHeight="1" x14ac:dyDescent="0.25">
      <c r="B63" s="65" t="s">
        <v>132</v>
      </c>
      <c r="C63" s="23" t="s">
        <v>7</v>
      </c>
      <c r="D63" s="23" t="s">
        <v>28</v>
      </c>
      <c r="E63" s="56">
        <v>52272.9</v>
      </c>
      <c r="F63" s="25" t="s">
        <v>64</v>
      </c>
      <c r="G63" s="26" t="s">
        <v>125</v>
      </c>
      <c r="H63" s="41"/>
    </row>
    <row r="64" spans="2:13" s="18" customFormat="1" ht="30.75" customHeight="1" x14ac:dyDescent="0.25">
      <c r="B64" s="65" t="s">
        <v>132</v>
      </c>
      <c r="C64" s="23" t="s">
        <v>32</v>
      </c>
      <c r="D64" s="23" t="s">
        <v>29</v>
      </c>
      <c r="E64" s="56">
        <f>200847.5</f>
        <v>200847.5</v>
      </c>
      <c r="F64" s="25" t="s">
        <v>64</v>
      </c>
      <c r="G64" s="26" t="s">
        <v>125</v>
      </c>
      <c r="H64" s="41"/>
    </row>
    <row r="65" spans="2:10" s="18" customFormat="1" ht="45" customHeight="1" x14ac:dyDescent="0.25">
      <c r="B65" s="65" t="s">
        <v>132</v>
      </c>
      <c r="C65" s="23" t="s">
        <v>89</v>
      </c>
      <c r="D65" s="23" t="s">
        <v>90</v>
      </c>
      <c r="E65" s="56">
        <f>816000-200000</f>
        <v>616000</v>
      </c>
      <c r="F65" s="25" t="s">
        <v>64</v>
      </c>
      <c r="G65" s="26" t="s">
        <v>125</v>
      </c>
      <c r="H65" s="48"/>
    </row>
    <row r="66" spans="2:10" s="18" customFormat="1" ht="78.75" x14ac:dyDescent="0.25">
      <c r="B66" s="65" t="s">
        <v>132</v>
      </c>
      <c r="C66" s="23" t="s">
        <v>24</v>
      </c>
      <c r="D66" s="23" t="s">
        <v>71</v>
      </c>
      <c r="E66" s="56">
        <v>69239.960000000006</v>
      </c>
      <c r="F66" s="25" t="s">
        <v>61</v>
      </c>
      <c r="G66" s="26" t="s">
        <v>125</v>
      </c>
      <c r="H66" s="48" t="s">
        <v>129</v>
      </c>
      <c r="J66" s="21"/>
    </row>
    <row r="67" spans="2:10" s="18" customFormat="1" ht="60" customHeight="1" x14ac:dyDescent="0.25">
      <c r="B67" s="65" t="s">
        <v>132</v>
      </c>
      <c r="C67" s="23" t="s">
        <v>24</v>
      </c>
      <c r="D67" s="23" t="s">
        <v>71</v>
      </c>
      <c r="E67" s="56">
        <f>830879.6-69239.96</f>
        <v>761639.64</v>
      </c>
      <c r="F67" s="25" t="s">
        <v>64</v>
      </c>
      <c r="G67" s="26" t="s">
        <v>125</v>
      </c>
      <c r="H67" s="48"/>
    </row>
    <row r="68" spans="2:10" s="1" customFormat="1" ht="65.25" customHeight="1" x14ac:dyDescent="0.25">
      <c r="B68" s="126" t="s">
        <v>138</v>
      </c>
      <c r="C68" s="127"/>
      <c r="D68" s="127"/>
      <c r="E68" s="16">
        <f>SUM(E69:E71)</f>
        <v>1630006</v>
      </c>
      <c r="F68" s="13"/>
      <c r="G68" s="14"/>
      <c r="H68" s="10"/>
      <c r="I68" s="61"/>
      <c r="J68" s="62"/>
    </row>
    <row r="69" spans="2:10" s="18" customFormat="1" ht="33.75" x14ac:dyDescent="0.25">
      <c r="B69" s="65" t="s">
        <v>132</v>
      </c>
      <c r="C69" s="36" t="s">
        <v>25</v>
      </c>
      <c r="D69" s="36" t="s">
        <v>69</v>
      </c>
      <c r="E69" s="56">
        <v>100000</v>
      </c>
      <c r="F69" s="43" t="s">
        <v>64</v>
      </c>
      <c r="G69" s="26" t="s">
        <v>125</v>
      </c>
      <c r="H69" s="44"/>
    </row>
    <row r="70" spans="2:10" s="18" customFormat="1" ht="78.75" x14ac:dyDescent="0.25">
      <c r="B70" s="65" t="s">
        <v>132</v>
      </c>
      <c r="C70" s="23">
        <v>85100000</v>
      </c>
      <c r="D70" s="23" t="s">
        <v>71</v>
      </c>
      <c r="E70" s="56">
        <v>127500.5</v>
      </c>
      <c r="F70" s="25" t="s">
        <v>61</v>
      </c>
      <c r="G70" s="26" t="s">
        <v>125</v>
      </c>
      <c r="H70" s="45" t="s">
        <v>124</v>
      </c>
    </row>
    <row r="71" spans="2:10" s="18" customFormat="1" ht="60.75" customHeight="1" x14ac:dyDescent="0.25">
      <c r="B71" s="65" t="s">
        <v>132</v>
      </c>
      <c r="C71" s="23">
        <v>85100000</v>
      </c>
      <c r="D71" s="23" t="s">
        <v>71</v>
      </c>
      <c r="E71" s="56">
        <f>1530006-127500.5</f>
        <v>1402505.5</v>
      </c>
      <c r="F71" s="25" t="s">
        <v>64</v>
      </c>
      <c r="G71" s="26" t="s">
        <v>125</v>
      </c>
      <c r="H71" s="45"/>
    </row>
    <row r="72" spans="2:10" s="1" customFormat="1" ht="61.5" customHeight="1" x14ac:dyDescent="0.25">
      <c r="B72" s="126" t="s">
        <v>139</v>
      </c>
      <c r="C72" s="127"/>
      <c r="D72" s="127"/>
      <c r="E72" s="16">
        <f>SUM(E73:E74)</f>
        <v>170000</v>
      </c>
      <c r="F72" s="13"/>
      <c r="G72" s="14"/>
      <c r="H72" s="10"/>
      <c r="I72" s="61"/>
      <c r="J72" s="62"/>
    </row>
    <row r="73" spans="2:10" s="18" customFormat="1" ht="70.5" customHeight="1" x14ac:dyDescent="0.25">
      <c r="B73" s="65" t="s">
        <v>132</v>
      </c>
      <c r="C73" s="23" t="s">
        <v>24</v>
      </c>
      <c r="D73" s="23" t="s">
        <v>71</v>
      </c>
      <c r="E73" s="56">
        <v>14166.6</v>
      </c>
      <c r="F73" s="25" t="s">
        <v>61</v>
      </c>
      <c r="G73" s="26" t="s">
        <v>125</v>
      </c>
      <c r="H73" s="48" t="s">
        <v>76</v>
      </c>
    </row>
    <row r="74" spans="2:10" s="18" customFormat="1" ht="75" customHeight="1" x14ac:dyDescent="0.25">
      <c r="B74" s="65" t="s">
        <v>132</v>
      </c>
      <c r="C74" s="23" t="s">
        <v>24</v>
      </c>
      <c r="D74" s="23" t="s">
        <v>71</v>
      </c>
      <c r="E74" s="56">
        <f>170000-14166.6</f>
        <v>155833.4</v>
      </c>
      <c r="F74" s="25" t="s">
        <v>64</v>
      </c>
      <c r="G74" s="26" t="s">
        <v>125</v>
      </c>
      <c r="H74" s="48"/>
    </row>
    <row r="75" spans="2:10" s="1" customFormat="1" ht="65.25" customHeight="1" x14ac:dyDescent="0.25">
      <c r="B75" s="121" t="s">
        <v>140</v>
      </c>
      <c r="C75" s="122"/>
      <c r="D75" s="122"/>
      <c r="E75" s="16">
        <f>SUM(E76:E80)</f>
        <v>1033769.8999999999</v>
      </c>
      <c r="F75" s="13"/>
      <c r="G75" s="14"/>
      <c r="H75" s="60"/>
      <c r="I75" s="61"/>
      <c r="J75" s="62"/>
    </row>
    <row r="76" spans="2:10" s="18" customFormat="1" ht="49.5" customHeight="1" x14ac:dyDescent="0.25">
      <c r="B76" s="65" t="s">
        <v>132</v>
      </c>
      <c r="C76" s="23" t="s">
        <v>14</v>
      </c>
      <c r="D76" s="23" t="s">
        <v>15</v>
      </c>
      <c r="E76" s="56">
        <v>24200</v>
      </c>
      <c r="F76" s="25" t="s">
        <v>60</v>
      </c>
      <c r="G76" s="26" t="s">
        <v>125</v>
      </c>
      <c r="H76" s="41"/>
    </row>
    <row r="77" spans="2:10" s="18" customFormat="1" ht="33.75" x14ac:dyDescent="0.25">
      <c r="B77" s="65" t="s">
        <v>132</v>
      </c>
      <c r="C77" s="28">
        <v>33100000</v>
      </c>
      <c r="D77" s="28" t="s">
        <v>28</v>
      </c>
      <c r="E77" s="56">
        <v>406770.2</v>
      </c>
      <c r="F77" s="29" t="s">
        <v>64</v>
      </c>
      <c r="G77" s="26" t="s">
        <v>125</v>
      </c>
      <c r="H77" s="46"/>
    </row>
    <row r="78" spans="2:10" s="18" customFormat="1" ht="60.75" customHeight="1" x14ac:dyDescent="0.25">
      <c r="B78" s="65" t="s">
        <v>132</v>
      </c>
      <c r="C78" s="23" t="s">
        <v>59</v>
      </c>
      <c r="D78" s="23" t="s">
        <v>44</v>
      </c>
      <c r="E78" s="56">
        <v>15000</v>
      </c>
      <c r="F78" s="25" t="s">
        <v>64</v>
      </c>
      <c r="G78" s="26" t="s">
        <v>125</v>
      </c>
      <c r="H78" s="41"/>
    </row>
    <row r="79" spans="2:10" s="18" customFormat="1" ht="75" customHeight="1" x14ac:dyDescent="0.25">
      <c r="B79" s="65" t="s">
        <v>132</v>
      </c>
      <c r="C79" s="23">
        <v>85100000</v>
      </c>
      <c r="D79" s="23" t="s">
        <v>71</v>
      </c>
      <c r="E79" s="56">
        <v>48983</v>
      </c>
      <c r="F79" s="25" t="s">
        <v>61</v>
      </c>
      <c r="G79" s="26" t="s">
        <v>125</v>
      </c>
      <c r="H79" s="48" t="s">
        <v>126</v>
      </c>
    </row>
    <row r="80" spans="2:10" s="18" customFormat="1" ht="65.25" customHeight="1" x14ac:dyDescent="0.25">
      <c r="B80" s="65" t="s">
        <v>132</v>
      </c>
      <c r="C80" s="23">
        <v>85100000</v>
      </c>
      <c r="D80" s="23" t="s">
        <v>71</v>
      </c>
      <c r="E80" s="56">
        <f>587800-48983.3</f>
        <v>538816.69999999995</v>
      </c>
      <c r="F80" s="25" t="s">
        <v>64</v>
      </c>
      <c r="G80" s="26" t="s">
        <v>125</v>
      </c>
      <c r="H80" s="48"/>
    </row>
    <row r="81" spans="2:10" s="1" customFormat="1" ht="80.25" customHeight="1" x14ac:dyDescent="0.25">
      <c r="B81" s="126" t="s">
        <v>141</v>
      </c>
      <c r="C81" s="127"/>
      <c r="D81" s="127"/>
      <c r="E81" s="16">
        <f>SUM(E82:E82)</f>
        <v>1250000</v>
      </c>
      <c r="F81" s="13"/>
      <c r="G81" s="14"/>
      <c r="H81" s="10"/>
      <c r="I81" s="61"/>
      <c r="J81" s="62"/>
    </row>
    <row r="82" spans="2:10" s="18" customFormat="1" ht="84.75" customHeight="1" x14ac:dyDescent="0.25">
      <c r="B82" s="65" t="s">
        <v>132</v>
      </c>
      <c r="C82" s="23" t="s">
        <v>32</v>
      </c>
      <c r="D82" s="23" t="s">
        <v>29</v>
      </c>
      <c r="E82" s="56">
        <v>1250000</v>
      </c>
      <c r="F82" s="25" t="s">
        <v>64</v>
      </c>
      <c r="G82" s="26" t="s">
        <v>125</v>
      </c>
      <c r="H82" s="32"/>
    </row>
    <row r="83" spans="2:10" s="1" customFormat="1" ht="57.75" customHeight="1" x14ac:dyDescent="0.25">
      <c r="B83" s="119" t="s">
        <v>142</v>
      </c>
      <c r="C83" s="120"/>
      <c r="D83" s="120"/>
      <c r="E83" s="57">
        <f>SUM(E84:E87)</f>
        <v>4000000.0000000005</v>
      </c>
      <c r="F83" s="58"/>
      <c r="G83" s="58"/>
      <c r="H83" s="59"/>
      <c r="I83" s="61"/>
      <c r="J83" s="62"/>
    </row>
    <row r="84" spans="2:10" s="18" customFormat="1" ht="29.25" customHeight="1" x14ac:dyDescent="0.25">
      <c r="B84" s="65" t="s">
        <v>132</v>
      </c>
      <c r="C84" s="38">
        <v>33100000</v>
      </c>
      <c r="D84" s="23" t="s">
        <v>8</v>
      </c>
      <c r="E84" s="56">
        <v>124876.2</v>
      </c>
      <c r="F84" s="25" t="s">
        <v>64</v>
      </c>
      <c r="G84" s="26" t="s">
        <v>125</v>
      </c>
      <c r="H84" s="26"/>
    </row>
    <row r="85" spans="2:10" s="18" customFormat="1" ht="33.75" x14ac:dyDescent="0.25">
      <c r="B85" s="65" t="s">
        <v>132</v>
      </c>
      <c r="C85" s="38" t="s">
        <v>32</v>
      </c>
      <c r="D85" s="23" t="s">
        <v>9</v>
      </c>
      <c r="E85" s="56">
        <f>2995349.4-3495.8</f>
        <v>2991853.6</v>
      </c>
      <c r="F85" s="25" t="s">
        <v>64</v>
      </c>
      <c r="G85" s="26" t="s">
        <v>125</v>
      </c>
      <c r="H85" s="26"/>
    </row>
    <row r="86" spans="2:10" s="18" customFormat="1" ht="67.5" x14ac:dyDescent="0.25">
      <c r="B86" s="65" t="s">
        <v>132</v>
      </c>
      <c r="C86" s="38" t="s">
        <v>24</v>
      </c>
      <c r="D86" s="23" t="s">
        <v>71</v>
      </c>
      <c r="E86" s="56">
        <v>73605.850000000006</v>
      </c>
      <c r="F86" s="25" t="s">
        <v>61</v>
      </c>
      <c r="G86" s="26" t="s">
        <v>125</v>
      </c>
      <c r="H86" s="40" t="s">
        <v>127</v>
      </c>
    </row>
    <row r="87" spans="2:10" s="18" customFormat="1" ht="42.75" customHeight="1" x14ac:dyDescent="0.25">
      <c r="B87" s="65" t="s">
        <v>132</v>
      </c>
      <c r="C87" s="23" t="s">
        <v>24</v>
      </c>
      <c r="D87" s="23" t="s">
        <v>71</v>
      </c>
      <c r="E87" s="56">
        <f>883270.2-73605.85</f>
        <v>809664.35</v>
      </c>
      <c r="F87" s="25" t="s">
        <v>64</v>
      </c>
      <c r="G87" s="26" t="s">
        <v>125</v>
      </c>
      <c r="H87" s="40"/>
    </row>
    <row r="88" spans="2:10" ht="122.25" customHeight="1" x14ac:dyDescent="0.25">
      <c r="B88" s="126" t="s">
        <v>143</v>
      </c>
      <c r="C88" s="127"/>
      <c r="D88" s="127"/>
      <c r="E88" s="16">
        <f>SUM(E89)</f>
        <v>2412977.7999999998</v>
      </c>
      <c r="F88" s="13"/>
      <c r="G88" s="14"/>
      <c r="H88" s="10"/>
      <c r="I88" s="61"/>
      <c r="J88" s="63"/>
    </row>
    <row r="89" spans="2:10" s="18" customFormat="1" ht="117.75" customHeight="1" x14ac:dyDescent="0.25">
      <c r="B89" s="65" t="s">
        <v>132</v>
      </c>
      <c r="C89" s="23" t="s">
        <v>32</v>
      </c>
      <c r="D89" s="23" t="s">
        <v>29</v>
      </c>
      <c r="E89" s="56">
        <f>1240900.7+1172077.1</f>
        <v>2412977.7999999998</v>
      </c>
      <c r="F89" s="25" t="s">
        <v>64</v>
      </c>
      <c r="G89" s="26" t="s">
        <v>125</v>
      </c>
      <c r="H89" s="48"/>
    </row>
    <row r="90" spans="2:10" s="1" customFormat="1" ht="57" customHeight="1" x14ac:dyDescent="0.25">
      <c r="B90" s="121" t="s">
        <v>144</v>
      </c>
      <c r="C90" s="122"/>
      <c r="D90" s="122"/>
      <c r="E90" s="16">
        <f>SUM(E91:E94)</f>
        <v>437054.3</v>
      </c>
      <c r="F90" s="13"/>
      <c r="G90" s="60"/>
      <c r="H90" s="60"/>
      <c r="I90" s="61"/>
      <c r="J90" s="62"/>
    </row>
    <row r="91" spans="2:10" s="18" customFormat="1" ht="59.25" customHeight="1" x14ac:dyDescent="0.25">
      <c r="B91" s="67" t="s">
        <v>148</v>
      </c>
      <c r="C91" s="68">
        <v>33100000</v>
      </c>
      <c r="D91" s="68" t="s">
        <v>28</v>
      </c>
      <c r="E91" s="69">
        <v>20000</v>
      </c>
      <c r="F91" s="70" t="s">
        <v>64</v>
      </c>
      <c r="G91" s="71" t="s">
        <v>125</v>
      </c>
      <c r="H91" s="73"/>
    </row>
    <row r="92" spans="2:10" s="18" customFormat="1" ht="38.25" x14ac:dyDescent="0.25">
      <c r="B92" s="65" t="s">
        <v>148</v>
      </c>
      <c r="C92" s="36">
        <v>33600000</v>
      </c>
      <c r="D92" s="36" t="s">
        <v>29</v>
      </c>
      <c r="E92" s="56">
        <f>266824.3+68000-17770</f>
        <v>317054.3</v>
      </c>
      <c r="F92" s="43" t="s">
        <v>64</v>
      </c>
      <c r="G92" s="26" t="s">
        <v>125</v>
      </c>
      <c r="H92" s="44"/>
    </row>
    <row r="93" spans="2:10" s="18" customFormat="1" ht="78.75" x14ac:dyDescent="0.25">
      <c r="B93" s="65" t="s">
        <v>132</v>
      </c>
      <c r="C93" s="38" t="s">
        <v>103</v>
      </c>
      <c r="D93" s="23" t="s">
        <v>71</v>
      </c>
      <c r="E93" s="56">
        <v>8645.83</v>
      </c>
      <c r="F93" s="25" t="s">
        <v>61</v>
      </c>
      <c r="G93" s="26" t="s">
        <v>125</v>
      </c>
      <c r="H93" s="45" t="s">
        <v>130</v>
      </c>
    </row>
    <row r="94" spans="2:10" s="18" customFormat="1" ht="51" customHeight="1" x14ac:dyDescent="0.25">
      <c r="B94" s="65" t="s">
        <v>132</v>
      </c>
      <c r="C94" s="38" t="s">
        <v>24</v>
      </c>
      <c r="D94" s="23" t="s">
        <v>71</v>
      </c>
      <c r="E94" s="56">
        <f>103750-8645.83-3750</f>
        <v>91354.17</v>
      </c>
      <c r="F94" s="25" t="s">
        <v>64</v>
      </c>
      <c r="G94" s="26" t="s">
        <v>125</v>
      </c>
      <c r="H94" s="45"/>
    </row>
    <row r="95" spans="2:10" ht="59.25" customHeight="1" x14ac:dyDescent="0.25">
      <c r="B95" s="126" t="s">
        <v>145</v>
      </c>
      <c r="C95" s="127"/>
      <c r="D95" s="127"/>
      <c r="E95" s="16">
        <f>SUM(E96:E96)</f>
        <v>2100000</v>
      </c>
      <c r="F95" s="13"/>
      <c r="G95" s="14"/>
      <c r="H95" s="10"/>
      <c r="I95" s="61"/>
      <c r="J95" s="63"/>
    </row>
    <row r="96" spans="2:10" s="18" customFormat="1" ht="42.75" customHeight="1" x14ac:dyDescent="0.25">
      <c r="B96" s="65" t="s">
        <v>132</v>
      </c>
      <c r="C96" s="23" t="s">
        <v>25</v>
      </c>
      <c r="D96" s="23" t="s">
        <v>69</v>
      </c>
      <c r="E96" s="56">
        <f>2100000</f>
        <v>2100000</v>
      </c>
      <c r="F96" s="25" t="s">
        <v>64</v>
      </c>
      <c r="G96" s="26" t="s">
        <v>125</v>
      </c>
      <c r="H96" s="53"/>
    </row>
    <row r="97" spans="2:10" ht="70.5" customHeight="1" x14ac:dyDescent="0.25">
      <c r="B97" s="126" t="s">
        <v>146</v>
      </c>
      <c r="C97" s="127"/>
      <c r="D97" s="127"/>
      <c r="E97" s="16">
        <f>SUM(E98:E99)</f>
        <v>396000</v>
      </c>
      <c r="F97" s="13"/>
      <c r="G97" s="14"/>
      <c r="H97" s="10"/>
      <c r="I97" s="61"/>
      <c r="J97" s="63"/>
    </row>
    <row r="98" spans="2:10" s="18" customFormat="1" ht="33.75" x14ac:dyDescent="0.25">
      <c r="B98" s="65" t="s">
        <v>132</v>
      </c>
      <c r="C98" s="28" t="s">
        <v>32</v>
      </c>
      <c r="D98" s="28" t="s">
        <v>29</v>
      </c>
      <c r="E98" s="24">
        <f>264000</f>
        <v>264000</v>
      </c>
      <c r="F98" s="29" t="s">
        <v>64</v>
      </c>
      <c r="G98" s="26" t="s">
        <v>125</v>
      </c>
      <c r="H98" s="27"/>
    </row>
    <row r="99" spans="2:10" s="18" customFormat="1" ht="33.75" x14ac:dyDescent="0.25">
      <c r="B99" s="65" t="s">
        <v>132</v>
      </c>
      <c r="C99" s="28" t="s">
        <v>7</v>
      </c>
      <c r="D99" s="28" t="s">
        <v>28</v>
      </c>
      <c r="E99" s="24">
        <v>132000</v>
      </c>
      <c r="F99" s="29" t="s">
        <v>64</v>
      </c>
      <c r="G99" s="26" t="s">
        <v>125</v>
      </c>
      <c r="H99" s="55"/>
    </row>
  </sheetData>
  <autoFilter ref="A8:H99"/>
  <mergeCells count="20">
    <mergeCell ref="B95:D95"/>
    <mergeCell ref="B97:D97"/>
    <mergeCell ref="B72:D72"/>
    <mergeCell ref="B75:D75"/>
    <mergeCell ref="B81:D81"/>
    <mergeCell ref="B83:D83"/>
    <mergeCell ref="B88:D88"/>
    <mergeCell ref="B90:D90"/>
    <mergeCell ref="B68:D68"/>
    <mergeCell ref="B2:H2"/>
    <mergeCell ref="B3:H3"/>
    <mergeCell ref="B4:E4"/>
    <mergeCell ref="F4:H4"/>
    <mergeCell ref="B5:E5"/>
    <mergeCell ref="F5:H5"/>
    <mergeCell ref="B6:F6"/>
    <mergeCell ref="B9:D9"/>
    <mergeCell ref="B54:D54"/>
    <mergeCell ref="B57:D57"/>
    <mergeCell ref="B62:D62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23"/>
  <sheetViews>
    <sheetView tabSelected="1" topLeftCell="B61" zoomScaleNormal="100" zoomScaleSheetLayoutView="80" workbookViewId="0">
      <selection activeCell="E9" sqref="E9"/>
    </sheetView>
  </sheetViews>
  <sheetFormatPr defaultRowHeight="15" x14ac:dyDescent="0.2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1.5703125" bestFit="1" customWidth="1"/>
    <col min="12" max="12" width="14.28515625" bestFit="1" customWidth="1"/>
    <col min="13" max="13" width="11.5703125" bestFit="1" customWidth="1"/>
  </cols>
  <sheetData>
    <row r="2" spans="2:9" ht="18.75" x14ac:dyDescent="0.25">
      <c r="B2" s="123" t="s">
        <v>41</v>
      </c>
      <c r="C2" s="123"/>
      <c r="D2" s="123"/>
      <c r="E2" s="123"/>
      <c r="F2" s="123"/>
      <c r="G2" s="123"/>
      <c r="H2" s="123"/>
    </row>
    <row r="3" spans="2:9" ht="18.75" x14ac:dyDescent="0.3">
      <c r="B3" s="124" t="s">
        <v>4</v>
      </c>
      <c r="C3" s="124"/>
      <c r="D3" s="124"/>
      <c r="E3" s="124"/>
      <c r="F3" s="124"/>
      <c r="G3" s="124"/>
      <c r="H3" s="124"/>
    </row>
    <row r="4" spans="2:9" x14ac:dyDescent="0.25">
      <c r="B4" s="125" t="s">
        <v>54</v>
      </c>
      <c r="C4" s="125"/>
      <c r="D4" s="125"/>
      <c r="E4" s="125"/>
      <c r="F4" s="125" t="s">
        <v>21</v>
      </c>
      <c r="G4" s="125"/>
      <c r="H4" s="125"/>
    </row>
    <row r="5" spans="2:9" x14ac:dyDescent="0.25">
      <c r="B5" s="125" t="s">
        <v>20</v>
      </c>
      <c r="C5" s="125"/>
      <c r="D5" s="125"/>
      <c r="E5" s="125"/>
      <c r="F5" s="125" t="s">
        <v>10</v>
      </c>
      <c r="G5" s="125"/>
      <c r="H5" s="125"/>
      <c r="I5" s="109"/>
    </row>
    <row r="6" spans="2:9" ht="24.75" customHeight="1" x14ac:dyDescent="0.25">
      <c r="B6" s="115" t="s">
        <v>22</v>
      </c>
      <c r="C6" s="116"/>
      <c r="D6" s="116"/>
      <c r="E6" s="116"/>
      <c r="F6" s="116"/>
      <c r="G6" s="2">
        <f>E9+E70+E75+E81+E87+E91+E94+E100+E102+E107+E109+E115+E120</f>
        <v>43592691.600000001</v>
      </c>
      <c r="H6" s="3" t="s">
        <v>23</v>
      </c>
    </row>
    <row r="7" spans="2:9" ht="25.5" x14ac:dyDescent="0.2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9" x14ac:dyDescent="0.25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9" ht="60.75" customHeight="1" x14ac:dyDescent="0.25">
      <c r="B9" s="117" t="s">
        <v>131</v>
      </c>
      <c r="C9" s="118"/>
      <c r="D9" s="118"/>
      <c r="E9" s="15">
        <f>SUM(E10:E69)</f>
        <v>4328024.5</v>
      </c>
      <c r="F9" s="11"/>
      <c r="G9" s="9"/>
      <c r="H9" s="10"/>
    </row>
    <row r="10" spans="2:9" s="18" customFormat="1" ht="33.75" x14ac:dyDescent="0.2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9" s="18" customFormat="1" ht="33.75" x14ac:dyDescent="0.2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9" s="18" customFormat="1" ht="25.5" x14ac:dyDescent="0.25">
      <c r="B12" s="65" t="s">
        <v>132</v>
      </c>
      <c r="C12" s="78" t="s">
        <v>169</v>
      </c>
      <c r="D12" s="78" t="s">
        <v>170</v>
      </c>
      <c r="E12" s="56">
        <v>6100</v>
      </c>
      <c r="F12" s="79" t="s">
        <v>60</v>
      </c>
      <c r="G12" s="110" t="s">
        <v>160</v>
      </c>
      <c r="H12" s="78"/>
    </row>
    <row r="13" spans="2:9" s="18" customFormat="1" ht="33.75" x14ac:dyDescent="0.25">
      <c r="B13" s="65" t="s">
        <v>132</v>
      </c>
      <c r="C13" s="23" t="s">
        <v>100</v>
      </c>
      <c r="D13" s="23" t="s">
        <v>101</v>
      </c>
      <c r="E13" s="56">
        <v>500</v>
      </c>
      <c r="F13" s="25" t="s">
        <v>61</v>
      </c>
      <c r="G13" s="26" t="s">
        <v>125</v>
      </c>
      <c r="H13" s="23"/>
    </row>
    <row r="14" spans="2:9" s="19" customFormat="1" ht="33.75" x14ac:dyDescent="0.25">
      <c r="B14" s="65" t="s">
        <v>132</v>
      </c>
      <c r="C14" s="28" t="s">
        <v>50</v>
      </c>
      <c r="D14" s="28" t="s">
        <v>52</v>
      </c>
      <c r="E14" s="56">
        <v>1600</v>
      </c>
      <c r="F14" s="29" t="s">
        <v>61</v>
      </c>
      <c r="G14" s="26" t="s">
        <v>125</v>
      </c>
      <c r="H14" s="28"/>
    </row>
    <row r="15" spans="2:9" s="106" customFormat="1" ht="38.25" customHeight="1" x14ac:dyDescent="0.25">
      <c r="B15" s="104" t="s">
        <v>132</v>
      </c>
      <c r="C15" s="28" t="s">
        <v>159</v>
      </c>
      <c r="D15" s="28" t="s">
        <v>158</v>
      </c>
      <c r="E15" s="24">
        <v>1973</v>
      </c>
      <c r="F15" s="29" t="s">
        <v>61</v>
      </c>
      <c r="G15" s="26" t="s">
        <v>152</v>
      </c>
      <c r="H15" s="28"/>
    </row>
    <row r="16" spans="2:9" s="18" customFormat="1" ht="49.5" customHeight="1" x14ac:dyDescent="0.25">
      <c r="B16" s="65" t="s">
        <v>132</v>
      </c>
      <c r="C16" s="78" t="s">
        <v>39</v>
      </c>
      <c r="D16" s="78" t="s">
        <v>58</v>
      </c>
      <c r="E16" s="56">
        <f>23100-15587</f>
        <v>7513</v>
      </c>
      <c r="F16" s="79" t="s">
        <v>60</v>
      </c>
      <c r="G16" s="80" t="s">
        <v>125</v>
      </c>
      <c r="H16" s="78"/>
    </row>
    <row r="17" spans="2:8" s="18" customFormat="1" ht="49.5" customHeight="1" x14ac:dyDescent="0.25">
      <c r="B17" s="65" t="s">
        <v>132</v>
      </c>
      <c r="C17" s="78" t="s">
        <v>39</v>
      </c>
      <c r="D17" s="78" t="s">
        <v>58</v>
      </c>
      <c r="E17" s="56">
        <f>60000+9000+15587</f>
        <v>84587</v>
      </c>
      <c r="F17" s="79" t="s">
        <v>64</v>
      </c>
      <c r="G17" s="80" t="s">
        <v>125</v>
      </c>
      <c r="H17" s="78"/>
    </row>
    <row r="18" spans="2:8" s="18" customFormat="1" ht="38.25" customHeight="1" x14ac:dyDescent="0.25">
      <c r="B18" s="65" t="s">
        <v>147</v>
      </c>
      <c r="C18" s="84">
        <v>31400000</v>
      </c>
      <c r="D18" s="78" t="s">
        <v>11</v>
      </c>
      <c r="E18" s="56">
        <f>3000+1800</f>
        <v>4800</v>
      </c>
      <c r="F18" s="79" t="s">
        <v>60</v>
      </c>
      <c r="G18" s="80" t="s">
        <v>125</v>
      </c>
      <c r="H18" s="81"/>
    </row>
    <row r="19" spans="2:8" s="18" customFormat="1" ht="56.25" x14ac:dyDescent="0.25">
      <c r="B19" s="65" t="s">
        <v>147</v>
      </c>
      <c r="C19" s="84">
        <v>33100000</v>
      </c>
      <c r="D19" s="78" t="s">
        <v>57</v>
      </c>
      <c r="E19" s="56">
        <v>2000</v>
      </c>
      <c r="F19" s="79" t="s">
        <v>61</v>
      </c>
      <c r="G19" s="80" t="s">
        <v>160</v>
      </c>
      <c r="H19" s="102" t="s">
        <v>85</v>
      </c>
    </row>
    <row r="20" spans="2:8" s="18" customFormat="1" ht="25.5" x14ac:dyDescent="0.25">
      <c r="B20" s="65" t="s">
        <v>147</v>
      </c>
      <c r="C20" s="84">
        <v>35800000</v>
      </c>
      <c r="D20" s="78" t="s">
        <v>171</v>
      </c>
      <c r="E20" s="56">
        <v>405</v>
      </c>
      <c r="F20" s="79" t="s">
        <v>61</v>
      </c>
      <c r="G20" s="80" t="s">
        <v>172</v>
      </c>
      <c r="H20" s="102"/>
    </row>
    <row r="21" spans="2:8" s="18" customFormat="1" ht="56.25" x14ac:dyDescent="0.25">
      <c r="B21" s="65" t="s">
        <v>147</v>
      </c>
      <c r="C21" s="84">
        <v>33600000</v>
      </c>
      <c r="D21" s="78" t="s">
        <v>29</v>
      </c>
      <c r="E21" s="56">
        <v>10000</v>
      </c>
      <c r="F21" s="79" t="s">
        <v>61</v>
      </c>
      <c r="G21" s="80" t="s">
        <v>160</v>
      </c>
      <c r="H21" s="102" t="s">
        <v>85</v>
      </c>
    </row>
    <row r="22" spans="2:8" s="18" customFormat="1" ht="38.25" customHeight="1" x14ac:dyDescent="0.25">
      <c r="B22" s="65" t="s">
        <v>147</v>
      </c>
      <c r="C22" s="78" t="s">
        <v>43</v>
      </c>
      <c r="D22" s="78" t="s">
        <v>42</v>
      </c>
      <c r="E22" s="56">
        <f>10000+7260+80</f>
        <v>17340</v>
      </c>
      <c r="F22" s="79" t="s">
        <v>60</v>
      </c>
      <c r="G22" s="80" t="s">
        <v>125</v>
      </c>
      <c r="H22" s="110"/>
    </row>
    <row r="23" spans="2:8" s="18" customFormat="1" ht="42" customHeight="1" x14ac:dyDescent="0.25">
      <c r="B23" s="65" t="s">
        <v>132</v>
      </c>
      <c r="C23" s="78" t="s">
        <v>174</v>
      </c>
      <c r="D23" s="78" t="s">
        <v>175</v>
      </c>
      <c r="E23" s="56">
        <v>3756</v>
      </c>
      <c r="F23" s="79" t="s">
        <v>91</v>
      </c>
      <c r="G23" s="80" t="s">
        <v>172</v>
      </c>
      <c r="H23" s="81"/>
    </row>
    <row r="24" spans="2:8" s="18" customFormat="1" ht="33.75" x14ac:dyDescent="0.25">
      <c r="B24" s="65" t="s">
        <v>132</v>
      </c>
      <c r="C24" s="23" t="s">
        <v>92</v>
      </c>
      <c r="D24" s="23" t="s">
        <v>93</v>
      </c>
      <c r="E24" s="56">
        <v>4800</v>
      </c>
      <c r="F24" s="25" t="s">
        <v>91</v>
      </c>
      <c r="G24" s="26" t="s">
        <v>125</v>
      </c>
      <c r="H24" s="31"/>
    </row>
    <row r="25" spans="2:8" s="18" customFormat="1" ht="33.75" x14ac:dyDescent="0.25">
      <c r="B25" s="65" t="s">
        <v>132</v>
      </c>
      <c r="C25" s="23" t="s">
        <v>94</v>
      </c>
      <c r="D25" s="23" t="s">
        <v>95</v>
      </c>
      <c r="E25" s="56">
        <v>4800</v>
      </c>
      <c r="F25" s="25" t="s">
        <v>91</v>
      </c>
      <c r="G25" s="26" t="s">
        <v>125</v>
      </c>
      <c r="H25" s="31"/>
    </row>
    <row r="26" spans="2:8" s="18" customFormat="1" ht="33.75" x14ac:dyDescent="0.25">
      <c r="B26" s="65" t="s">
        <v>132</v>
      </c>
      <c r="C26" s="34">
        <v>39800000</v>
      </c>
      <c r="D26" s="34" t="s">
        <v>84</v>
      </c>
      <c r="E26" s="56">
        <v>4800</v>
      </c>
      <c r="F26" s="25" t="s">
        <v>91</v>
      </c>
      <c r="G26" s="26" t="s">
        <v>125</v>
      </c>
      <c r="H26" s="31"/>
    </row>
    <row r="27" spans="2:8" s="18" customFormat="1" ht="33.75" x14ac:dyDescent="0.25">
      <c r="B27" s="65" t="s">
        <v>132</v>
      </c>
      <c r="C27" s="85">
        <v>42900000</v>
      </c>
      <c r="D27" s="85" t="s">
        <v>168</v>
      </c>
      <c r="E27" s="56">
        <v>1920</v>
      </c>
      <c r="F27" s="79" t="s">
        <v>60</v>
      </c>
      <c r="G27" s="110" t="s">
        <v>160</v>
      </c>
      <c r="H27" s="110"/>
    </row>
    <row r="28" spans="2:8" s="18" customFormat="1" ht="51.75" customHeight="1" x14ac:dyDescent="0.25">
      <c r="B28" s="65" t="s">
        <v>132</v>
      </c>
      <c r="C28" s="84">
        <v>41100000</v>
      </c>
      <c r="D28" s="85" t="s">
        <v>149</v>
      </c>
      <c r="E28" s="56">
        <v>6750</v>
      </c>
      <c r="F28" s="79" t="s">
        <v>64</v>
      </c>
      <c r="G28" s="80" t="s">
        <v>125</v>
      </c>
      <c r="H28" s="81"/>
    </row>
    <row r="29" spans="2:8" s="18" customFormat="1" ht="51.75" customHeight="1" x14ac:dyDescent="0.25">
      <c r="B29" s="65" t="s">
        <v>132</v>
      </c>
      <c r="C29" s="84">
        <v>44400000</v>
      </c>
      <c r="D29" s="85" t="s">
        <v>167</v>
      </c>
      <c r="E29" s="56">
        <v>4120</v>
      </c>
      <c r="F29" s="79" t="s">
        <v>64</v>
      </c>
      <c r="G29" s="80" t="s">
        <v>160</v>
      </c>
      <c r="H29" s="81"/>
    </row>
    <row r="30" spans="2:8" s="18" customFormat="1" ht="51.75" customHeight="1" x14ac:dyDescent="0.25">
      <c r="B30" s="65" t="s">
        <v>132</v>
      </c>
      <c r="C30" s="30">
        <v>45400000</v>
      </c>
      <c r="D30" s="34" t="s">
        <v>102</v>
      </c>
      <c r="E30" s="56">
        <v>40000</v>
      </c>
      <c r="F30" s="25" t="s">
        <v>64</v>
      </c>
      <c r="G30" s="26" t="s">
        <v>125</v>
      </c>
      <c r="H30" s="31"/>
    </row>
    <row r="31" spans="2:8" s="18" customFormat="1" ht="37.5" customHeight="1" x14ac:dyDescent="0.25">
      <c r="B31" s="65" t="s">
        <v>133</v>
      </c>
      <c r="C31" s="30">
        <v>48700000</v>
      </c>
      <c r="D31" s="23" t="s">
        <v>104</v>
      </c>
      <c r="E31" s="56">
        <v>30000</v>
      </c>
      <c r="F31" s="25" t="s">
        <v>64</v>
      </c>
      <c r="G31" s="26" t="s">
        <v>125</v>
      </c>
      <c r="H31" s="31"/>
    </row>
    <row r="32" spans="2:8" s="18" customFormat="1" ht="37.5" customHeight="1" x14ac:dyDescent="0.25">
      <c r="B32" s="67" t="s">
        <v>133</v>
      </c>
      <c r="C32" s="82">
        <v>48800000</v>
      </c>
      <c r="D32" s="68" t="s">
        <v>179</v>
      </c>
      <c r="E32" s="69">
        <f>85900-5900</f>
        <v>80000</v>
      </c>
      <c r="F32" s="69" t="s">
        <v>64</v>
      </c>
      <c r="G32" s="113" t="s">
        <v>173</v>
      </c>
      <c r="H32" s="72"/>
    </row>
    <row r="33" spans="2:9" s="18" customFormat="1" ht="37.5" customHeight="1" x14ac:dyDescent="0.25">
      <c r="B33" s="67" t="s">
        <v>132</v>
      </c>
      <c r="C33" s="82">
        <v>48800000</v>
      </c>
      <c r="D33" s="68" t="s">
        <v>179</v>
      </c>
      <c r="E33" s="69">
        <f>500+5900</f>
        <v>6400</v>
      </c>
      <c r="F33" s="69" t="s">
        <v>64</v>
      </c>
      <c r="G33" s="113" t="s">
        <v>173</v>
      </c>
      <c r="H33" s="72"/>
    </row>
    <row r="34" spans="2:9" s="18" customFormat="1" ht="56.25" x14ac:dyDescent="0.25">
      <c r="B34" s="65" t="s">
        <v>132</v>
      </c>
      <c r="C34" s="78">
        <v>50100000</v>
      </c>
      <c r="D34" s="78" t="s">
        <v>44</v>
      </c>
      <c r="E34" s="56">
        <f>10000+30000</f>
        <v>40000</v>
      </c>
      <c r="F34" s="79" t="s">
        <v>61</v>
      </c>
      <c r="G34" s="80" t="s">
        <v>125</v>
      </c>
      <c r="H34" s="102" t="s">
        <v>66</v>
      </c>
    </row>
    <row r="35" spans="2:9" s="1" customFormat="1" ht="92.25" customHeight="1" x14ac:dyDescent="0.25">
      <c r="B35" s="104" t="s">
        <v>132</v>
      </c>
      <c r="C35" s="23" t="s">
        <v>59</v>
      </c>
      <c r="D35" s="23" t="s">
        <v>62</v>
      </c>
      <c r="E35" s="24">
        <f>120000-30000+15000</f>
        <v>105000</v>
      </c>
      <c r="F35" s="25" t="s">
        <v>64</v>
      </c>
      <c r="G35" s="26" t="s">
        <v>125</v>
      </c>
      <c r="H35" s="36"/>
    </row>
    <row r="36" spans="2:9" s="18" customFormat="1" ht="56.25" x14ac:dyDescent="0.25">
      <c r="B36" s="65" t="s">
        <v>132</v>
      </c>
      <c r="C36" s="78">
        <v>50100000</v>
      </c>
      <c r="D36" s="78" t="s">
        <v>44</v>
      </c>
      <c r="E36" s="56">
        <v>2080</v>
      </c>
      <c r="F36" s="79" t="s">
        <v>61</v>
      </c>
      <c r="G36" s="80" t="s">
        <v>160</v>
      </c>
      <c r="H36" s="102" t="s">
        <v>85</v>
      </c>
    </row>
    <row r="37" spans="2:9" s="18" customFormat="1" ht="92.25" customHeight="1" x14ac:dyDescent="0.25">
      <c r="B37" s="65" t="s">
        <v>132</v>
      </c>
      <c r="C37" s="23" t="s">
        <v>107</v>
      </c>
      <c r="D37" s="23" t="s">
        <v>108</v>
      </c>
      <c r="E37" s="56">
        <v>50000</v>
      </c>
      <c r="F37" s="25" t="s">
        <v>64</v>
      </c>
      <c r="G37" s="26" t="s">
        <v>125</v>
      </c>
      <c r="H37" s="31"/>
    </row>
    <row r="38" spans="2:9" s="18" customFormat="1" ht="92.25" customHeight="1" x14ac:dyDescent="0.25">
      <c r="B38" s="65" t="s">
        <v>132</v>
      </c>
      <c r="C38" s="23" t="s">
        <v>105</v>
      </c>
      <c r="D38" s="23" t="s">
        <v>106</v>
      </c>
      <c r="E38" s="56">
        <v>310000</v>
      </c>
      <c r="F38" s="25" t="s">
        <v>64</v>
      </c>
      <c r="G38" s="26" t="s">
        <v>125</v>
      </c>
      <c r="H38" s="36"/>
    </row>
    <row r="39" spans="2:9" s="18" customFormat="1" ht="115.5" customHeight="1" x14ac:dyDescent="0.25">
      <c r="B39" s="67" t="s">
        <v>132</v>
      </c>
      <c r="C39" s="68" t="s">
        <v>105</v>
      </c>
      <c r="D39" s="68" t="s">
        <v>106</v>
      </c>
      <c r="E39" s="69">
        <f>23265*I39</f>
        <v>62815.500000000007</v>
      </c>
      <c r="F39" s="68" t="s">
        <v>61</v>
      </c>
      <c r="G39" s="71" t="s">
        <v>152</v>
      </c>
      <c r="H39" s="68" t="s">
        <v>180</v>
      </c>
      <c r="I39" s="18">
        <v>2.7</v>
      </c>
    </row>
    <row r="40" spans="2:9" s="18" customFormat="1" ht="102.75" customHeight="1" x14ac:dyDescent="0.25">
      <c r="B40" s="65" t="s">
        <v>132</v>
      </c>
      <c r="C40" s="23" t="s">
        <v>86</v>
      </c>
      <c r="D40" s="23" t="s">
        <v>87</v>
      </c>
      <c r="E40" s="56">
        <v>8000</v>
      </c>
      <c r="F40" s="25" t="s">
        <v>64</v>
      </c>
      <c r="G40" s="26" t="s">
        <v>125</v>
      </c>
      <c r="H40" s="23"/>
    </row>
    <row r="41" spans="2:9" s="18" customFormat="1" ht="115.5" customHeight="1" x14ac:dyDescent="0.25">
      <c r="B41" s="65" t="s">
        <v>132</v>
      </c>
      <c r="C41" s="23">
        <v>50700000</v>
      </c>
      <c r="D41" s="23" t="s">
        <v>13</v>
      </c>
      <c r="E41" s="56">
        <f>1600000-59200</f>
        <v>1540800</v>
      </c>
      <c r="F41" s="23" t="s">
        <v>61</v>
      </c>
      <c r="G41" s="26" t="s">
        <v>125</v>
      </c>
      <c r="H41" s="23" t="s">
        <v>99</v>
      </c>
    </row>
    <row r="42" spans="2:9" s="18" customFormat="1" ht="115.5" customHeight="1" x14ac:dyDescent="0.25">
      <c r="B42" s="65" t="s">
        <v>132</v>
      </c>
      <c r="C42" s="78">
        <v>50700000</v>
      </c>
      <c r="D42" s="78" t="s">
        <v>13</v>
      </c>
      <c r="E42" s="56">
        <f>93000-45000+20000+46148</f>
        <v>114148</v>
      </c>
      <c r="F42" s="78" t="s">
        <v>64</v>
      </c>
      <c r="G42" s="80" t="s">
        <v>125</v>
      </c>
      <c r="H42" s="78"/>
    </row>
    <row r="43" spans="2:9" s="18" customFormat="1" ht="115.5" customHeight="1" x14ac:dyDescent="0.25">
      <c r="B43" s="65" t="s">
        <v>132</v>
      </c>
      <c r="C43" s="78" t="s">
        <v>117</v>
      </c>
      <c r="D43" s="78" t="s">
        <v>118</v>
      </c>
      <c r="E43" s="56">
        <f>120000+68250</f>
        <v>188250</v>
      </c>
      <c r="F43" s="78" t="s">
        <v>64</v>
      </c>
      <c r="G43" s="80" t="s">
        <v>125</v>
      </c>
      <c r="H43" s="78"/>
    </row>
    <row r="44" spans="2:9" s="18" customFormat="1" ht="115.5" customHeight="1" x14ac:dyDescent="0.25">
      <c r="B44" s="65" t="s">
        <v>132</v>
      </c>
      <c r="C44" s="23" t="s">
        <v>111</v>
      </c>
      <c r="D44" s="23" t="s">
        <v>112</v>
      </c>
      <c r="E44" s="56">
        <v>120000</v>
      </c>
      <c r="F44" s="23" t="s">
        <v>64</v>
      </c>
      <c r="G44" s="26" t="s">
        <v>125</v>
      </c>
      <c r="H44" s="23"/>
    </row>
    <row r="45" spans="2:9" s="18" customFormat="1" ht="58.5" customHeight="1" x14ac:dyDescent="0.25">
      <c r="B45" s="65" t="s">
        <v>132</v>
      </c>
      <c r="C45" s="30">
        <v>63700000</v>
      </c>
      <c r="D45" s="23" t="s">
        <v>70</v>
      </c>
      <c r="E45" s="56">
        <v>2000</v>
      </c>
      <c r="F45" s="25" t="s">
        <v>61</v>
      </c>
      <c r="G45" s="26" t="s">
        <v>125</v>
      </c>
      <c r="H45" s="26" t="s">
        <v>85</v>
      </c>
    </row>
    <row r="46" spans="2:9" s="18" customFormat="1" ht="63.75" customHeight="1" x14ac:dyDescent="0.25">
      <c r="B46" s="65" t="s">
        <v>132</v>
      </c>
      <c r="C46" s="23" t="s">
        <v>47</v>
      </c>
      <c r="D46" s="23" t="s">
        <v>48</v>
      </c>
      <c r="E46" s="56">
        <v>6000</v>
      </c>
      <c r="F46" s="25" t="s">
        <v>64</v>
      </c>
      <c r="G46" s="26" t="s">
        <v>125</v>
      </c>
      <c r="H46" s="23"/>
    </row>
    <row r="47" spans="2:9" s="18" customFormat="1" ht="33.75" x14ac:dyDescent="0.25">
      <c r="B47" s="65" t="s">
        <v>132</v>
      </c>
      <c r="C47" s="38" t="s">
        <v>18</v>
      </c>
      <c r="D47" s="23" t="s">
        <v>46</v>
      </c>
      <c r="E47" s="56">
        <v>25000</v>
      </c>
      <c r="F47" s="25" t="s">
        <v>64</v>
      </c>
      <c r="G47" s="26" t="s">
        <v>125</v>
      </c>
      <c r="H47" s="33"/>
    </row>
    <row r="48" spans="2:9" s="18" customFormat="1" ht="56.25" x14ac:dyDescent="0.25">
      <c r="B48" s="65" t="s">
        <v>132</v>
      </c>
      <c r="C48" s="38" t="s">
        <v>18</v>
      </c>
      <c r="D48" s="23" t="s">
        <v>46</v>
      </c>
      <c r="E48" s="56">
        <v>25500</v>
      </c>
      <c r="F48" s="25" t="s">
        <v>61</v>
      </c>
      <c r="G48" s="26" t="s">
        <v>125</v>
      </c>
      <c r="H48" s="26" t="s">
        <v>96</v>
      </c>
    </row>
    <row r="49" spans="2:10" s="18" customFormat="1" ht="56.25" x14ac:dyDescent="0.25">
      <c r="B49" s="65" t="s">
        <v>132</v>
      </c>
      <c r="C49" s="77" t="s">
        <v>161</v>
      </c>
      <c r="D49" s="78" t="s">
        <v>46</v>
      </c>
      <c r="E49" s="56">
        <v>9000</v>
      </c>
      <c r="F49" s="79" t="s">
        <v>61</v>
      </c>
      <c r="G49" s="80" t="s">
        <v>152</v>
      </c>
      <c r="H49" s="80" t="s">
        <v>162</v>
      </c>
    </row>
    <row r="50" spans="2:10" s="18" customFormat="1" ht="33.75" x14ac:dyDescent="0.25">
      <c r="B50" s="65" t="s">
        <v>132</v>
      </c>
      <c r="C50" s="38" t="s">
        <v>18</v>
      </c>
      <c r="D50" s="23" t="s">
        <v>46</v>
      </c>
      <c r="E50" s="56">
        <v>24000</v>
      </c>
      <c r="F50" s="25" t="s">
        <v>60</v>
      </c>
      <c r="G50" s="26" t="s">
        <v>125</v>
      </c>
      <c r="H50" s="33"/>
    </row>
    <row r="51" spans="2:10" s="18" customFormat="1" ht="33.75" x14ac:dyDescent="0.25">
      <c r="B51" s="65" t="s">
        <v>134</v>
      </c>
      <c r="C51" s="38" t="s">
        <v>114</v>
      </c>
      <c r="D51" s="23" t="s">
        <v>113</v>
      </c>
      <c r="E51" s="56">
        <v>30000</v>
      </c>
      <c r="F51" s="25" t="s">
        <v>64</v>
      </c>
      <c r="G51" s="26" t="s">
        <v>125</v>
      </c>
      <c r="H51" s="26"/>
    </row>
    <row r="52" spans="2:10" s="18" customFormat="1" ht="33.75" x14ac:dyDescent="0.25">
      <c r="B52" s="65" t="s">
        <v>132</v>
      </c>
      <c r="C52" s="38" t="s">
        <v>55</v>
      </c>
      <c r="D52" s="23" t="s">
        <v>56</v>
      </c>
      <c r="E52" s="56">
        <v>1680</v>
      </c>
      <c r="F52" s="25" t="s">
        <v>91</v>
      </c>
      <c r="G52" s="26" t="s">
        <v>125</v>
      </c>
      <c r="H52" s="33"/>
    </row>
    <row r="53" spans="2:10" s="18" customFormat="1" ht="57" customHeight="1" x14ac:dyDescent="0.25">
      <c r="B53" s="65" t="s">
        <v>132</v>
      </c>
      <c r="C53" s="77" t="s">
        <v>17</v>
      </c>
      <c r="D53" s="78" t="s">
        <v>16</v>
      </c>
      <c r="E53" s="56">
        <f>90000+34000</f>
        <v>124000</v>
      </c>
      <c r="F53" s="79" t="s">
        <v>61</v>
      </c>
      <c r="G53" s="80" t="s">
        <v>125</v>
      </c>
      <c r="H53" s="80" t="s">
        <v>67</v>
      </c>
    </row>
    <row r="54" spans="2:10" s="18" customFormat="1" ht="65.25" customHeight="1" x14ac:dyDescent="0.25">
      <c r="B54" s="65" t="s">
        <v>132</v>
      </c>
      <c r="C54" s="77" t="s">
        <v>17</v>
      </c>
      <c r="D54" s="78" t="s">
        <v>16</v>
      </c>
      <c r="E54" s="56">
        <f>150+400+266+21+350</f>
        <v>1187</v>
      </c>
      <c r="F54" s="79" t="s">
        <v>61</v>
      </c>
      <c r="G54" s="80" t="s">
        <v>125</v>
      </c>
      <c r="H54" s="80"/>
      <c r="J54" s="20"/>
    </row>
    <row r="55" spans="2:10" s="18" customFormat="1" ht="56.25" x14ac:dyDescent="0.25">
      <c r="B55" s="65" t="s">
        <v>132</v>
      </c>
      <c r="C55" s="38" t="s">
        <v>77</v>
      </c>
      <c r="D55" s="23" t="s">
        <v>78</v>
      </c>
      <c r="E55" s="56">
        <v>3000</v>
      </c>
      <c r="F55" s="25" t="s">
        <v>61</v>
      </c>
      <c r="G55" s="26" t="s">
        <v>125</v>
      </c>
      <c r="H55" s="26" t="s">
        <v>79</v>
      </c>
    </row>
    <row r="56" spans="2:10" s="18" customFormat="1" ht="56.25" x14ac:dyDescent="0.25">
      <c r="B56" s="65" t="s">
        <v>132</v>
      </c>
      <c r="C56" s="77" t="s">
        <v>163</v>
      </c>
      <c r="D56" s="78" t="s">
        <v>164</v>
      </c>
      <c r="E56" s="56">
        <v>500</v>
      </c>
      <c r="F56" s="79" t="s">
        <v>61</v>
      </c>
      <c r="G56" s="80" t="s">
        <v>152</v>
      </c>
      <c r="H56" s="80" t="s">
        <v>79</v>
      </c>
    </row>
    <row r="57" spans="2:10" s="18" customFormat="1" ht="75" customHeight="1" x14ac:dyDescent="0.25">
      <c r="B57" s="65" t="s">
        <v>132</v>
      </c>
      <c r="C57" s="77" t="s">
        <v>25</v>
      </c>
      <c r="D57" s="78" t="s">
        <v>119</v>
      </c>
      <c r="E57" s="56">
        <v>100000</v>
      </c>
      <c r="F57" s="79" t="s">
        <v>64</v>
      </c>
      <c r="G57" s="80" t="s">
        <v>125</v>
      </c>
      <c r="H57" s="80"/>
    </row>
    <row r="58" spans="2:10" s="1" customFormat="1" ht="63.75" customHeight="1" x14ac:dyDescent="0.25">
      <c r="B58" s="104" t="s">
        <v>132</v>
      </c>
      <c r="C58" s="23" t="s">
        <v>45</v>
      </c>
      <c r="D58" s="23" t="s">
        <v>63</v>
      </c>
      <c r="E58" s="24">
        <f>6000+3850</f>
        <v>9850</v>
      </c>
      <c r="F58" s="25" t="s">
        <v>64</v>
      </c>
      <c r="G58" s="26" t="s">
        <v>125</v>
      </c>
      <c r="H58" s="26"/>
    </row>
    <row r="59" spans="2:10" s="18" customFormat="1" ht="63.75" customHeight="1" x14ac:dyDescent="0.25">
      <c r="B59" s="65" t="s">
        <v>132</v>
      </c>
      <c r="C59" s="78" t="s">
        <v>120</v>
      </c>
      <c r="D59" s="78" t="s">
        <v>121</v>
      </c>
      <c r="E59" s="56">
        <v>450</v>
      </c>
      <c r="F59" s="79" t="s">
        <v>61</v>
      </c>
      <c r="G59" s="80" t="s">
        <v>125</v>
      </c>
      <c r="H59" s="80"/>
    </row>
    <row r="60" spans="2:10" s="18" customFormat="1" ht="77.25" customHeight="1" x14ac:dyDescent="0.25">
      <c r="B60" s="65" t="s">
        <v>132</v>
      </c>
      <c r="C60" s="30">
        <v>79700000</v>
      </c>
      <c r="D60" s="23" t="s">
        <v>27</v>
      </c>
      <c r="E60" s="56">
        <v>600000</v>
      </c>
      <c r="F60" s="25" t="s">
        <v>61</v>
      </c>
      <c r="G60" s="26" t="s">
        <v>125</v>
      </c>
      <c r="H60" s="26" t="s">
        <v>80</v>
      </c>
    </row>
    <row r="61" spans="2:10" s="18" customFormat="1" ht="62.25" customHeight="1" x14ac:dyDescent="0.25">
      <c r="B61" s="65" t="s">
        <v>132</v>
      </c>
      <c r="C61" s="30">
        <v>79800000</v>
      </c>
      <c r="D61" s="23" t="s">
        <v>81</v>
      </c>
      <c r="E61" s="56">
        <v>10000</v>
      </c>
      <c r="F61" s="25" t="s">
        <v>64</v>
      </c>
      <c r="G61" s="26" t="s">
        <v>125</v>
      </c>
      <c r="H61" s="26"/>
    </row>
    <row r="62" spans="2:10" s="18" customFormat="1" ht="62.25" customHeight="1" x14ac:dyDescent="0.25">
      <c r="B62" s="65" t="s">
        <v>132</v>
      </c>
      <c r="C62" s="78" t="s">
        <v>53</v>
      </c>
      <c r="D62" s="78" t="s">
        <v>65</v>
      </c>
      <c r="E62" s="56">
        <f>20000+12000-2305</f>
        <v>29695</v>
      </c>
      <c r="F62" s="79" t="s">
        <v>61</v>
      </c>
      <c r="G62" s="80" t="s">
        <v>125</v>
      </c>
      <c r="H62" s="78" t="s">
        <v>68</v>
      </c>
    </row>
    <row r="63" spans="2:10" s="18" customFormat="1" ht="62.25" customHeight="1" x14ac:dyDescent="0.25">
      <c r="B63" s="65" t="s">
        <v>132</v>
      </c>
      <c r="C63" s="78" t="s">
        <v>53</v>
      </c>
      <c r="D63" s="78" t="s">
        <v>65</v>
      </c>
      <c r="E63" s="56">
        <v>2305</v>
      </c>
      <c r="F63" s="79" t="s">
        <v>61</v>
      </c>
      <c r="G63" s="80" t="s">
        <v>173</v>
      </c>
      <c r="H63" s="78"/>
    </row>
    <row r="64" spans="2:10" s="18" customFormat="1" ht="62.25" customHeight="1" x14ac:dyDescent="0.25">
      <c r="B64" s="65" t="s">
        <v>132</v>
      </c>
      <c r="C64" s="38" t="s">
        <v>24</v>
      </c>
      <c r="D64" s="23" t="s">
        <v>71</v>
      </c>
      <c r="E64" s="56">
        <v>12000</v>
      </c>
      <c r="F64" s="25" t="s">
        <v>64</v>
      </c>
      <c r="G64" s="26" t="s">
        <v>125</v>
      </c>
      <c r="H64" s="23"/>
    </row>
    <row r="65" spans="2:13" s="18" customFormat="1" ht="62.25" customHeight="1" x14ac:dyDescent="0.25">
      <c r="B65" s="65" t="s">
        <v>132</v>
      </c>
      <c r="C65" s="38" t="s">
        <v>122</v>
      </c>
      <c r="D65" s="23" t="s">
        <v>123</v>
      </c>
      <c r="E65" s="56">
        <v>1000</v>
      </c>
      <c r="F65" s="25" t="s">
        <v>61</v>
      </c>
      <c r="G65" s="26" t="s">
        <v>125</v>
      </c>
      <c r="H65" s="23"/>
    </row>
    <row r="66" spans="2:13" s="18" customFormat="1" ht="60.75" customHeight="1" x14ac:dyDescent="0.25">
      <c r="B66" s="65" t="s">
        <v>132</v>
      </c>
      <c r="C66" s="78" t="s">
        <v>82</v>
      </c>
      <c r="D66" s="78" t="s">
        <v>83</v>
      </c>
      <c r="E66" s="56">
        <v>10000</v>
      </c>
      <c r="F66" s="79" t="s">
        <v>61</v>
      </c>
      <c r="G66" s="80" t="s">
        <v>125</v>
      </c>
      <c r="H66" s="80" t="s">
        <v>79</v>
      </c>
    </row>
    <row r="67" spans="2:13" s="18" customFormat="1" ht="36.75" customHeight="1" x14ac:dyDescent="0.25">
      <c r="B67" s="65" t="s">
        <v>132</v>
      </c>
      <c r="C67" s="78" t="s">
        <v>12</v>
      </c>
      <c r="D67" s="78" t="s">
        <v>19</v>
      </c>
      <c r="E67" s="56">
        <f>80000+110000</f>
        <v>190000</v>
      </c>
      <c r="F67" s="79" t="s">
        <v>64</v>
      </c>
      <c r="G67" s="80" t="s">
        <v>125</v>
      </c>
      <c r="H67" s="81"/>
    </row>
    <row r="68" spans="2:13" s="18" customFormat="1" ht="54.75" customHeight="1" x14ac:dyDescent="0.25">
      <c r="B68" s="65" t="s">
        <v>132</v>
      </c>
      <c r="C68" s="78" t="s">
        <v>115</v>
      </c>
      <c r="D68" s="78" t="s">
        <v>116</v>
      </c>
      <c r="E68" s="56">
        <v>15000</v>
      </c>
      <c r="F68" s="79" t="s">
        <v>61</v>
      </c>
      <c r="G68" s="80" t="s">
        <v>125</v>
      </c>
      <c r="H68" s="80" t="s">
        <v>79</v>
      </c>
    </row>
    <row r="69" spans="2:13" s="18" customFormat="1" ht="54.75" customHeight="1" x14ac:dyDescent="0.25">
      <c r="B69" s="108" t="s">
        <v>132</v>
      </c>
      <c r="C69" s="78" t="s">
        <v>165</v>
      </c>
      <c r="D69" s="78" t="s">
        <v>166</v>
      </c>
      <c r="E69" s="56">
        <v>4900</v>
      </c>
      <c r="F69" s="79" t="s">
        <v>61</v>
      </c>
      <c r="G69" s="80" t="s">
        <v>152</v>
      </c>
      <c r="H69" s="80" t="s">
        <v>79</v>
      </c>
    </row>
    <row r="70" spans="2:13" s="1" customFormat="1" ht="75" customHeight="1" x14ac:dyDescent="0.25">
      <c r="B70" s="126" t="s">
        <v>135</v>
      </c>
      <c r="C70" s="127"/>
      <c r="D70" s="127"/>
      <c r="E70" s="16">
        <f>SUM(E71:E74)</f>
        <v>1710000</v>
      </c>
      <c r="F70" s="13"/>
      <c r="G70" s="14"/>
      <c r="H70" s="10"/>
      <c r="I70" s="61"/>
      <c r="J70" s="62"/>
    </row>
    <row r="71" spans="2:13" s="1" customFormat="1" ht="59.25" customHeight="1" x14ac:dyDescent="0.25">
      <c r="B71" s="104" t="s">
        <v>132</v>
      </c>
      <c r="C71" s="23" t="s">
        <v>24</v>
      </c>
      <c r="D71" s="23" t="s">
        <v>71</v>
      </c>
      <c r="E71" s="24">
        <f>1710000-142500-E73-E72</f>
        <v>1314302.3999999999</v>
      </c>
      <c r="F71" s="25" t="s">
        <v>64</v>
      </c>
      <c r="G71" s="26" t="s">
        <v>125</v>
      </c>
      <c r="H71" s="41"/>
      <c r="J71" s="62"/>
    </row>
    <row r="72" spans="2:13" s="1" customFormat="1" ht="67.5" x14ac:dyDescent="0.25">
      <c r="B72" s="104" t="s">
        <v>132</v>
      </c>
      <c r="C72" s="23" t="s">
        <v>103</v>
      </c>
      <c r="D72" s="23" t="s">
        <v>71</v>
      </c>
      <c r="E72" s="24">
        <v>33000</v>
      </c>
      <c r="F72" s="25" t="s">
        <v>61</v>
      </c>
      <c r="G72" s="26" t="s">
        <v>151</v>
      </c>
      <c r="H72" s="48" t="s">
        <v>98</v>
      </c>
      <c r="J72" s="62"/>
    </row>
    <row r="73" spans="2:13" s="1" customFormat="1" ht="67.5" x14ac:dyDescent="0.25">
      <c r="B73" s="104" t="s">
        <v>132</v>
      </c>
      <c r="C73" s="23" t="s">
        <v>103</v>
      </c>
      <c r="D73" s="23" t="s">
        <v>71</v>
      </c>
      <c r="E73" s="24">
        <v>220197.6</v>
      </c>
      <c r="F73" s="25" t="s">
        <v>61</v>
      </c>
      <c r="G73" s="26" t="s">
        <v>150</v>
      </c>
      <c r="H73" s="48" t="s">
        <v>98</v>
      </c>
    </row>
    <row r="74" spans="2:13" s="1" customFormat="1" ht="98.25" customHeight="1" x14ac:dyDescent="0.25">
      <c r="B74" s="104" t="s">
        <v>132</v>
      </c>
      <c r="C74" s="23" t="s">
        <v>24</v>
      </c>
      <c r="D74" s="23" t="s">
        <v>71</v>
      </c>
      <c r="E74" s="24">
        <v>142500</v>
      </c>
      <c r="F74" s="25" t="s">
        <v>61</v>
      </c>
      <c r="G74" s="26" t="s">
        <v>125</v>
      </c>
      <c r="H74" s="48" t="s">
        <v>128</v>
      </c>
      <c r="J74" s="62"/>
    </row>
    <row r="75" spans="2:13" s="1" customFormat="1" ht="31.5" customHeight="1" x14ac:dyDescent="0.25">
      <c r="B75" s="126" t="s">
        <v>136</v>
      </c>
      <c r="C75" s="127"/>
      <c r="D75" s="127"/>
      <c r="E75" s="16">
        <f>SUM(E76:E80)</f>
        <v>22370000</v>
      </c>
      <c r="F75" s="13"/>
      <c r="G75" s="9"/>
      <c r="H75" s="10"/>
      <c r="I75" s="61"/>
      <c r="J75" s="62"/>
    </row>
    <row r="76" spans="2:13" s="1" customFormat="1" ht="75.75" customHeight="1" x14ac:dyDescent="0.25">
      <c r="B76" s="104" t="s">
        <v>132</v>
      </c>
      <c r="C76" s="23" t="s">
        <v>7</v>
      </c>
      <c r="D76" s="23" t="s">
        <v>57</v>
      </c>
      <c r="E76" s="24">
        <f>3750000+400000</f>
        <v>4150000</v>
      </c>
      <c r="F76" s="25" t="s">
        <v>61</v>
      </c>
      <c r="G76" s="26" t="s">
        <v>125</v>
      </c>
      <c r="H76" s="48" t="s">
        <v>97</v>
      </c>
    </row>
    <row r="77" spans="2:13" s="1" customFormat="1" ht="75.75" customHeight="1" x14ac:dyDescent="0.25">
      <c r="B77" s="66" t="s">
        <v>133</v>
      </c>
      <c r="C77" s="23" t="s">
        <v>7</v>
      </c>
      <c r="D77" s="23" t="s">
        <v>57</v>
      </c>
      <c r="E77" s="24">
        <v>100000</v>
      </c>
      <c r="F77" s="25" t="s">
        <v>61</v>
      </c>
      <c r="G77" s="26" t="s">
        <v>125</v>
      </c>
      <c r="H77" s="48" t="s">
        <v>97</v>
      </c>
    </row>
    <row r="78" spans="2:13" s="1" customFormat="1" ht="121.5" customHeight="1" x14ac:dyDescent="0.25">
      <c r="B78" s="104" t="s">
        <v>132</v>
      </c>
      <c r="C78" s="23">
        <v>33600000</v>
      </c>
      <c r="D78" s="23" t="s">
        <v>29</v>
      </c>
      <c r="E78" s="24">
        <f>1440000+270000-22680</f>
        <v>1687320</v>
      </c>
      <c r="F78" s="25" t="s">
        <v>64</v>
      </c>
      <c r="G78" s="26" t="s">
        <v>125</v>
      </c>
      <c r="H78" s="41"/>
      <c r="J78" s="62"/>
      <c r="L78" s="62"/>
      <c r="M78" s="62"/>
    </row>
    <row r="79" spans="2:13" s="1" customFormat="1" ht="121.5" customHeight="1" x14ac:dyDescent="0.25">
      <c r="B79" s="104" t="s">
        <v>132</v>
      </c>
      <c r="C79" s="23" t="s">
        <v>32</v>
      </c>
      <c r="D79" s="23" t="s">
        <v>29</v>
      </c>
      <c r="E79" s="24">
        <v>22680</v>
      </c>
      <c r="F79" s="25" t="s">
        <v>61</v>
      </c>
      <c r="G79" s="26" t="s">
        <v>150</v>
      </c>
      <c r="H79" s="48" t="s">
        <v>157</v>
      </c>
      <c r="J79" s="62"/>
      <c r="L79" s="62"/>
      <c r="M79" s="62"/>
    </row>
    <row r="80" spans="2:13" s="1" customFormat="1" ht="87.75" customHeight="1" x14ac:dyDescent="0.25">
      <c r="B80" s="104" t="s">
        <v>132</v>
      </c>
      <c r="C80" s="23" t="s">
        <v>32</v>
      </c>
      <c r="D80" s="23" t="s">
        <v>29</v>
      </c>
      <c r="E80" s="24">
        <v>16410000</v>
      </c>
      <c r="F80" s="25" t="s">
        <v>61</v>
      </c>
      <c r="G80" s="26" t="s">
        <v>125</v>
      </c>
      <c r="H80" s="48" t="s">
        <v>98</v>
      </c>
      <c r="J80" s="62"/>
      <c r="K80" s="62"/>
    </row>
    <row r="81" spans="2:11" s="1" customFormat="1" ht="60" customHeight="1" x14ac:dyDescent="0.25">
      <c r="B81" s="126" t="s">
        <v>137</v>
      </c>
      <c r="C81" s="127"/>
      <c r="D81" s="127"/>
      <c r="E81" s="16">
        <f>SUM(E82:E86)</f>
        <v>1700000</v>
      </c>
      <c r="F81" s="13"/>
      <c r="G81" s="14"/>
      <c r="H81" s="10"/>
      <c r="I81" s="61"/>
      <c r="J81" s="105"/>
    </row>
    <row r="82" spans="2:11" s="1" customFormat="1" ht="36.75" customHeight="1" x14ac:dyDescent="0.25">
      <c r="B82" s="104" t="s">
        <v>132</v>
      </c>
      <c r="C82" s="23" t="s">
        <v>7</v>
      </c>
      <c r="D82" s="23" t="s">
        <v>28</v>
      </c>
      <c r="E82" s="24">
        <v>42272.9</v>
      </c>
      <c r="F82" s="25" t="s">
        <v>64</v>
      </c>
      <c r="G82" s="26" t="s">
        <v>125</v>
      </c>
      <c r="H82" s="41"/>
    </row>
    <row r="83" spans="2:11" s="1" customFormat="1" ht="51" customHeight="1" x14ac:dyDescent="0.25">
      <c r="B83" s="104" t="s">
        <v>132</v>
      </c>
      <c r="C83" s="23" t="s">
        <v>32</v>
      </c>
      <c r="D83" s="23" t="s">
        <v>29</v>
      </c>
      <c r="E83" s="24">
        <v>60607.14</v>
      </c>
      <c r="F83" s="25" t="s">
        <v>64</v>
      </c>
      <c r="G83" s="26" t="s">
        <v>125</v>
      </c>
      <c r="H83" s="41"/>
      <c r="J83" s="62"/>
    </row>
    <row r="84" spans="2:11" s="1" customFormat="1" ht="45" customHeight="1" x14ac:dyDescent="0.25">
      <c r="B84" s="104" t="s">
        <v>132</v>
      </c>
      <c r="C84" s="23" t="s">
        <v>89</v>
      </c>
      <c r="D84" s="23" t="s">
        <v>90</v>
      </c>
      <c r="E84" s="24">
        <v>798000</v>
      </c>
      <c r="F84" s="25" t="s">
        <v>64</v>
      </c>
      <c r="G84" s="26" t="s">
        <v>125</v>
      </c>
      <c r="H84" s="48"/>
    </row>
    <row r="85" spans="2:11" s="1" customFormat="1" ht="78.75" x14ac:dyDescent="0.25">
      <c r="B85" s="104" t="s">
        <v>132</v>
      </c>
      <c r="C85" s="23" t="s">
        <v>24</v>
      </c>
      <c r="D85" s="23" t="s">
        <v>71</v>
      </c>
      <c r="E85" s="24">
        <v>69239.960000000006</v>
      </c>
      <c r="F85" s="25" t="s">
        <v>61</v>
      </c>
      <c r="G85" s="26" t="s">
        <v>125</v>
      </c>
      <c r="H85" s="48" t="s">
        <v>129</v>
      </c>
      <c r="J85" s="62"/>
    </row>
    <row r="86" spans="2:11" s="1" customFormat="1" ht="67.5" x14ac:dyDescent="0.25">
      <c r="B86" s="104" t="s">
        <v>132</v>
      </c>
      <c r="C86" s="23" t="s">
        <v>24</v>
      </c>
      <c r="D86" s="23" t="s">
        <v>71</v>
      </c>
      <c r="E86" s="24">
        <v>729880</v>
      </c>
      <c r="F86" s="25" t="s">
        <v>61</v>
      </c>
      <c r="G86" s="26" t="s">
        <v>152</v>
      </c>
      <c r="H86" s="48" t="s">
        <v>98</v>
      </c>
    </row>
    <row r="87" spans="2:11" s="1" customFormat="1" ht="65.25" customHeight="1" x14ac:dyDescent="0.25">
      <c r="B87" s="126" t="s">
        <v>138</v>
      </c>
      <c r="C87" s="127"/>
      <c r="D87" s="127"/>
      <c r="E87" s="16">
        <f>SUM(E88:E90)</f>
        <v>1753700.5</v>
      </c>
      <c r="F87" s="13"/>
      <c r="G87" s="14"/>
      <c r="H87" s="10"/>
      <c r="I87" s="61"/>
      <c r="J87" s="62"/>
    </row>
    <row r="88" spans="2:11" s="1" customFormat="1" ht="33.75" x14ac:dyDescent="0.25">
      <c r="B88" s="104" t="s">
        <v>132</v>
      </c>
      <c r="C88" s="36" t="s">
        <v>25</v>
      </c>
      <c r="D88" s="36" t="s">
        <v>69</v>
      </c>
      <c r="E88" s="24">
        <f>55000+145000</f>
        <v>200000</v>
      </c>
      <c r="F88" s="43" t="s">
        <v>64</v>
      </c>
      <c r="G88" s="26" t="s">
        <v>125</v>
      </c>
      <c r="H88" s="44"/>
    </row>
    <row r="89" spans="2:11" s="1" customFormat="1" ht="78.75" x14ac:dyDescent="0.25">
      <c r="B89" s="104" t="s">
        <v>132</v>
      </c>
      <c r="C89" s="23">
        <v>85100000</v>
      </c>
      <c r="D89" s="23" t="s">
        <v>71</v>
      </c>
      <c r="E89" s="24">
        <v>127500.5</v>
      </c>
      <c r="F89" s="25" t="s">
        <v>61</v>
      </c>
      <c r="G89" s="26" t="s">
        <v>125</v>
      </c>
      <c r="H89" s="45" t="s">
        <v>124</v>
      </c>
    </row>
    <row r="90" spans="2:11" s="1" customFormat="1" ht="60.75" customHeight="1" x14ac:dyDescent="0.25">
      <c r="B90" s="104" t="s">
        <v>132</v>
      </c>
      <c r="C90" s="23">
        <v>85100000</v>
      </c>
      <c r="D90" s="23" t="s">
        <v>71</v>
      </c>
      <c r="E90" s="24">
        <f>1460000+111200-145000</f>
        <v>1426200</v>
      </c>
      <c r="F90" s="25" t="s">
        <v>61</v>
      </c>
      <c r="G90" s="26" t="s">
        <v>125</v>
      </c>
      <c r="H90" s="48" t="s">
        <v>98</v>
      </c>
      <c r="K90" s="62"/>
    </row>
    <row r="91" spans="2:11" s="1" customFormat="1" ht="61.5" customHeight="1" x14ac:dyDescent="0.25">
      <c r="B91" s="126" t="s">
        <v>139</v>
      </c>
      <c r="C91" s="127"/>
      <c r="D91" s="127"/>
      <c r="E91" s="16">
        <f>SUM(E92:E93)</f>
        <v>184166.6</v>
      </c>
      <c r="F91" s="13"/>
      <c r="G91" s="14"/>
      <c r="H91" s="10"/>
      <c r="I91" s="61"/>
      <c r="J91" s="62"/>
    </row>
    <row r="92" spans="2:11" s="18" customFormat="1" ht="70.5" customHeight="1" x14ac:dyDescent="0.25">
      <c r="B92" s="65" t="s">
        <v>132</v>
      </c>
      <c r="C92" s="23" t="s">
        <v>24</v>
      </c>
      <c r="D92" s="23" t="s">
        <v>71</v>
      </c>
      <c r="E92" s="56">
        <v>14166.6</v>
      </c>
      <c r="F92" s="25" t="s">
        <v>61</v>
      </c>
      <c r="G92" s="26" t="s">
        <v>125</v>
      </c>
      <c r="H92" s="48" t="s">
        <v>76</v>
      </c>
    </row>
    <row r="93" spans="2:11" s="1" customFormat="1" ht="75" customHeight="1" x14ac:dyDescent="0.25">
      <c r="B93" s="104" t="s">
        <v>132</v>
      </c>
      <c r="C93" s="23" t="s">
        <v>24</v>
      </c>
      <c r="D93" s="23" t="s">
        <v>71</v>
      </c>
      <c r="E93" s="24">
        <v>170000</v>
      </c>
      <c r="F93" s="25" t="s">
        <v>61</v>
      </c>
      <c r="G93" s="26" t="s">
        <v>125</v>
      </c>
      <c r="H93" s="48" t="s">
        <v>98</v>
      </c>
    </row>
    <row r="94" spans="2:11" s="1" customFormat="1" ht="65.25" customHeight="1" x14ac:dyDescent="0.25">
      <c r="B94" s="121" t="s">
        <v>140</v>
      </c>
      <c r="C94" s="122"/>
      <c r="D94" s="122"/>
      <c r="E94" s="16">
        <f>SUM(E95:E99)</f>
        <v>1090000</v>
      </c>
      <c r="F94" s="13"/>
      <c r="G94" s="14"/>
      <c r="H94" s="60"/>
      <c r="I94" s="61"/>
      <c r="J94" s="62"/>
    </row>
    <row r="95" spans="2:11" s="1" customFormat="1" ht="49.5" customHeight="1" x14ac:dyDescent="0.25">
      <c r="B95" s="104" t="s">
        <v>132</v>
      </c>
      <c r="C95" s="23" t="s">
        <v>14</v>
      </c>
      <c r="D95" s="23" t="s">
        <v>15</v>
      </c>
      <c r="E95" s="24">
        <v>24200</v>
      </c>
      <c r="F95" s="25" t="s">
        <v>60</v>
      </c>
      <c r="G95" s="26" t="s">
        <v>125</v>
      </c>
      <c r="H95" s="41"/>
    </row>
    <row r="96" spans="2:11" s="1" customFormat="1" ht="33.75" x14ac:dyDescent="0.25">
      <c r="B96" s="104" t="s">
        <v>132</v>
      </c>
      <c r="C96" s="28">
        <v>33100000</v>
      </c>
      <c r="D96" s="28" t="s">
        <v>28</v>
      </c>
      <c r="E96" s="24">
        <f>240004-87983</f>
        <v>152021</v>
      </c>
      <c r="F96" s="29" t="s">
        <v>64</v>
      </c>
      <c r="G96" s="26" t="s">
        <v>125</v>
      </c>
      <c r="H96" s="46"/>
    </row>
    <row r="97" spans="2:10" s="1" customFormat="1" ht="60.75" customHeight="1" x14ac:dyDescent="0.25">
      <c r="B97" s="104" t="s">
        <v>132</v>
      </c>
      <c r="C97" s="23" t="s">
        <v>59</v>
      </c>
      <c r="D97" s="23" t="s">
        <v>44</v>
      </c>
      <c r="E97" s="24">
        <v>15000</v>
      </c>
      <c r="F97" s="25" t="s">
        <v>64</v>
      </c>
      <c r="G97" s="26" t="s">
        <v>125</v>
      </c>
      <c r="H97" s="41"/>
    </row>
    <row r="98" spans="2:10" s="1" customFormat="1" ht="75" customHeight="1" x14ac:dyDescent="0.25">
      <c r="B98" s="104" t="s">
        <v>132</v>
      </c>
      <c r="C98" s="23">
        <v>85100000</v>
      </c>
      <c r="D98" s="23" t="s">
        <v>71</v>
      </c>
      <c r="E98" s="24">
        <v>48983</v>
      </c>
      <c r="F98" s="25" t="s">
        <v>61</v>
      </c>
      <c r="G98" s="26" t="s">
        <v>125</v>
      </c>
      <c r="H98" s="48" t="s">
        <v>126</v>
      </c>
      <c r="J98" s="62"/>
    </row>
    <row r="99" spans="2:10" s="18" customFormat="1" ht="65.25" customHeight="1" x14ac:dyDescent="0.25">
      <c r="B99" s="65" t="s">
        <v>132</v>
      </c>
      <c r="C99" s="78">
        <v>85100000</v>
      </c>
      <c r="D99" s="78" t="s">
        <v>71</v>
      </c>
      <c r="E99" s="56">
        <f>1071996+37800-260000</f>
        <v>849796</v>
      </c>
      <c r="F99" s="79" t="s">
        <v>61</v>
      </c>
      <c r="G99" s="80" t="s">
        <v>125</v>
      </c>
      <c r="H99" s="111" t="s">
        <v>98</v>
      </c>
    </row>
    <row r="100" spans="2:10" s="1" customFormat="1" ht="80.25" customHeight="1" x14ac:dyDescent="0.25">
      <c r="B100" s="126" t="s">
        <v>141</v>
      </c>
      <c r="C100" s="127"/>
      <c r="D100" s="127"/>
      <c r="E100" s="16">
        <f>SUM(E101:E101)</f>
        <v>1250000</v>
      </c>
      <c r="F100" s="13"/>
      <c r="G100" s="14"/>
      <c r="H100" s="10"/>
      <c r="I100" s="61"/>
      <c r="J100" s="62"/>
    </row>
    <row r="101" spans="2:10" s="1" customFormat="1" ht="84.75" customHeight="1" x14ac:dyDescent="0.25">
      <c r="B101" s="104" t="s">
        <v>132</v>
      </c>
      <c r="C101" s="23" t="s">
        <v>32</v>
      </c>
      <c r="D101" s="23" t="s">
        <v>29</v>
      </c>
      <c r="E101" s="24">
        <v>1250000</v>
      </c>
      <c r="F101" s="25" t="s">
        <v>61</v>
      </c>
      <c r="G101" s="26" t="s">
        <v>125</v>
      </c>
      <c r="H101" s="48" t="s">
        <v>98</v>
      </c>
    </row>
    <row r="102" spans="2:10" s="1" customFormat="1" ht="57.75" customHeight="1" x14ac:dyDescent="0.25">
      <c r="B102" s="119" t="s">
        <v>142</v>
      </c>
      <c r="C102" s="120"/>
      <c r="D102" s="120"/>
      <c r="E102" s="57">
        <f>SUM(E103:E106)</f>
        <v>4000000</v>
      </c>
      <c r="F102" s="58"/>
      <c r="G102" s="58"/>
      <c r="H102" s="59"/>
      <c r="I102" s="61"/>
      <c r="J102" s="62"/>
    </row>
    <row r="103" spans="2:10" s="18" customFormat="1" ht="29.25" customHeight="1" x14ac:dyDescent="0.25">
      <c r="B103" s="65" t="s">
        <v>132</v>
      </c>
      <c r="C103" s="38">
        <v>33100000</v>
      </c>
      <c r="D103" s="23" t="s">
        <v>8</v>
      </c>
      <c r="E103" s="56">
        <v>124876.2</v>
      </c>
      <c r="F103" s="25" t="s">
        <v>64</v>
      </c>
      <c r="G103" s="26" t="s">
        <v>125</v>
      </c>
      <c r="H103" s="26"/>
    </row>
    <row r="104" spans="2:10" s="1" customFormat="1" ht="33.75" x14ac:dyDescent="0.25">
      <c r="B104" s="104" t="s">
        <v>132</v>
      </c>
      <c r="C104" s="38" t="s">
        <v>32</v>
      </c>
      <c r="D104" s="23" t="s">
        <v>9</v>
      </c>
      <c r="E104" s="24">
        <f>2995349.4-3495.8-99984.41</f>
        <v>2891869.19</v>
      </c>
      <c r="F104" s="25" t="s">
        <v>64</v>
      </c>
      <c r="G104" s="26" t="s">
        <v>125</v>
      </c>
      <c r="H104" s="26"/>
    </row>
    <row r="105" spans="2:10" s="1" customFormat="1" ht="67.5" x14ac:dyDescent="0.25">
      <c r="B105" s="104" t="s">
        <v>132</v>
      </c>
      <c r="C105" s="38" t="s">
        <v>24</v>
      </c>
      <c r="D105" s="23" t="s">
        <v>71</v>
      </c>
      <c r="E105" s="24">
        <v>73605.850000000006</v>
      </c>
      <c r="F105" s="25" t="s">
        <v>61</v>
      </c>
      <c r="G105" s="26" t="s">
        <v>125</v>
      </c>
      <c r="H105" s="45" t="s">
        <v>127</v>
      </c>
    </row>
    <row r="106" spans="2:10" s="1" customFormat="1" ht="83.25" customHeight="1" x14ac:dyDescent="0.25">
      <c r="B106" s="104" t="s">
        <v>132</v>
      </c>
      <c r="C106" s="23" t="s">
        <v>24</v>
      </c>
      <c r="D106" s="23" t="s">
        <v>71</v>
      </c>
      <c r="E106" s="24">
        <v>909648.76</v>
      </c>
      <c r="F106" s="25" t="s">
        <v>61</v>
      </c>
      <c r="G106" s="26" t="s">
        <v>152</v>
      </c>
      <c r="H106" s="32" t="s">
        <v>98</v>
      </c>
    </row>
    <row r="107" spans="2:10" ht="122.25" customHeight="1" x14ac:dyDescent="0.25">
      <c r="B107" s="126" t="s">
        <v>143</v>
      </c>
      <c r="C107" s="127"/>
      <c r="D107" s="127"/>
      <c r="E107" s="16">
        <f>SUM(E108)</f>
        <v>2190000</v>
      </c>
      <c r="F107" s="13"/>
      <c r="G107" s="14"/>
      <c r="H107" s="10"/>
      <c r="I107" s="61"/>
      <c r="J107" s="63">
        <f>E102-4000000</f>
        <v>0</v>
      </c>
    </row>
    <row r="108" spans="2:10" s="1" customFormat="1" ht="117.75" customHeight="1" x14ac:dyDescent="0.25">
      <c r="B108" s="104" t="s">
        <v>132</v>
      </c>
      <c r="C108" s="23" t="s">
        <v>32</v>
      </c>
      <c r="D108" s="23" t="s">
        <v>29</v>
      </c>
      <c r="E108" s="24">
        <v>2190000</v>
      </c>
      <c r="F108" s="25" t="s">
        <v>61</v>
      </c>
      <c r="G108" s="26" t="s">
        <v>152</v>
      </c>
      <c r="H108" s="48" t="s">
        <v>98</v>
      </c>
    </row>
    <row r="109" spans="2:10" s="1" customFormat="1" ht="57" customHeight="1" x14ac:dyDescent="0.25">
      <c r="B109" s="121" t="s">
        <v>144</v>
      </c>
      <c r="C109" s="122"/>
      <c r="D109" s="122"/>
      <c r="E109" s="16">
        <f>SUM(E110:E114)</f>
        <v>474000</v>
      </c>
      <c r="F109" s="13"/>
      <c r="G109" s="60"/>
      <c r="H109" s="60"/>
      <c r="I109" s="61"/>
      <c r="J109" s="62"/>
    </row>
    <row r="110" spans="2:10" s="1" customFormat="1" ht="59.25" customHeight="1" x14ac:dyDescent="0.25">
      <c r="B110" s="104" t="s">
        <v>148</v>
      </c>
      <c r="C110" s="23">
        <v>33100000</v>
      </c>
      <c r="D110" s="23" t="s">
        <v>28</v>
      </c>
      <c r="E110" s="24">
        <f>20000+14559.87+22385.83</f>
        <v>56945.700000000004</v>
      </c>
      <c r="F110" s="25" t="s">
        <v>64</v>
      </c>
      <c r="G110" s="26" t="s">
        <v>125</v>
      </c>
      <c r="H110" s="41"/>
    </row>
    <row r="111" spans="2:10" s="1" customFormat="1" ht="38.25" x14ac:dyDescent="0.25">
      <c r="B111" s="104" t="s">
        <v>148</v>
      </c>
      <c r="C111" s="36">
        <v>33600000</v>
      </c>
      <c r="D111" s="36" t="s">
        <v>29</v>
      </c>
      <c r="E111" s="24">
        <f>266824.3+68000-17770</f>
        <v>317054.3</v>
      </c>
      <c r="F111" s="43" t="s">
        <v>64</v>
      </c>
      <c r="G111" s="26" t="s">
        <v>125</v>
      </c>
      <c r="H111" s="44"/>
    </row>
    <row r="112" spans="2:10" s="1" customFormat="1" ht="78.75" x14ac:dyDescent="0.25">
      <c r="B112" s="104" t="s">
        <v>132</v>
      </c>
      <c r="C112" s="38" t="s">
        <v>103</v>
      </c>
      <c r="D112" s="23" t="s">
        <v>71</v>
      </c>
      <c r="E112" s="24">
        <v>6870</v>
      </c>
      <c r="F112" s="25" t="s">
        <v>61</v>
      </c>
      <c r="G112" s="26" t="s">
        <v>125</v>
      </c>
      <c r="H112" s="45" t="s">
        <v>130</v>
      </c>
    </row>
    <row r="113" spans="2:11" s="1" customFormat="1" ht="67.5" x14ac:dyDescent="0.25">
      <c r="B113" s="104" t="s">
        <v>132</v>
      </c>
      <c r="C113" s="38" t="s">
        <v>103</v>
      </c>
      <c r="D113" s="23" t="s">
        <v>71</v>
      </c>
      <c r="E113" s="24">
        <f>13740+6870</f>
        <v>20610</v>
      </c>
      <c r="F113" s="25" t="s">
        <v>61</v>
      </c>
      <c r="G113" s="26" t="s">
        <v>152</v>
      </c>
      <c r="H113" s="48" t="s">
        <v>98</v>
      </c>
      <c r="J113" s="62"/>
      <c r="K113" s="62"/>
    </row>
    <row r="114" spans="2:11" s="1" customFormat="1" ht="51" customHeight="1" x14ac:dyDescent="0.25">
      <c r="B114" s="104" t="s">
        <v>132</v>
      </c>
      <c r="C114" s="38" t="s">
        <v>24</v>
      </c>
      <c r="D114" s="23" t="s">
        <v>71</v>
      </c>
      <c r="E114" s="24">
        <v>72520</v>
      </c>
      <c r="F114" s="25" t="s">
        <v>64</v>
      </c>
      <c r="G114" s="26" t="s">
        <v>153</v>
      </c>
      <c r="H114" s="45"/>
      <c r="J114" s="62"/>
      <c r="K114" s="62"/>
    </row>
    <row r="115" spans="2:11" ht="59.25" customHeight="1" x14ac:dyDescent="0.25">
      <c r="B115" s="126" t="s">
        <v>145</v>
      </c>
      <c r="C115" s="127"/>
      <c r="D115" s="127"/>
      <c r="E115" s="16">
        <f>SUM(E116:E119)</f>
        <v>2100000</v>
      </c>
      <c r="F115" s="13"/>
      <c r="G115" s="14"/>
      <c r="H115" s="10"/>
      <c r="I115" s="61"/>
      <c r="J115" s="63"/>
    </row>
    <row r="116" spans="2:11" s="18" customFormat="1" ht="42.75" customHeight="1" x14ac:dyDescent="0.25">
      <c r="B116" s="104" t="s">
        <v>132</v>
      </c>
      <c r="C116" s="23" t="s">
        <v>25</v>
      </c>
      <c r="D116" s="23" t="s">
        <v>69</v>
      </c>
      <c r="E116" s="24">
        <f>2100000-115976-175000</f>
        <v>1809024</v>
      </c>
      <c r="F116" s="25" t="s">
        <v>64</v>
      </c>
      <c r="G116" s="26" t="s">
        <v>125</v>
      </c>
      <c r="H116" s="53"/>
    </row>
    <row r="117" spans="2:11" s="1" customFormat="1" ht="42.75" customHeight="1" x14ac:dyDescent="0.25">
      <c r="B117" s="104" t="s">
        <v>132</v>
      </c>
      <c r="C117" s="23" t="s">
        <v>25</v>
      </c>
      <c r="D117" s="23" t="s">
        <v>69</v>
      </c>
      <c r="E117" s="24">
        <f>5976</f>
        <v>5976</v>
      </c>
      <c r="F117" s="25" t="s">
        <v>61</v>
      </c>
      <c r="G117" s="26" t="s">
        <v>152</v>
      </c>
      <c r="H117" s="48" t="s">
        <v>98</v>
      </c>
    </row>
    <row r="118" spans="2:11" s="1" customFormat="1" ht="42.75" customHeight="1" x14ac:dyDescent="0.25">
      <c r="B118" s="104" t="s">
        <v>132</v>
      </c>
      <c r="C118" s="23" t="s">
        <v>176</v>
      </c>
      <c r="D118" s="23" t="s">
        <v>177</v>
      </c>
      <c r="E118" s="24">
        <v>175000</v>
      </c>
      <c r="F118" s="25" t="s">
        <v>64</v>
      </c>
      <c r="G118" s="26" t="s">
        <v>178</v>
      </c>
      <c r="H118" s="48"/>
    </row>
    <row r="119" spans="2:11" s="1" customFormat="1" ht="80.25" customHeight="1" x14ac:dyDescent="0.25">
      <c r="B119" s="104" t="s">
        <v>132</v>
      </c>
      <c r="C119" s="23" t="s">
        <v>154</v>
      </c>
      <c r="D119" s="23" t="s">
        <v>155</v>
      </c>
      <c r="E119" s="24">
        <f>115976-5976</f>
        <v>110000</v>
      </c>
      <c r="F119" s="25" t="s">
        <v>61</v>
      </c>
      <c r="G119" s="26" t="s">
        <v>152</v>
      </c>
      <c r="H119" s="48" t="s">
        <v>98</v>
      </c>
    </row>
    <row r="120" spans="2:11" ht="70.5" customHeight="1" x14ac:dyDescent="0.25">
      <c r="B120" s="126" t="s">
        <v>146</v>
      </c>
      <c r="C120" s="127"/>
      <c r="D120" s="127"/>
      <c r="E120" s="16">
        <f>SUM(E121:E123)</f>
        <v>442800</v>
      </c>
      <c r="F120" s="13"/>
      <c r="G120" s="14"/>
      <c r="H120" s="10"/>
      <c r="I120" s="61"/>
      <c r="J120" s="63"/>
    </row>
    <row r="121" spans="2:11" s="18" customFormat="1" ht="33.75" x14ac:dyDescent="0.25">
      <c r="B121" s="65" t="s">
        <v>132</v>
      </c>
      <c r="C121" s="99" t="s">
        <v>32</v>
      </c>
      <c r="D121" s="99" t="s">
        <v>29</v>
      </c>
      <c r="E121" s="56">
        <f>264000-4020</f>
        <v>259980</v>
      </c>
      <c r="F121" s="100" t="s">
        <v>64</v>
      </c>
      <c r="G121" s="80" t="s">
        <v>125</v>
      </c>
      <c r="H121" s="101"/>
    </row>
    <row r="122" spans="2:11" s="18" customFormat="1" ht="33.75" x14ac:dyDescent="0.25">
      <c r="B122" s="65" t="s">
        <v>132</v>
      </c>
      <c r="C122" s="28" t="s">
        <v>7</v>
      </c>
      <c r="D122" s="28" t="s">
        <v>28</v>
      </c>
      <c r="E122" s="24">
        <v>132000</v>
      </c>
      <c r="F122" s="29" t="s">
        <v>64</v>
      </c>
      <c r="G122" s="26" t="s">
        <v>125</v>
      </c>
      <c r="H122" s="55"/>
    </row>
    <row r="123" spans="2:11" s="1" customFormat="1" ht="33.75" x14ac:dyDescent="0.25">
      <c r="B123" s="104" t="s">
        <v>132</v>
      </c>
      <c r="C123" s="23" t="s">
        <v>14</v>
      </c>
      <c r="D123" s="23" t="s">
        <v>40</v>
      </c>
      <c r="E123" s="24">
        <f>4020+46800</f>
        <v>50820</v>
      </c>
      <c r="F123" s="25" t="s">
        <v>60</v>
      </c>
      <c r="G123" s="26" t="s">
        <v>125</v>
      </c>
      <c r="H123" s="23"/>
    </row>
  </sheetData>
  <autoFilter ref="A8:H123"/>
  <mergeCells count="20">
    <mergeCell ref="B87:D87"/>
    <mergeCell ref="B2:H2"/>
    <mergeCell ref="B3:H3"/>
    <mergeCell ref="B4:E4"/>
    <mergeCell ref="F4:H4"/>
    <mergeCell ref="B5:E5"/>
    <mergeCell ref="F5:H5"/>
    <mergeCell ref="B6:F6"/>
    <mergeCell ref="B9:D9"/>
    <mergeCell ref="B70:D70"/>
    <mergeCell ref="B75:D75"/>
    <mergeCell ref="B81:D81"/>
    <mergeCell ref="B115:D115"/>
    <mergeCell ref="B120:D120"/>
    <mergeCell ref="B91:D91"/>
    <mergeCell ref="B94:D94"/>
    <mergeCell ref="B100:D100"/>
    <mergeCell ref="B102:D102"/>
    <mergeCell ref="B107:D107"/>
    <mergeCell ref="B109:D109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00"/>
  <sheetViews>
    <sheetView topLeftCell="B52" zoomScaleNormal="100" zoomScaleSheetLayoutView="80" workbookViewId="0">
      <selection activeCell="E25" sqref="E25"/>
    </sheetView>
  </sheetViews>
  <sheetFormatPr defaultRowHeight="15" x14ac:dyDescent="0.2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3" width="11.5703125" bestFit="1" customWidth="1"/>
  </cols>
  <sheetData>
    <row r="2" spans="2:8" ht="18.75" x14ac:dyDescent="0.25">
      <c r="B2" s="123" t="s">
        <v>41</v>
      </c>
      <c r="C2" s="123"/>
      <c r="D2" s="123"/>
      <c r="E2" s="123"/>
      <c r="F2" s="123"/>
      <c r="G2" s="123"/>
      <c r="H2" s="123"/>
    </row>
    <row r="3" spans="2:8" ht="18.75" x14ac:dyDescent="0.3">
      <c r="B3" s="124" t="s">
        <v>4</v>
      </c>
      <c r="C3" s="124"/>
      <c r="D3" s="124"/>
      <c r="E3" s="124"/>
      <c r="F3" s="124"/>
      <c r="G3" s="124"/>
      <c r="H3" s="124"/>
    </row>
    <row r="4" spans="2:8" x14ac:dyDescent="0.25">
      <c r="B4" s="125" t="s">
        <v>54</v>
      </c>
      <c r="C4" s="125"/>
      <c r="D4" s="125"/>
      <c r="E4" s="125"/>
      <c r="F4" s="125" t="s">
        <v>21</v>
      </c>
      <c r="G4" s="125"/>
      <c r="H4" s="125"/>
    </row>
    <row r="5" spans="2:8" x14ac:dyDescent="0.25">
      <c r="B5" s="125" t="s">
        <v>20</v>
      </c>
      <c r="C5" s="125"/>
      <c r="D5" s="125"/>
      <c r="E5" s="125"/>
      <c r="F5" s="125" t="s">
        <v>10</v>
      </c>
      <c r="G5" s="125"/>
      <c r="H5" s="125"/>
    </row>
    <row r="6" spans="2:8" ht="24.75" customHeight="1" x14ac:dyDescent="0.25">
      <c r="B6" s="115" t="s">
        <v>22</v>
      </c>
      <c r="C6" s="116"/>
      <c r="D6" s="116"/>
      <c r="E6" s="116"/>
      <c r="F6" s="116"/>
      <c r="G6" s="2">
        <f>E9+E55+E58+E63+E69+E73+E76+E82+E84+E89+E91+E96+E98</f>
        <v>43363887.999999993</v>
      </c>
      <c r="H6" s="3" t="s">
        <v>23</v>
      </c>
    </row>
    <row r="7" spans="2:8" ht="25.5" x14ac:dyDescent="0.2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 x14ac:dyDescent="0.25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customHeight="1" x14ac:dyDescent="0.25">
      <c r="B9" s="117" t="s">
        <v>131</v>
      </c>
      <c r="C9" s="118"/>
      <c r="D9" s="118"/>
      <c r="E9" s="15">
        <f>SUM(E10:E54)</f>
        <v>4154080</v>
      </c>
      <c r="F9" s="11"/>
      <c r="G9" s="9"/>
      <c r="H9" s="10"/>
    </row>
    <row r="10" spans="2:8" s="18" customFormat="1" ht="33.75" x14ac:dyDescent="0.2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8" s="18" customFormat="1" ht="33.75" x14ac:dyDescent="0.2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8" s="18" customFormat="1" ht="33.75" x14ac:dyDescent="0.25">
      <c r="B12" s="65" t="s">
        <v>132</v>
      </c>
      <c r="C12" s="23" t="s">
        <v>100</v>
      </c>
      <c r="D12" s="23" t="s">
        <v>101</v>
      </c>
      <c r="E12" s="56">
        <v>500</v>
      </c>
      <c r="F12" s="25" t="s">
        <v>61</v>
      </c>
      <c r="G12" s="26" t="s">
        <v>125</v>
      </c>
      <c r="H12" s="23"/>
    </row>
    <row r="13" spans="2:8" s="19" customFormat="1" ht="33.75" x14ac:dyDescent="0.25">
      <c r="B13" s="65" t="s">
        <v>132</v>
      </c>
      <c r="C13" s="28" t="s">
        <v>50</v>
      </c>
      <c r="D13" s="28" t="s">
        <v>52</v>
      </c>
      <c r="E13" s="56">
        <v>1600</v>
      </c>
      <c r="F13" s="29" t="s">
        <v>61</v>
      </c>
      <c r="G13" s="26" t="s">
        <v>125</v>
      </c>
      <c r="H13" s="28"/>
    </row>
    <row r="14" spans="2:8" s="18" customFormat="1" ht="49.5" customHeight="1" x14ac:dyDescent="0.25">
      <c r="B14" s="65" t="s">
        <v>132</v>
      </c>
      <c r="C14" s="23" t="s">
        <v>39</v>
      </c>
      <c r="D14" s="23" t="s">
        <v>58</v>
      </c>
      <c r="E14" s="56">
        <f>23100</f>
        <v>23100</v>
      </c>
      <c r="F14" s="25" t="s">
        <v>60</v>
      </c>
      <c r="G14" s="26" t="s">
        <v>125</v>
      </c>
      <c r="H14" s="23"/>
    </row>
    <row r="15" spans="2:8" s="18" customFormat="1" ht="49.5" customHeight="1" x14ac:dyDescent="0.25">
      <c r="B15" s="65" t="s">
        <v>132</v>
      </c>
      <c r="C15" s="23" t="s">
        <v>39</v>
      </c>
      <c r="D15" s="23" t="s">
        <v>58</v>
      </c>
      <c r="E15" s="56">
        <f>60000+9000</f>
        <v>69000</v>
      </c>
      <c r="F15" s="25" t="s">
        <v>64</v>
      </c>
      <c r="G15" s="26" t="s">
        <v>125</v>
      </c>
      <c r="H15" s="23"/>
    </row>
    <row r="16" spans="2:8" s="18" customFormat="1" ht="38.25" customHeight="1" x14ac:dyDescent="0.25">
      <c r="B16" s="65" t="s">
        <v>147</v>
      </c>
      <c r="C16" s="30">
        <v>31400000</v>
      </c>
      <c r="D16" s="23" t="s">
        <v>11</v>
      </c>
      <c r="E16" s="56">
        <f>3000+1800</f>
        <v>4800</v>
      </c>
      <c r="F16" s="25" t="s">
        <v>61</v>
      </c>
      <c r="G16" s="26" t="s">
        <v>125</v>
      </c>
      <c r="H16" s="31"/>
    </row>
    <row r="17" spans="2:8" s="18" customFormat="1" ht="38.25" customHeight="1" x14ac:dyDescent="0.25">
      <c r="B17" s="65" t="s">
        <v>147</v>
      </c>
      <c r="C17" s="23" t="s">
        <v>43</v>
      </c>
      <c r="D17" s="23" t="s">
        <v>42</v>
      </c>
      <c r="E17" s="56">
        <v>10000</v>
      </c>
      <c r="F17" s="25" t="s">
        <v>60</v>
      </c>
      <c r="G17" s="26" t="s">
        <v>125</v>
      </c>
      <c r="H17" s="32"/>
    </row>
    <row r="18" spans="2:8" s="18" customFormat="1" ht="33.75" x14ac:dyDescent="0.25">
      <c r="B18" s="65" t="s">
        <v>132</v>
      </c>
      <c r="C18" s="23" t="s">
        <v>92</v>
      </c>
      <c r="D18" s="23" t="s">
        <v>93</v>
      </c>
      <c r="E18" s="56">
        <v>4800</v>
      </c>
      <c r="F18" s="25" t="s">
        <v>91</v>
      </c>
      <c r="G18" s="26" t="s">
        <v>125</v>
      </c>
      <c r="H18" s="31"/>
    </row>
    <row r="19" spans="2:8" s="18" customFormat="1" ht="33.75" x14ac:dyDescent="0.25">
      <c r="B19" s="65" t="s">
        <v>132</v>
      </c>
      <c r="C19" s="23" t="s">
        <v>94</v>
      </c>
      <c r="D19" s="23" t="s">
        <v>95</v>
      </c>
      <c r="E19" s="56">
        <v>4800</v>
      </c>
      <c r="F19" s="25" t="s">
        <v>91</v>
      </c>
      <c r="G19" s="26" t="s">
        <v>125</v>
      </c>
      <c r="H19" s="31"/>
    </row>
    <row r="20" spans="2:8" s="18" customFormat="1" ht="33.75" x14ac:dyDescent="0.25">
      <c r="B20" s="65" t="s">
        <v>132</v>
      </c>
      <c r="C20" s="34">
        <v>39800000</v>
      </c>
      <c r="D20" s="34" t="s">
        <v>84</v>
      </c>
      <c r="E20" s="56">
        <v>4800</v>
      </c>
      <c r="F20" s="25" t="s">
        <v>91</v>
      </c>
      <c r="G20" s="26" t="s">
        <v>125</v>
      </c>
      <c r="H20" s="31"/>
    </row>
    <row r="21" spans="2:8" s="18" customFormat="1" ht="51.75" customHeight="1" x14ac:dyDescent="0.25">
      <c r="B21" s="67" t="s">
        <v>132</v>
      </c>
      <c r="C21" s="82">
        <v>41100000</v>
      </c>
      <c r="D21" s="83" t="s">
        <v>149</v>
      </c>
      <c r="E21" s="69">
        <v>6750</v>
      </c>
      <c r="F21" s="70" t="s">
        <v>64</v>
      </c>
      <c r="G21" s="71" t="s">
        <v>125</v>
      </c>
      <c r="H21" s="72"/>
    </row>
    <row r="22" spans="2:8" s="18" customFormat="1" ht="51.75" customHeight="1" x14ac:dyDescent="0.25">
      <c r="B22" s="65" t="s">
        <v>132</v>
      </c>
      <c r="C22" s="30">
        <v>45400000</v>
      </c>
      <c r="D22" s="34" t="s">
        <v>102</v>
      </c>
      <c r="E22" s="56">
        <v>40000</v>
      </c>
      <c r="F22" s="25" t="s">
        <v>64</v>
      </c>
      <c r="G22" s="26" t="s">
        <v>125</v>
      </c>
      <c r="H22" s="31"/>
    </row>
    <row r="23" spans="2:8" s="18" customFormat="1" ht="37.5" customHeight="1" x14ac:dyDescent="0.25">
      <c r="B23" s="65" t="s">
        <v>133</v>
      </c>
      <c r="C23" s="30">
        <v>48700000</v>
      </c>
      <c r="D23" s="23" t="s">
        <v>104</v>
      </c>
      <c r="E23" s="56">
        <v>30000</v>
      </c>
      <c r="F23" s="25" t="s">
        <v>64</v>
      </c>
      <c r="G23" s="26" t="s">
        <v>125</v>
      </c>
      <c r="H23" s="31"/>
    </row>
    <row r="24" spans="2:8" s="18" customFormat="1" ht="56.25" x14ac:dyDescent="0.25">
      <c r="B24" s="65" t="s">
        <v>132</v>
      </c>
      <c r="C24" s="23">
        <v>50100000</v>
      </c>
      <c r="D24" s="23" t="s">
        <v>44</v>
      </c>
      <c r="E24" s="56">
        <v>10000</v>
      </c>
      <c r="F24" s="25" t="s">
        <v>61</v>
      </c>
      <c r="G24" s="26" t="s">
        <v>125</v>
      </c>
      <c r="H24" s="35" t="s">
        <v>66</v>
      </c>
    </row>
    <row r="25" spans="2:8" s="18" customFormat="1" ht="92.25" customHeight="1" x14ac:dyDescent="0.25">
      <c r="B25" s="65" t="s">
        <v>132</v>
      </c>
      <c r="C25" s="23" t="s">
        <v>59</v>
      </c>
      <c r="D25" s="23" t="s">
        <v>62</v>
      </c>
      <c r="E25" s="56">
        <v>120000</v>
      </c>
      <c r="F25" s="25" t="s">
        <v>64</v>
      </c>
      <c r="G25" s="26" t="s">
        <v>125</v>
      </c>
      <c r="H25" s="36"/>
    </row>
    <row r="26" spans="2:8" s="18" customFormat="1" ht="92.25" customHeight="1" x14ac:dyDescent="0.25">
      <c r="B26" s="65" t="s">
        <v>132</v>
      </c>
      <c r="C26" s="23" t="s">
        <v>107</v>
      </c>
      <c r="D26" s="23" t="s">
        <v>108</v>
      </c>
      <c r="E26" s="56">
        <v>50000</v>
      </c>
      <c r="F26" s="25" t="s">
        <v>64</v>
      </c>
      <c r="G26" s="26" t="s">
        <v>125</v>
      </c>
      <c r="H26" s="31"/>
    </row>
    <row r="27" spans="2:8" s="18" customFormat="1" ht="92.25" customHeight="1" x14ac:dyDescent="0.25">
      <c r="B27" s="65" t="s">
        <v>132</v>
      </c>
      <c r="C27" s="23" t="s">
        <v>105</v>
      </c>
      <c r="D27" s="23" t="s">
        <v>106</v>
      </c>
      <c r="E27" s="56">
        <v>310000</v>
      </c>
      <c r="F27" s="25" t="s">
        <v>64</v>
      </c>
      <c r="G27" s="26" t="s">
        <v>125</v>
      </c>
      <c r="H27" s="36"/>
    </row>
    <row r="28" spans="2:8" s="18" customFormat="1" ht="92.25" customHeight="1" x14ac:dyDescent="0.25">
      <c r="B28" s="65" t="s">
        <v>147</v>
      </c>
      <c r="C28" s="23" t="s">
        <v>109</v>
      </c>
      <c r="D28" s="23" t="s">
        <v>110</v>
      </c>
      <c r="E28" s="56">
        <f>60000+45000</f>
        <v>105000</v>
      </c>
      <c r="F28" s="25" t="s">
        <v>64</v>
      </c>
      <c r="G28" s="26" t="s">
        <v>125</v>
      </c>
      <c r="H28" s="36"/>
    </row>
    <row r="29" spans="2:8" s="18" customFormat="1" ht="102.75" customHeight="1" x14ac:dyDescent="0.25">
      <c r="B29" s="65" t="s">
        <v>132</v>
      </c>
      <c r="C29" s="23" t="s">
        <v>86</v>
      </c>
      <c r="D29" s="23" t="s">
        <v>87</v>
      </c>
      <c r="E29" s="56">
        <v>8000</v>
      </c>
      <c r="F29" s="25" t="s">
        <v>64</v>
      </c>
      <c r="G29" s="26" t="s">
        <v>125</v>
      </c>
      <c r="H29" s="23"/>
    </row>
    <row r="30" spans="2:8" s="18" customFormat="1" ht="115.5" customHeight="1" x14ac:dyDescent="0.25">
      <c r="B30" s="65" t="s">
        <v>132</v>
      </c>
      <c r="C30" s="23">
        <v>50700000</v>
      </c>
      <c r="D30" s="23" t="s">
        <v>13</v>
      </c>
      <c r="E30" s="56">
        <f>1600000-59200</f>
        <v>1540800</v>
      </c>
      <c r="F30" s="23" t="s">
        <v>61</v>
      </c>
      <c r="G30" s="26" t="s">
        <v>125</v>
      </c>
      <c r="H30" s="23" t="s">
        <v>99</v>
      </c>
    </row>
    <row r="31" spans="2:8" s="18" customFormat="1" ht="115.5" customHeight="1" x14ac:dyDescent="0.25">
      <c r="B31" s="65" t="s">
        <v>132</v>
      </c>
      <c r="C31" s="23">
        <v>50700000</v>
      </c>
      <c r="D31" s="23" t="s">
        <v>13</v>
      </c>
      <c r="E31" s="56">
        <f>93000-45000</f>
        <v>48000</v>
      </c>
      <c r="F31" s="23" t="s">
        <v>64</v>
      </c>
      <c r="G31" s="26" t="s">
        <v>125</v>
      </c>
      <c r="H31" s="23"/>
    </row>
    <row r="32" spans="2:8" s="18" customFormat="1" ht="115.5" customHeight="1" x14ac:dyDescent="0.25">
      <c r="B32" s="65" t="s">
        <v>132</v>
      </c>
      <c r="C32" s="78" t="s">
        <v>117</v>
      </c>
      <c r="D32" s="78" t="s">
        <v>118</v>
      </c>
      <c r="E32" s="56">
        <f>120000+68250</f>
        <v>188250</v>
      </c>
      <c r="F32" s="78" t="s">
        <v>64</v>
      </c>
      <c r="G32" s="80" t="s">
        <v>125</v>
      </c>
      <c r="H32" s="78"/>
    </row>
    <row r="33" spans="2:10" s="18" customFormat="1" ht="115.5" customHeight="1" x14ac:dyDescent="0.25">
      <c r="B33" s="65" t="s">
        <v>132</v>
      </c>
      <c r="C33" s="23" t="s">
        <v>111</v>
      </c>
      <c r="D33" s="23" t="s">
        <v>112</v>
      </c>
      <c r="E33" s="56">
        <v>120000</v>
      </c>
      <c r="F33" s="23" t="s">
        <v>64</v>
      </c>
      <c r="G33" s="26" t="s">
        <v>125</v>
      </c>
      <c r="H33" s="23"/>
    </row>
    <row r="34" spans="2:10" s="18" customFormat="1" ht="58.5" customHeight="1" x14ac:dyDescent="0.25">
      <c r="B34" s="65" t="s">
        <v>132</v>
      </c>
      <c r="C34" s="30">
        <v>63700000</v>
      </c>
      <c r="D34" s="23" t="s">
        <v>70</v>
      </c>
      <c r="E34" s="56">
        <v>2000</v>
      </c>
      <c r="F34" s="25" t="s">
        <v>61</v>
      </c>
      <c r="G34" s="26" t="s">
        <v>125</v>
      </c>
      <c r="H34" s="26" t="s">
        <v>85</v>
      </c>
    </row>
    <row r="35" spans="2:10" s="18" customFormat="1" ht="63.75" customHeight="1" x14ac:dyDescent="0.25">
      <c r="B35" s="65" t="s">
        <v>132</v>
      </c>
      <c r="C35" s="23" t="s">
        <v>47</v>
      </c>
      <c r="D35" s="23" t="s">
        <v>48</v>
      </c>
      <c r="E35" s="56">
        <v>6000</v>
      </c>
      <c r="F35" s="25" t="s">
        <v>64</v>
      </c>
      <c r="G35" s="26" t="s">
        <v>125</v>
      </c>
      <c r="H35" s="23"/>
    </row>
    <row r="36" spans="2:10" s="18" customFormat="1" ht="33.75" x14ac:dyDescent="0.25">
      <c r="B36" s="65" t="s">
        <v>132</v>
      </c>
      <c r="C36" s="38" t="s">
        <v>18</v>
      </c>
      <c r="D36" s="23" t="s">
        <v>46</v>
      </c>
      <c r="E36" s="56">
        <v>25000</v>
      </c>
      <c r="F36" s="25" t="s">
        <v>64</v>
      </c>
      <c r="G36" s="26" t="s">
        <v>125</v>
      </c>
      <c r="H36" s="33"/>
    </row>
    <row r="37" spans="2:10" s="18" customFormat="1" ht="56.25" x14ac:dyDescent="0.25">
      <c r="B37" s="65" t="s">
        <v>132</v>
      </c>
      <c r="C37" s="38" t="s">
        <v>18</v>
      </c>
      <c r="D37" s="23" t="s">
        <v>46</v>
      </c>
      <c r="E37" s="56">
        <v>25500</v>
      </c>
      <c r="F37" s="25" t="s">
        <v>61</v>
      </c>
      <c r="G37" s="26" t="s">
        <v>125</v>
      </c>
      <c r="H37" s="26" t="s">
        <v>96</v>
      </c>
    </row>
    <row r="38" spans="2:10" s="18" customFormat="1" ht="33.75" x14ac:dyDescent="0.25">
      <c r="B38" s="65" t="s">
        <v>132</v>
      </c>
      <c r="C38" s="38" t="s">
        <v>18</v>
      </c>
      <c r="D38" s="23" t="s">
        <v>46</v>
      </c>
      <c r="E38" s="56">
        <v>24000</v>
      </c>
      <c r="F38" s="25" t="s">
        <v>60</v>
      </c>
      <c r="G38" s="26" t="s">
        <v>125</v>
      </c>
      <c r="H38" s="33"/>
    </row>
    <row r="39" spans="2:10" s="18" customFormat="1" ht="50.25" customHeight="1" x14ac:dyDescent="0.25">
      <c r="B39" s="65" t="s">
        <v>134</v>
      </c>
      <c r="C39" s="38" t="s">
        <v>114</v>
      </c>
      <c r="D39" s="23" t="s">
        <v>113</v>
      </c>
      <c r="E39" s="56">
        <v>30000</v>
      </c>
      <c r="F39" s="25" t="s">
        <v>64</v>
      </c>
      <c r="G39" s="26" t="s">
        <v>125</v>
      </c>
      <c r="H39" s="26"/>
    </row>
    <row r="40" spans="2:10" s="18" customFormat="1" ht="33.75" x14ac:dyDescent="0.25">
      <c r="B40" s="65" t="s">
        <v>132</v>
      </c>
      <c r="C40" s="38" t="s">
        <v>55</v>
      </c>
      <c r="D40" s="23" t="s">
        <v>56</v>
      </c>
      <c r="E40" s="56">
        <v>1680</v>
      </c>
      <c r="F40" s="25" t="s">
        <v>91</v>
      </c>
      <c r="G40" s="26" t="s">
        <v>125</v>
      </c>
      <c r="H40" s="33"/>
    </row>
    <row r="41" spans="2:10" s="18" customFormat="1" ht="57" customHeight="1" x14ac:dyDescent="0.25">
      <c r="B41" s="67" t="s">
        <v>132</v>
      </c>
      <c r="C41" s="76" t="s">
        <v>17</v>
      </c>
      <c r="D41" s="68" t="s">
        <v>16</v>
      </c>
      <c r="E41" s="69">
        <f>90000+34000</f>
        <v>124000</v>
      </c>
      <c r="F41" s="70" t="s">
        <v>61</v>
      </c>
      <c r="G41" s="71" t="s">
        <v>125</v>
      </c>
      <c r="H41" s="71" t="s">
        <v>67</v>
      </c>
    </row>
    <row r="42" spans="2:10" s="18" customFormat="1" ht="65.25" customHeight="1" x14ac:dyDescent="0.25">
      <c r="B42" s="67" t="s">
        <v>132</v>
      </c>
      <c r="C42" s="76" t="s">
        <v>17</v>
      </c>
      <c r="D42" s="68" t="s">
        <v>16</v>
      </c>
      <c r="E42" s="69">
        <f>150+400</f>
        <v>550</v>
      </c>
      <c r="F42" s="70" t="s">
        <v>61</v>
      </c>
      <c r="G42" s="71" t="s">
        <v>125</v>
      </c>
      <c r="H42" s="71"/>
      <c r="J42" s="20"/>
    </row>
    <row r="43" spans="2:10" s="18" customFormat="1" ht="56.25" x14ac:dyDescent="0.25">
      <c r="B43" s="65" t="s">
        <v>132</v>
      </c>
      <c r="C43" s="38" t="s">
        <v>77</v>
      </c>
      <c r="D43" s="23" t="s">
        <v>78</v>
      </c>
      <c r="E43" s="56">
        <v>3000</v>
      </c>
      <c r="F43" s="25" t="s">
        <v>61</v>
      </c>
      <c r="G43" s="26" t="s">
        <v>125</v>
      </c>
      <c r="H43" s="26" t="s">
        <v>79</v>
      </c>
    </row>
    <row r="44" spans="2:10" s="18" customFormat="1" ht="75" customHeight="1" x14ac:dyDescent="0.25">
      <c r="B44" s="65" t="s">
        <v>132</v>
      </c>
      <c r="C44" s="77" t="s">
        <v>25</v>
      </c>
      <c r="D44" s="78" t="s">
        <v>119</v>
      </c>
      <c r="E44" s="56">
        <v>100000</v>
      </c>
      <c r="F44" s="79" t="s">
        <v>64</v>
      </c>
      <c r="G44" s="80" t="s">
        <v>125</v>
      </c>
      <c r="H44" s="80"/>
    </row>
    <row r="45" spans="2:10" s="18" customFormat="1" ht="63.75" customHeight="1" x14ac:dyDescent="0.25">
      <c r="B45" s="65" t="s">
        <v>132</v>
      </c>
      <c r="C45" s="23" t="s">
        <v>45</v>
      </c>
      <c r="D45" s="23" t="s">
        <v>63</v>
      </c>
      <c r="E45" s="56">
        <v>6000</v>
      </c>
      <c r="F45" s="25" t="s">
        <v>64</v>
      </c>
      <c r="G45" s="26" t="s">
        <v>125</v>
      </c>
      <c r="H45" s="26"/>
    </row>
    <row r="46" spans="2:10" s="18" customFormat="1" ht="63.75" customHeight="1" x14ac:dyDescent="0.25">
      <c r="B46" s="65" t="s">
        <v>132</v>
      </c>
      <c r="C46" s="78" t="s">
        <v>120</v>
      </c>
      <c r="D46" s="78" t="s">
        <v>121</v>
      </c>
      <c r="E46" s="56">
        <v>450</v>
      </c>
      <c r="F46" s="79" t="s">
        <v>61</v>
      </c>
      <c r="G46" s="80" t="s">
        <v>125</v>
      </c>
      <c r="H46" s="80"/>
    </row>
    <row r="47" spans="2:10" s="18" customFormat="1" ht="77.25" customHeight="1" x14ac:dyDescent="0.25">
      <c r="B47" s="65" t="s">
        <v>132</v>
      </c>
      <c r="C47" s="30">
        <v>79700000</v>
      </c>
      <c r="D47" s="23" t="s">
        <v>27</v>
      </c>
      <c r="E47" s="56">
        <v>600000</v>
      </c>
      <c r="F47" s="25" t="s">
        <v>61</v>
      </c>
      <c r="G47" s="26" t="s">
        <v>125</v>
      </c>
      <c r="H47" s="26" t="s">
        <v>80</v>
      </c>
    </row>
    <row r="48" spans="2:10" s="18" customFormat="1" ht="62.25" customHeight="1" x14ac:dyDescent="0.25">
      <c r="B48" s="65" t="s">
        <v>132</v>
      </c>
      <c r="C48" s="30">
        <v>79800000</v>
      </c>
      <c r="D48" s="23" t="s">
        <v>81</v>
      </c>
      <c r="E48" s="56">
        <v>10000</v>
      </c>
      <c r="F48" s="25" t="s">
        <v>64</v>
      </c>
      <c r="G48" s="26" t="s">
        <v>125</v>
      </c>
      <c r="H48" s="26"/>
    </row>
    <row r="49" spans="2:13" s="18" customFormat="1" ht="62.25" customHeight="1" x14ac:dyDescent="0.25">
      <c r="B49" s="65" t="s">
        <v>132</v>
      </c>
      <c r="C49" s="23" t="s">
        <v>53</v>
      </c>
      <c r="D49" s="23" t="s">
        <v>65</v>
      </c>
      <c r="E49" s="56">
        <f>20000+12000</f>
        <v>32000</v>
      </c>
      <c r="F49" s="25" t="s">
        <v>61</v>
      </c>
      <c r="G49" s="26" t="s">
        <v>125</v>
      </c>
      <c r="H49" s="23" t="s">
        <v>68</v>
      </c>
    </row>
    <row r="50" spans="2:13" s="18" customFormat="1" ht="62.25" customHeight="1" x14ac:dyDescent="0.25">
      <c r="B50" s="65" t="s">
        <v>132</v>
      </c>
      <c r="C50" s="38" t="s">
        <v>24</v>
      </c>
      <c r="D50" s="23" t="s">
        <v>71</v>
      </c>
      <c r="E50" s="56">
        <v>12000</v>
      </c>
      <c r="F50" s="25" t="s">
        <v>64</v>
      </c>
      <c r="G50" s="26" t="s">
        <v>125</v>
      </c>
      <c r="H50" s="23"/>
    </row>
    <row r="51" spans="2:13" s="18" customFormat="1" ht="62.25" customHeight="1" x14ac:dyDescent="0.25">
      <c r="B51" s="65" t="s">
        <v>132</v>
      </c>
      <c r="C51" s="38" t="s">
        <v>122</v>
      </c>
      <c r="D51" s="23" t="s">
        <v>123</v>
      </c>
      <c r="E51" s="56">
        <v>1000</v>
      </c>
      <c r="F51" s="25" t="s">
        <v>61</v>
      </c>
      <c r="G51" s="26" t="s">
        <v>125</v>
      </c>
      <c r="H51" s="23"/>
    </row>
    <row r="52" spans="2:13" s="18" customFormat="1" ht="60.75" customHeight="1" x14ac:dyDescent="0.25">
      <c r="B52" s="65" t="s">
        <v>132</v>
      </c>
      <c r="C52" s="23" t="s">
        <v>82</v>
      </c>
      <c r="D52" s="23" t="s">
        <v>83</v>
      </c>
      <c r="E52" s="56">
        <v>20000</v>
      </c>
      <c r="F52" s="25" t="s">
        <v>64</v>
      </c>
      <c r="G52" s="26" t="s">
        <v>125</v>
      </c>
      <c r="H52" s="31"/>
    </row>
    <row r="53" spans="2:13" s="18" customFormat="1" ht="36.75" customHeight="1" x14ac:dyDescent="0.25">
      <c r="B53" s="65" t="s">
        <v>132</v>
      </c>
      <c r="C53" s="78" t="s">
        <v>12</v>
      </c>
      <c r="D53" s="78" t="s">
        <v>19</v>
      </c>
      <c r="E53" s="56">
        <f>80000+110000</f>
        <v>190000</v>
      </c>
      <c r="F53" s="79" t="s">
        <v>64</v>
      </c>
      <c r="G53" s="80" t="s">
        <v>125</v>
      </c>
      <c r="H53" s="81"/>
    </row>
    <row r="54" spans="2:13" s="18" customFormat="1" ht="54.75" customHeight="1" x14ac:dyDescent="0.25">
      <c r="B54" s="65" t="s">
        <v>132</v>
      </c>
      <c r="C54" s="23" t="s">
        <v>115</v>
      </c>
      <c r="D54" s="23" t="s">
        <v>116</v>
      </c>
      <c r="E54" s="56">
        <v>15000</v>
      </c>
      <c r="F54" s="25" t="s">
        <v>61</v>
      </c>
      <c r="G54" s="26" t="s">
        <v>125</v>
      </c>
      <c r="H54" s="26" t="s">
        <v>79</v>
      </c>
    </row>
    <row r="55" spans="2:13" s="1" customFormat="1" ht="75" customHeight="1" x14ac:dyDescent="0.25">
      <c r="B55" s="126" t="s">
        <v>135</v>
      </c>
      <c r="C55" s="127"/>
      <c r="D55" s="127"/>
      <c r="E55" s="16">
        <f>SUM(E56:E57)</f>
        <v>1710000</v>
      </c>
      <c r="F55" s="13"/>
      <c r="G55" s="14"/>
      <c r="H55" s="10"/>
      <c r="I55" s="61"/>
      <c r="J55" s="62"/>
    </row>
    <row r="56" spans="2:13" s="18" customFormat="1" ht="59.25" customHeight="1" x14ac:dyDescent="0.25">
      <c r="B56" s="65" t="s">
        <v>132</v>
      </c>
      <c r="C56" s="23" t="s">
        <v>24</v>
      </c>
      <c r="D56" s="23" t="s">
        <v>71</v>
      </c>
      <c r="E56" s="56">
        <f>1710000-142500</f>
        <v>1567500</v>
      </c>
      <c r="F56" s="25" t="s">
        <v>64</v>
      </c>
      <c r="G56" s="26" t="s">
        <v>125</v>
      </c>
      <c r="H56" s="41"/>
    </row>
    <row r="57" spans="2:13" s="18" customFormat="1" ht="98.25" customHeight="1" x14ac:dyDescent="0.25">
      <c r="B57" s="65" t="s">
        <v>132</v>
      </c>
      <c r="C57" s="23" t="s">
        <v>24</v>
      </c>
      <c r="D57" s="23" t="s">
        <v>71</v>
      </c>
      <c r="E57" s="56">
        <v>142500</v>
      </c>
      <c r="F57" s="25" t="s">
        <v>61</v>
      </c>
      <c r="G57" s="26" t="s">
        <v>125</v>
      </c>
      <c r="H57" s="48" t="s">
        <v>128</v>
      </c>
      <c r="J57" s="21"/>
    </row>
    <row r="58" spans="2:13" s="1" customFormat="1" ht="31.5" customHeight="1" x14ac:dyDescent="0.25">
      <c r="B58" s="126" t="s">
        <v>136</v>
      </c>
      <c r="C58" s="127"/>
      <c r="D58" s="127"/>
      <c r="E58" s="16">
        <f>SUM(E59:E62)</f>
        <v>22370000</v>
      </c>
      <c r="F58" s="13"/>
      <c r="G58" s="9"/>
      <c r="H58" s="10"/>
      <c r="I58" s="61"/>
      <c r="J58" s="62"/>
    </row>
    <row r="59" spans="2:13" s="18" customFormat="1" ht="75.75" customHeight="1" x14ac:dyDescent="0.25">
      <c r="B59" s="65" t="s">
        <v>132</v>
      </c>
      <c r="C59" s="23" t="s">
        <v>7</v>
      </c>
      <c r="D59" s="23" t="s">
        <v>57</v>
      </c>
      <c r="E59" s="56">
        <f>123443.2+100000-100000</f>
        <v>123443.20000000001</v>
      </c>
      <c r="F59" s="25" t="s">
        <v>61</v>
      </c>
      <c r="G59" s="26" t="s">
        <v>125</v>
      </c>
      <c r="H59" s="48" t="s">
        <v>97</v>
      </c>
    </row>
    <row r="60" spans="2:13" s="18" customFormat="1" ht="75.75" customHeight="1" x14ac:dyDescent="0.25">
      <c r="B60" s="66" t="s">
        <v>133</v>
      </c>
      <c r="C60" s="23" t="s">
        <v>7</v>
      </c>
      <c r="D60" s="23" t="s">
        <v>57</v>
      </c>
      <c r="E60" s="56">
        <v>100000</v>
      </c>
      <c r="F60" s="25" t="s">
        <v>61</v>
      </c>
      <c r="G60" s="26" t="s">
        <v>125</v>
      </c>
      <c r="H60" s="48" t="s">
        <v>97</v>
      </c>
    </row>
    <row r="61" spans="2:13" s="18" customFormat="1" ht="121.5" customHeight="1" x14ac:dyDescent="0.25">
      <c r="B61" s="65" t="s">
        <v>132</v>
      </c>
      <c r="C61" s="23">
        <v>33600000</v>
      </c>
      <c r="D61" s="23" t="s">
        <v>29</v>
      </c>
      <c r="E61" s="56">
        <v>663000</v>
      </c>
      <c r="F61" s="25" t="s">
        <v>64</v>
      </c>
      <c r="G61" s="26" t="s">
        <v>125</v>
      </c>
      <c r="H61" s="41"/>
      <c r="J61" s="21"/>
      <c r="L61" s="21"/>
      <c r="M61" s="21"/>
    </row>
    <row r="62" spans="2:13" s="18" customFormat="1" ht="87.75" customHeight="1" x14ac:dyDescent="0.25">
      <c r="B62" s="65" t="s">
        <v>132</v>
      </c>
      <c r="C62" s="23" t="s">
        <v>32</v>
      </c>
      <c r="D62" s="23" t="s">
        <v>29</v>
      </c>
      <c r="E62" s="56">
        <v>21483556.800000001</v>
      </c>
      <c r="F62" s="25" t="s">
        <v>61</v>
      </c>
      <c r="G62" s="26" t="s">
        <v>125</v>
      </c>
      <c r="H62" s="48" t="s">
        <v>98</v>
      </c>
      <c r="J62" s="21"/>
      <c r="K62" s="21"/>
    </row>
    <row r="63" spans="2:13" s="1" customFormat="1" ht="60" customHeight="1" x14ac:dyDescent="0.25">
      <c r="B63" s="126" t="s">
        <v>137</v>
      </c>
      <c r="C63" s="127"/>
      <c r="D63" s="127"/>
      <c r="E63" s="16">
        <f>SUM(E64:E68)</f>
        <v>1700000</v>
      </c>
      <c r="F63" s="13"/>
      <c r="G63" s="14"/>
      <c r="H63" s="10"/>
      <c r="I63" s="61"/>
      <c r="J63" s="62"/>
    </row>
    <row r="64" spans="2:13" s="18" customFormat="1" ht="36.75" customHeight="1" x14ac:dyDescent="0.25">
      <c r="B64" s="65" t="s">
        <v>132</v>
      </c>
      <c r="C64" s="23" t="s">
        <v>7</v>
      </c>
      <c r="D64" s="23" t="s">
        <v>28</v>
      </c>
      <c r="E64" s="56">
        <v>52272.9</v>
      </c>
      <c r="F64" s="25" t="s">
        <v>64</v>
      </c>
      <c r="G64" s="26" t="s">
        <v>125</v>
      </c>
      <c r="H64" s="41"/>
    </row>
    <row r="65" spans="2:10" s="18" customFormat="1" ht="30.75" customHeight="1" x14ac:dyDescent="0.25">
      <c r="B65" s="65" t="s">
        <v>132</v>
      </c>
      <c r="C65" s="23" t="s">
        <v>32</v>
      </c>
      <c r="D65" s="23" t="s">
        <v>29</v>
      </c>
      <c r="E65" s="56">
        <f>200847.5</f>
        <v>200847.5</v>
      </c>
      <c r="F65" s="25" t="s">
        <v>64</v>
      </c>
      <c r="G65" s="26" t="s">
        <v>125</v>
      </c>
      <c r="H65" s="41"/>
    </row>
    <row r="66" spans="2:10" s="18" customFormat="1" ht="45" customHeight="1" x14ac:dyDescent="0.25">
      <c r="B66" s="65" t="s">
        <v>132</v>
      </c>
      <c r="C66" s="23" t="s">
        <v>89</v>
      </c>
      <c r="D66" s="23" t="s">
        <v>90</v>
      </c>
      <c r="E66" s="56">
        <f>816000-200000</f>
        <v>616000</v>
      </c>
      <c r="F66" s="25" t="s">
        <v>64</v>
      </c>
      <c r="G66" s="26" t="s">
        <v>125</v>
      </c>
      <c r="H66" s="48"/>
    </row>
    <row r="67" spans="2:10" s="18" customFormat="1" ht="78.75" x14ac:dyDescent="0.25">
      <c r="B67" s="65" t="s">
        <v>132</v>
      </c>
      <c r="C67" s="23" t="s">
        <v>24</v>
      </c>
      <c r="D67" s="23" t="s">
        <v>71</v>
      </c>
      <c r="E67" s="56">
        <v>69239.960000000006</v>
      </c>
      <c r="F67" s="25" t="s">
        <v>61</v>
      </c>
      <c r="G67" s="26" t="s">
        <v>125</v>
      </c>
      <c r="H67" s="48" t="s">
        <v>129</v>
      </c>
      <c r="J67" s="21"/>
    </row>
    <row r="68" spans="2:10" s="18" customFormat="1" ht="60" customHeight="1" x14ac:dyDescent="0.25">
      <c r="B68" s="65" t="s">
        <v>132</v>
      </c>
      <c r="C68" s="23" t="s">
        <v>24</v>
      </c>
      <c r="D68" s="23" t="s">
        <v>71</v>
      </c>
      <c r="E68" s="56">
        <f>830879.6-69239.96</f>
        <v>761639.64</v>
      </c>
      <c r="F68" s="25" t="s">
        <v>64</v>
      </c>
      <c r="G68" s="26" t="s">
        <v>125</v>
      </c>
      <c r="H68" s="48"/>
    </row>
    <row r="69" spans="2:10" s="1" customFormat="1" ht="65.25" customHeight="1" x14ac:dyDescent="0.25">
      <c r="B69" s="126" t="s">
        <v>138</v>
      </c>
      <c r="C69" s="127"/>
      <c r="D69" s="127"/>
      <c r="E69" s="16">
        <f>SUM(E70:E72)</f>
        <v>1630006</v>
      </c>
      <c r="F69" s="13"/>
      <c r="G69" s="14"/>
      <c r="H69" s="10"/>
      <c r="I69" s="61"/>
      <c r="J69" s="62"/>
    </row>
    <row r="70" spans="2:10" s="18" customFormat="1" ht="33.75" x14ac:dyDescent="0.25">
      <c r="B70" s="65" t="s">
        <v>132</v>
      </c>
      <c r="C70" s="36" t="s">
        <v>25</v>
      </c>
      <c r="D70" s="36" t="s">
        <v>69</v>
      </c>
      <c r="E70" s="56">
        <v>100000</v>
      </c>
      <c r="F70" s="43" t="s">
        <v>64</v>
      </c>
      <c r="G70" s="26" t="s">
        <v>125</v>
      </c>
      <c r="H70" s="44"/>
    </row>
    <row r="71" spans="2:10" s="18" customFormat="1" ht="78.75" x14ac:dyDescent="0.25">
      <c r="B71" s="65" t="s">
        <v>132</v>
      </c>
      <c r="C71" s="23">
        <v>85100000</v>
      </c>
      <c r="D71" s="23" t="s">
        <v>71</v>
      </c>
      <c r="E71" s="56">
        <v>127500.5</v>
      </c>
      <c r="F71" s="25" t="s">
        <v>61</v>
      </c>
      <c r="G71" s="26" t="s">
        <v>125</v>
      </c>
      <c r="H71" s="45" t="s">
        <v>124</v>
      </c>
    </row>
    <row r="72" spans="2:10" s="18" customFormat="1" ht="60.75" customHeight="1" x14ac:dyDescent="0.25">
      <c r="B72" s="65" t="s">
        <v>132</v>
      </c>
      <c r="C72" s="23">
        <v>85100000</v>
      </c>
      <c r="D72" s="23" t="s">
        <v>71</v>
      </c>
      <c r="E72" s="56">
        <f>1530006-127500.5</f>
        <v>1402505.5</v>
      </c>
      <c r="F72" s="25" t="s">
        <v>64</v>
      </c>
      <c r="G72" s="26" t="s">
        <v>125</v>
      </c>
      <c r="H72" s="45"/>
    </row>
    <row r="73" spans="2:10" s="1" customFormat="1" ht="61.5" customHeight="1" x14ac:dyDescent="0.25">
      <c r="B73" s="126" t="s">
        <v>139</v>
      </c>
      <c r="C73" s="127"/>
      <c r="D73" s="127"/>
      <c r="E73" s="16">
        <f>SUM(E74:E75)</f>
        <v>170000</v>
      </c>
      <c r="F73" s="13"/>
      <c r="G73" s="14"/>
      <c r="H73" s="10"/>
      <c r="I73" s="61"/>
      <c r="J73" s="62"/>
    </row>
    <row r="74" spans="2:10" s="18" customFormat="1" ht="70.5" customHeight="1" x14ac:dyDescent="0.25">
      <c r="B74" s="65" t="s">
        <v>132</v>
      </c>
      <c r="C74" s="23" t="s">
        <v>24</v>
      </c>
      <c r="D74" s="23" t="s">
        <v>71</v>
      </c>
      <c r="E74" s="56">
        <v>14166.6</v>
      </c>
      <c r="F74" s="25" t="s">
        <v>61</v>
      </c>
      <c r="G74" s="26" t="s">
        <v>125</v>
      </c>
      <c r="H74" s="48" t="s">
        <v>76</v>
      </c>
    </row>
    <row r="75" spans="2:10" s="18" customFormat="1" ht="75" customHeight="1" x14ac:dyDescent="0.25">
      <c r="B75" s="65" t="s">
        <v>132</v>
      </c>
      <c r="C75" s="23" t="s">
        <v>24</v>
      </c>
      <c r="D75" s="23" t="s">
        <v>71</v>
      </c>
      <c r="E75" s="56">
        <f>170000-14166.6</f>
        <v>155833.4</v>
      </c>
      <c r="F75" s="25" t="s">
        <v>64</v>
      </c>
      <c r="G75" s="26" t="s">
        <v>125</v>
      </c>
      <c r="H75" s="48"/>
    </row>
    <row r="76" spans="2:10" s="1" customFormat="1" ht="65.25" customHeight="1" x14ac:dyDescent="0.25">
      <c r="B76" s="121" t="s">
        <v>140</v>
      </c>
      <c r="C76" s="122"/>
      <c r="D76" s="122"/>
      <c r="E76" s="16">
        <f>SUM(E77:E81)</f>
        <v>1033769.8999999999</v>
      </c>
      <c r="F76" s="13"/>
      <c r="G76" s="14"/>
      <c r="H76" s="60"/>
      <c r="I76" s="61"/>
      <c r="J76" s="62"/>
    </row>
    <row r="77" spans="2:10" s="18" customFormat="1" ht="49.5" customHeight="1" x14ac:dyDescent="0.25">
      <c r="B77" s="65" t="s">
        <v>132</v>
      </c>
      <c r="C77" s="23" t="s">
        <v>14</v>
      </c>
      <c r="D77" s="23" t="s">
        <v>15</v>
      </c>
      <c r="E77" s="56">
        <v>24200</v>
      </c>
      <c r="F77" s="25" t="s">
        <v>60</v>
      </c>
      <c r="G77" s="26" t="s">
        <v>125</v>
      </c>
      <c r="H77" s="41"/>
    </row>
    <row r="78" spans="2:10" s="18" customFormat="1" ht="33.75" x14ac:dyDescent="0.25">
      <c r="B78" s="65" t="s">
        <v>132</v>
      </c>
      <c r="C78" s="28">
        <v>33100000</v>
      </c>
      <c r="D78" s="28" t="s">
        <v>28</v>
      </c>
      <c r="E78" s="56">
        <v>406770.2</v>
      </c>
      <c r="F78" s="29" t="s">
        <v>64</v>
      </c>
      <c r="G78" s="26" t="s">
        <v>125</v>
      </c>
      <c r="H78" s="46"/>
    </row>
    <row r="79" spans="2:10" s="18" customFormat="1" ht="60.75" customHeight="1" x14ac:dyDescent="0.25">
      <c r="B79" s="65" t="s">
        <v>132</v>
      </c>
      <c r="C79" s="23" t="s">
        <v>59</v>
      </c>
      <c r="D79" s="23" t="s">
        <v>44</v>
      </c>
      <c r="E79" s="56">
        <v>15000</v>
      </c>
      <c r="F79" s="25" t="s">
        <v>64</v>
      </c>
      <c r="G79" s="26" t="s">
        <v>125</v>
      </c>
      <c r="H79" s="41"/>
    </row>
    <row r="80" spans="2:10" s="18" customFormat="1" ht="75" customHeight="1" x14ac:dyDescent="0.25">
      <c r="B80" s="65" t="s">
        <v>132</v>
      </c>
      <c r="C80" s="23">
        <v>85100000</v>
      </c>
      <c r="D80" s="23" t="s">
        <v>71</v>
      </c>
      <c r="E80" s="56">
        <v>48983</v>
      </c>
      <c r="F80" s="25" t="s">
        <v>61</v>
      </c>
      <c r="G80" s="26" t="s">
        <v>125</v>
      </c>
      <c r="H80" s="48" t="s">
        <v>126</v>
      </c>
    </row>
    <row r="81" spans="2:10" s="18" customFormat="1" ht="65.25" customHeight="1" x14ac:dyDescent="0.25">
      <c r="B81" s="65" t="s">
        <v>132</v>
      </c>
      <c r="C81" s="23">
        <v>85100000</v>
      </c>
      <c r="D81" s="23" t="s">
        <v>71</v>
      </c>
      <c r="E81" s="56">
        <f>587800-48983.3</f>
        <v>538816.69999999995</v>
      </c>
      <c r="F81" s="25" t="s">
        <v>64</v>
      </c>
      <c r="G81" s="26" t="s">
        <v>125</v>
      </c>
      <c r="H81" s="48"/>
    </row>
    <row r="82" spans="2:10" s="1" customFormat="1" ht="80.25" customHeight="1" x14ac:dyDescent="0.25">
      <c r="B82" s="126" t="s">
        <v>141</v>
      </c>
      <c r="C82" s="127"/>
      <c r="D82" s="127"/>
      <c r="E82" s="16">
        <f>SUM(E83:E83)</f>
        <v>1250000</v>
      </c>
      <c r="F82" s="13"/>
      <c r="G82" s="14"/>
      <c r="H82" s="10"/>
      <c r="I82" s="61"/>
      <c r="J82" s="62"/>
    </row>
    <row r="83" spans="2:10" s="18" customFormat="1" ht="84.75" customHeight="1" x14ac:dyDescent="0.25">
      <c r="B83" s="65" t="s">
        <v>132</v>
      </c>
      <c r="C83" s="23" t="s">
        <v>32</v>
      </c>
      <c r="D83" s="23" t="s">
        <v>29</v>
      </c>
      <c r="E83" s="56">
        <v>1250000</v>
      </c>
      <c r="F83" s="25" t="s">
        <v>64</v>
      </c>
      <c r="G83" s="26" t="s">
        <v>125</v>
      </c>
      <c r="H83" s="32"/>
    </row>
    <row r="84" spans="2:10" s="1" customFormat="1" ht="57.75" customHeight="1" x14ac:dyDescent="0.25">
      <c r="B84" s="119" t="s">
        <v>142</v>
      </c>
      <c r="C84" s="120"/>
      <c r="D84" s="120"/>
      <c r="E84" s="57">
        <f>SUM(E85:E88)</f>
        <v>4000000.0000000005</v>
      </c>
      <c r="F84" s="58"/>
      <c r="G84" s="58"/>
      <c r="H84" s="59"/>
      <c r="I84" s="61"/>
      <c r="J84" s="62"/>
    </row>
    <row r="85" spans="2:10" s="18" customFormat="1" ht="29.25" customHeight="1" x14ac:dyDescent="0.25">
      <c r="B85" s="65" t="s">
        <v>132</v>
      </c>
      <c r="C85" s="38">
        <v>33100000</v>
      </c>
      <c r="D85" s="23" t="s">
        <v>8</v>
      </c>
      <c r="E85" s="56">
        <v>124876.2</v>
      </c>
      <c r="F85" s="25" t="s">
        <v>64</v>
      </c>
      <c r="G85" s="26" t="s">
        <v>125</v>
      </c>
      <c r="H85" s="26"/>
    </row>
    <row r="86" spans="2:10" s="18" customFormat="1" ht="33.75" x14ac:dyDescent="0.25">
      <c r="B86" s="65" t="s">
        <v>132</v>
      </c>
      <c r="C86" s="38" t="s">
        <v>32</v>
      </c>
      <c r="D86" s="23" t="s">
        <v>9</v>
      </c>
      <c r="E86" s="56">
        <f>2995349.4-3495.8</f>
        <v>2991853.6</v>
      </c>
      <c r="F86" s="25" t="s">
        <v>64</v>
      </c>
      <c r="G86" s="26" t="s">
        <v>125</v>
      </c>
      <c r="H86" s="26"/>
    </row>
    <row r="87" spans="2:10" s="18" customFormat="1" ht="67.5" x14ac:dyDescent="0.25">
      <c r="B87" s="65" t="s">
        <v>132</v>
      </c>
      <c r="C87" s="38" t="s">
        <v>24</v>
      </c>
      <c r="D87" s="23" t="s">
        <v>71</v>
      </c>
      <c r="E87" s="56">
        <v>73605.850000000006</v>
      </c>
      <c r="F87" s="25" t="s">
        <v>61</v>
      </c>
      <c r="G87" s="26" t="s">
        <v>125</v>
      </c>
      <c r="H87" s="40" t="s">
        <v>127</v>
      </c>
    </row>
    <row r="88" spans="2:10" s="18" customFormat="1" ht="42.75" customHeight="1" x14ac:dyDescent="0.25">
      <c r="B88" s="65" t="s">
        <v>132</v>
      </c>
      <c r="C88" s="23" t="s">
        <v>24</v>
      </c>
      <c r="D88" s="23" t="s">
        <v>71</v>
      </c>
      <c r="E88" s="56">
        <f>883270.2-73605.85</f>
        <v>809664.35</v>
      </c>
      <c r="F88" s="25" t="s">
        <v>64</v>
      </c>
      <c r="G88" s="26" t="s">
        <v>125</v>
      </c>
      <c r="H88" s="40"/>
    </row>
    <row r="89" spans="2:10" ht="122.25" customHeight="1" x14ac:dyDescent="0.25">
      <c r="B89" s="126" t="s">
        <v>143</v>
      </c>
      <c r="C89" s="127"/>
      <c r="D89" s="127"/>
      <c r="E89" s="16">
        <f>SUM(E90)</f>
        <v>2412977.7999999998</v>
      </c>
      <c r="F89" s="13"/>
      <c r="G89" s="14"/>
      <c r="H89" s="10"/>
      <c r="I89" s="61"/>
      <c r="J89" s="63"/>
    </row>
    <row r="90" spans="2:10" s="18" customFormat="1" ht="117.75" customHeight="1" x14ac:dyDescent="0.25">
      <c r="B90" s="65" t="s">
        <v>132</v>
      </c>
      <c r="C90" s="23" t="s">
        <v>32</v>
      </c>
      <c r="D90" s="23" t="s">
        <v>29</v>
      </c>
      <c r="E90" s="56">
        <f>1240900.7+1172077.1</f>
        <v>2412977.7999999998</v>
      </c>
      <c r="F90" s="25" t="s">
        <v>64</v>
      </c>
      <c r="G90" s="26" t="s">
        <v>125</v>
      </c>
      <c r="H90" s="48"/>
    </row>
    <row r="91" spans="2:10" s="1" customFormat="1" ht="57" customHeight="1" x14ac:dyDescent="0.25">
      <c r="B91" s="121" t="s">
        <v>144</v>
      </c>
      <c r="C91" s="122"/>
      <c r="D91" s="122"/>
      <c r="E91" s="16">
        <f>SUM(E92:E95)</f>
        <v>437054.3</v>
      </c>
      <c r="F91" s="13"/>
      <c r="G91" s="60"/>
      <c r="H91" s="60"/>
      <c r="I91" s="61"/>
      <c r="J91" s="62"/>
    </row>
    <row r="92" spans="2:10" s="18" customFormat="1" ht="59.25" customHeight="1" x14ac:dyDescent="0.25">
      <c r="B92" s="67" t="s">
        <v>148</v>
      </c>
      <c r="C92" s="68">
        <v>33100000</v>
      </c>
      <c r="D92" s="68" t="s">
        <v>28</v>
      </c>
      <c r="E92" s="69">
        <v>20000</v>
      </c>
      <c r="F92" s="70" t="s">
        <v>64</v>
      </c>
      <c r="G92" s="71" t="s">
        <v>125</v>
      </c>
      <c r="H92" s="73"/>
    </row>
    <row r="93" spans="2:10" s="18" customFormat="1" ht="38.25" x14ac:dyDescent="0.25">
      <c r="B93" s="65" t="s">
        <v>148</v>
      </c>
      <c r="C93" s="36">
        <v>33600000</v>
      </c>
      <c r="D93" s="36" t="s">
        <v>29</v>
      </c>
      <c r="E93" s="56">
        <f>266824.3+68000-17770</f>
        <v>317054.3</v>
      </c>
      <c r="F93" s="43" t="s">
        <v>64</v>
      </c>
      <c r="G93" s="26" t="s">
        <v>125</v>
      </c>
      <c r="H93" s="44"/>
    </row>
    <row r="94" spans="2:10" s="18" customFormat="1" ht="78.75" x14ac:dyDescent="0.25">
      <c r="B94" s="65" t="s">
        <v>132</v>
      </c>
      <c r="C94" s="38" t="s">
        <v>103</v>
      </c>
      <c r="D94" s="23" t="s">
        <v>71</v>
      </c>
      <c r="E94" s="56">
        <v>8645.83</v>
      </c>
      <c r="F94" s="25" t="s">
        <v>61</v>
      </c>
      <c r="G94" s="26" t="s">
        <v>125</v>
      </c>
      <c r="H94" s="45" t="s">
        <v>130</v>
      </c>
    </row>
    <row r="95" spans="2:10" s="18" customFormat="1" ht="51" customHeight="1" x14ac:dyDescent="0.25">
      <c r="B95" s="65" t="s">
        <v>132</v>
      </c>
      <c r="C95" s="38" t="s">
        <v>24</v>
      </c>
      <c r="D95" s="23" t="s">
        <v>71</v>
      </c>
      <c r="E95" s="56">
        <f>103750-8645.83-3750</f>
        <v>91354.17</v>
      </c>
      <c r="F95" s="25" t="s">
        <v>64</v>
      </c>
      <c r="G95" s="26" t="s">
        <v>125</v>
      </c>
      <c r="H95" s="45"/>
    </row>
    <row r="96" spans="2:10" ht="59.25" customHeight="1" x14ac:dyDescent="0.25">
      <c r="B96" s="126" t="s">
        <v>145</v>
      </c>
      <c r="C96" s="127"/>
      <c r="D96" s="127"/>
      <c r="E96" s="16">
        <f>SUM(E97:E97)</f>
        <v>2100000</v>
      </c>
      <c r="F96" s="13"/>
      <c r="G96" s="14"/>
      <c r="H96" s="10"/>
      <c r="I96" s="61"/>
      <c r="J96" s="63"/>
    </row>
    <row r="97" spans="2:10" s="18" customFormat="1" ht="42.75" customHeight="1" x14ac:dyDescent="0.25">
      <c r="B97" s="65" t="s">
        <v>132</v>
      </c>
      <c r="C97" s="23" t="s">
        <v>25</v>
      </c>
      <c r="D97" s="23" t="s">
        <v>69</v>
      </c>
      <c r="E97" s="56">
        <f>2100000</f>
        <v>2100000</v>
      </c>
      <c r="F97" s="25" t="s">
        <v>64</v>
      </c>
      <c r="G97" s="26" t="s">
        <v>125</v>
      </c>
      <c r="H97" s="53"/>
    </row>
    <row r="98" spans="2:10" ht="70.5" customHeight="1" x14ac:dyDescent="0.25">
      <c r="B98" s="126" t="s">
        <v>146</v>
      </c>
      <c r="C98" s="127"/>
      <c r="D98" s="127"/>
      <c r="E98" s="16">
        <f>SUM(E99:E100)</f>
        <v>396000</v>
      </c>
      <c r="F98" s="13"/>
      <c r="G98" s="14"/>
      <c r="H98" s="10"/>
      <c r="I98" s="61"/>
      <c r="J98" s="63"/>
    </row>
    <row r="99" spans="2:10" s="18" customFormat="1" ht="33.75" x14ac:dyDescent="0.25">
      <c r="B99" s="65" t="s">
        <v>132</v>
      </c>
      <c r="C99" s="28" t="s">
        <v>32</v>
      </c>
      <c r="D99" s="28" t="s">
        <v>29</v>
      </c>
      <c r="E99" s="24">
        <f>264000</f>
        <v>264000</v>
      </c>
      <c r="F99" s="29" t="s">
        <v>64</v>
      </c>
      <c r="G99" s="26" t="s">
        <v>125</v>
      </c>
      <c r="H99" s="27"/>
    </row>
    <row r="100" spans="2:10" s="18" customFormat="1" ht="33.75" x14ac:dyDescent="0.25">
      <c r="B100" s="65" t="s">
        <v>132</v>
      </c>
      <c r="C100" s="28" t="s">
        <v>7</v>
      </c>
      <c r="D100" s="28" t="s">
        <v>28</v>
      </c>
      <c r="E100" s="24">
        <v>132000</v>
      </c>
      <c r="F100" s="29" t="s">
        <v>64</v>
      </c>
      <c r="G100" s="26" t="s">
        <v>125</v>
      </c>
      <c r="H100" s="55"/>
    </row>
  </sheetData>
  <autoFilter ref="A8:H100"/>
  <mergeCells count="20">
    <mergeCell ref="B96:D96"/>
    <mergeCell ref="B98:D98"/>
    <mergeCell ref="B73:D73"/>
    <mergeCell ref="B76:D76"/>
    <mergeCell ref="B82:D82"/>
    <mergeCell ref="B84:D84"/>
    <mergeCell ref="B89:D89"/>
    <mergeCell ref="B91:D91"/>
    <mergeCell ref="B69:D69"/>
    <mergeCell ref="B2:H2"/>
    <mergeCell ref="B3:H3"/>
    <mergeCell ref="B4:E4"/>
    <mergeCell ref="F4:H4"/>
    <mergeCell ref="B5:E5"/>
    <mergeCell ref="F5:H5"/>
    <mergeCell ref="B6:F6"/>
    <mergeCell ref="B9:D9"/>
    <mergeCell ref="B55:D55"/>
    <mergeCell ref="B58:D58"/>
    <mergeCell ref="B63:D63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01"/>
  <sheetViews>
    <sheetView topLeftCell="B55" zoomScaleNormal="100" zoomScaleSheetLayoutView="80" workbookViewId="0">
      <selection activeCell="B57" sqref="A57:XFD57"/>
    </sheetView>
  </sheetViews>
  <sheetFormatPr defaultRowHeight="15" x14ac:dyDescent="0.2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3" width="11.5703125" bestFit="1" customWidth="1"/>
  </cols>
  <sheetData>
    <row r="2" spans="2:8" ht="18.75" x14ac:dyDescent="0.25">
      <c r="B2" s="123" t="s">
        <v>41</v>
      </c>
      <c r="C2" s="123"/>
      <c r="D2" s="123"/>
      <c r="E2" s="123"/>
      <c r="F2" s="123"/>
      <c r="G2" s="123"/>
      <c r="H2" s="123"/>
    </row>
    <row r="3" spans="2:8" ht="18.75" x14ac:dyDescent="0.3">
      <c r="B3" s="124" t="s">
        <v>4</v>
      </c>
      <c r="C3" s="124"/>
      <c r="D3" s="124"/>
      <c r="E3" s="124"/>
      <c r="F3" s="124"/>
      <c r="G3" s="124"/>
      <c r="H3" s="124"/>
    </row>
    <row r="4" spans="2:8" x14ac:dyDescent="0.25">
      <c r="B4" s="125" t="s">
        <v>54</v>
      </c>
      <c r="C4" s="125"/>
      <c r="D4" s="125"/>
      <c r="E4" s="125"/>
      <c r="F4" s="125" t="s">
        <v>21</v>
      </c>
      <c r="G4" s="125"/>
      <c r="H4" s="125"/>
    </row>
    <row r="5" spans="2:8" x14ac:dyDescent="0.25">
      <c r="B5" s="125" t="s">
        <v>20</v>
      </c>
      <c r="C5" s="125"/>
      <c r="D5" s="125"/>
      <c r="E5" s="125"/>
      <c r="F5" s="125" t="s">
        <v>10</v>
      </c>
      <c r="G5" s="125"/>
      <c r="H5" s="125"/>
    </row>
    <row r="6" spans="2:8" ht="24.75" customHeight="1" x14ac:dyDescent="0.25">
      <c r="B6" s="115" t="s">
        <v>22</v>
      </c>
      <c r="C6" s="116"/>
      <c r="D6" s="116"/>
      <c r="E6" s="116"/>
      <c r="F6" s="116"/>
      <c r="G6" s="2">
        <f>E9+E55+E58+E63+E69+E73+E76+E82+E84+E89+E91+E96+E98</f>
        <v>43359867.999999993</v>
      </c>
      <c r="H6" s="3" t="s">
        <v>23</v>
      </c>
    </row>
    <row r="7" spans="2:8" ht="25.5" x14ac:dyDescent="0.2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 x14ac:dyDescent="0.25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customHeight="1" x14ac:dyDescent="0.25">
      <c r="B9" s="117" t="s">
        <v>131</v>
      </c>
      <c r="C9" s="118"/>
      <c r="D9" s="118"/>
      <c r="E9" s="15">
        <f>SUM(E10:E54)</f>
        <v>4154080</v>
      </c>
      <c r="F9" s="11"/>
      <c r="G9" s="9"/>
      <c r="H9" s="10"/>
    </row>
    <row r="10" spans="2:8" s="18" customFormat="1" ht="33.75" x14ac:dyDescent="0.2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8" s="18" customFormat="1" ht="33.75" x14ac:dyDescent="0.2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8" s="18" customFormat="1" ht="33.75" x14ac:dyDescent="0.25">
      <c r="B12" s="65" t="s">
        <v>132</v>
      </c>
      <c r="C12" s="23" t="s">
        <v>100</v>
      </c>
      <c r="D12" s="23" t="s">
        <v>101</v>
      </c>
      <c r="E12" s="56">
        <v>500</v>
      </c>
      <c r="F12" s="25" t="s">
        <v>61</v>
      </c>
      <c r="G12" s="26" t="s">
        <v>125</v>
      </c>
      <c r="H12" s="23"/>
    </row>
    <row r="13" spans="2:8" s="19" customFormat="1" ht="33.75" x14ac:dyDescent="0.25">
      <c r="B13" s="65" t="s">
        <v>132</v>
      </c>
      <c r="C13" s="28" t="s">
        <v>50</v>
      </c>
      <c r="D13" s="28" t="s">
        <v>52</v>
      </c>
      <c r="E13" s="56">
        <v>1600</v>
      </c>
      <c r="F13" s="29" t="s">
        <v>61</v>
      </c>
      <c r="G13" s="26" t="s">
        <v>125</v>
      </c>
      <c r="H13" s="28"/>
    </row>
    <row r="14" spans="2:8" s="18" customFormat="1" ht="49.5" customHeight="1" x14ac:dyDescent="0.25">
      <c r="B14" s="65" t="s">
        <v>132</v>
      </c>
      <c r="C14" s="23" t="s">
        <v>39</v>
      </c>
      <c r="D14" s="23" t="s">
        <v>58</v>
      </c>
      <c r="E14" s="56">
        <f>23100</f>
        <v>23100</v>
      </c>
      <c r="F14" s="25" t="s">
        <v>60</v>
      </c>
      <c r="G14" s="26" t="s">
        <v>125</v>
      </c>
      <c r="H14" s="23"/>
    </row>
    <row r="15" spans="2:8" s="18" customFormat="1" ht="49.5" customHeight="1" x14ac:dyDescent="0.25">
      <c r="B15" s="65" t="s">
        <v>132</v>
      </c>
      <c r="C15" s="23" t="s">
        <v>39</v>
      </c>
      <c r="D15" s="23" t="s">
        <v>58</v>
      </c>
      <c r="E15" s="56">
        <f>60000+9000</f>
        <v>69000</v>
      </c>
      <c r="F15" s="25" t="s">
        <v>64</v>
      </c>
      <c r="G15" s="26" t="s">
        <v>125</v>
      </c>
      <c r="H15" s="23"/>
    </row>
    <row r="16" spans="2:8" s="18" customFormat="1" ht="38.25" customHeight="1" x14ac:dyDescent="0.25">
      <c r="B16" s="65" t="s">
        <v>147</v>
      </c>
      <c r="C16" s="30">
        <v>31400000</v>
      </c>
      <c r="D16" s="23" t="s">
        <v>11</v>
      </c>
      <c r="E16" s="56">
        <f>3000+1800</f>
        <v>4800</v>
      </c>
      <c r="F16" s="25" t="s">
        <v>61</v>
      </c>
      <c r="G16" s="26" t="s">
        <v>125</v>
      </c>
      <c r="H16" s="31"/>
    </row>
    <row r="17" spans="2:8" s="18" customFormat="1" ht="38.25" customHeight="1" x14ac:dyDescent="0.25">
      <c r="B17" s="65" t="s">
        <v>147</v>
      </c>
      <c r="C17" s="23" t="s">
        <v>43</v>
      </c>
      <c r="D17" s="23" t="s">
        <v>42</v>
      </c>
      <c r="E17" s="56">
        <v>10000</v>
      </c>
      <c r="F17" s="25" t="s">
        <v>60</v>
      </c>
      <c r="G17" s="26" t="s">
        <v>125</v>
      </c>
      <c r="H17" s="32"/>
    </row>
    <row r="18" spans="2:8" s="18" customFormat="1" ht="33.75" x14ac:dyDescent="0.25">
      <c r="B18" s="65" t="s">
        <v>132</v>
      </c>
      <c r="C18" s="23" t="s">
        <v>92</v>
      </c>
      <c r="D18" s="23" t="s">
        <v>93</v>
      </c>
      <c r="E18" s="56">
        <v>4800</v>
      </c>
      <c r="F18" s="25" t="s">
        <v>91</v>
      </c>
      <c r="G18" s="26" t="s">
        <v>125</v>
      </c>
      <c r="H18" s="31"/>
    </row>
    <row r="19" spans="2:8" s="18" customFormat="1" ht="33.75" x14ac:dyDescent="0.25">
      <c r="B19" s="65" t="s">
        <v>132</v>
      </c>
      <c r="C19" s="23" t="s">
        <v>94</v>
      </c>
      <c r="D19" s="23" t="s">
        <v>95</v>
      </c>
      <c r="E19" s="56">
        <v>4800</v>
      </c>
      <c r="F19" s="25" t="s">
        <v>91</v>
      </c>
      <c r="G19" s="26" t="s">
        <v>125</v>
      </c>
      <c r="H19" s="31"/>
    </row>
    <row r="20" spans="2:8" s="18" customFormat="1" ht="33.75" x14ac:dyDescent="0.25">
      <c r="B20" s="65" t="s">
        <v>132</v>
      </c>
      <c r="C20" s="34">
        <v>39800000</v>
      </c>
      <c r="D20" s="34" t="s">
        <v>84</v>
      </c>
      <c r="E20" s="56">
        <v>4800</v>
      </c>
      <c r="F20" s="25" t="s">
        <v>91</v>
      </c>
      <c r="G20" s="26" t="s">
        <v>125</v>
      </c>
      <c r="H20" s="31"/>
    </row>
    <row r="21" spans="2:8" s="18" customFormat="1" ht="51.75" customHeight="1" x14ac:dyDescent="0.25">
      <c r="B21" s="65" t="s">
        <v>132</v>
      </c>
      <c r="C21" s="84">
        <v>41100000</v>
      </c>
      <c r="D21" s="85" t="s">
        <v>149</v>
      </c>
      <c r="E21" s="56">
        <v>6750</v>
      </c>
      <c r="F21" s="79" t="s">
        <v>64</v>
      </c>
      <c r="G21" s="80" t="s">
        <v>125</v>
      </c>
      <c r="H21" s="81"/>
    </row>
    <row r="22" spans="2:8" s="18" customFormat="1" ht="51.75" customHeight="1" x14ac:dyDescent="0.25">
      <c r="B22" s="65" t="s">
        <v>132</v>
      </c>
      <c r="C22" s="30">
        <v>45400000</v>
      </c>
      <c r="D22" s="34" t="s">
        <v>102</v>
      </c>
      <c r="E22" s="56">
        <v>40000</v>
      </c>
      <c r="F22" s="25" t="s">
        <v>64</v>
      </c>
      <c r="G22" s="26" t="s">
        <v>125</v>
      </c>
      <c r="H22" s="31"/>
    </row>
    <row r="23" spans="2:8" s="18" customFormat="1" ht="37.5" customHeight="1" x14ac:dyDescent="0.25">
      <c r="B23" s="65" t="s">
        <v>133</v>
      </c>
      <c r="C23" s="30">
        <v>48700000</v>
      </c>
      <c r="D23" s="23" t="s">
        <v>104</v>
      </c>
      <c r="E23" s="56">
        <v>30000</v>
      </c>
      <c r="F23" s="25" t="s">
        <v>64</v>
      </c>
      <c r="G23" s="26" t="s">
        <v>125</v>
      </c>
      <c r="H23" s="31"/>
    </row>
    <row r="24" spans="2:8" s="18" customFormat="1" ht="56.25" x14ac:dyDescent="0.25">
      <c r="B24" s="67" t="s">
        <v>132</v>
      </c>
      <c r="C24" s="68">
        <v>50100000</v>
      </c>
      <c r="D24" s="68" t="s">
        <v>44</v>
      </c>
      <c r="E24" s="69">
        <f>10000+30000</f>
        <v>40000</v>
      </c>
      <c r="F24" s="70" t="s">
        <v>61</v>
      </c>
      <c r="G24" s="71" t="s">
        <v>125</v>
      </c>
      <c r="H24" s="90" t="s">
        <v>66</v>
      </c>
    </row>
    <row r="25" spans="2:8" s="18" customFormat="1" ht="92.25" customHeight="1" x14ac:dyDescent="0.25">
      <c r="B25" s="67" t="s">
        <v>132</v>
      </c>
      <c r="C25" s="68" t="s">
        <v>59</v>
      </c>
      <c r="D25" s="68" t="s">
        <v>62</v>
      </c>
      <c r="E25" s="69">
        <f>120000-30000</f>
        <v>90000</v>
      </c>
      <c r="F25" s="70" t="s">
        <v>64</v>
      </c>
      <c r="G25" s="71" t="s">
        <v>125</v>
      </c>
      <c r="H25" s="91"/>
    </row>
    <row r="26" spans="2:8" s="18" customFormat="1" ht="92.25" customHeight="1" x14ac:dyDescent="0.25">
      <c r="B26" s="65" t="s">
        <v>132</v>
      </c>
      <c r="C26" s="23" t="s">
        <v>107</v>
      </c>
      <c r="D26" s="23" t="s">
        <v>108</v>
      </c>
      <c r="E26" s="56">
        <v>50000</v>
      </c>
      <c r="F26" s="25" t="s">
        <v>64</v>
      </c>
      <c r="G26" s="26" t="s">
        <v>125</v>
      </c>
      <c r="H26" s="31"/>
    </row>
    <row r="27" spans="2:8" s="18" customFormat="1" ht="92.25" customHeight="1" x14ac:dyDescent="0.25">
      <c r="B27" s="65" t="s">
        <v>132</v>
      </c>
      <c r="C27" s="23" t="s">
        <v>105</v>
      </c>
      <c r="D27" s="23" t="s">
        <v>106</v>
      </c>
      <c r="E27" s="56">
        <v>310000</v>
      </c>
      <c r="F27" s="25" t="s">
        <v>64</v>
      </c>
      <c r="G27" s="26" t="s">
        <v>125</v>
      </c>
      <c r="H27" s="36"/>
    </row>
    <row r="28" spans="2:8" s="18" customFormat="1" ht="92.25" customHeight="1" x14ac:dyDescent="0.25">
      <c r="B28" s="65" t="s">
        <v>147</v>
      </c>
      <c r="C28" s="23" t="s">
        <v>109</v>
      </c>
      <c r="D28" s="23" t="s">
        <v>110</v>
      </c>
      <c r="E28" s="56">
        <f>60000+45000</f>
        <v>105000</v>
      </c>
      <c r="F28" s="25" t="s">
        <v>64</v>
      </c>
      <c r="G28" s="26" t="s">
        <v>125</v>
      </c>
      <c r="H28" s="36"/>
    </row>
    <row r="29" spans="2:8" s="18" customFormat="1" ht="102.75" customHeight="1" x14ac:dyDescent="0.25">
      <c r="B29" s="65" t="s">
        <v>132</v>
      </c>
      <c r="C29" s="23" t="s">
        <v>86</v>
      </c>
      <c r="D29" s="23" t="s">
        <v>87</v>
      </c>
      <c r="E29" s="56">
        <v>8000</v>
      </c>
      <c r="F29" s="25" t="s">
        <v>64</v>
      </c>
      <c r="G29" s="26" t="s">
        <v>125</v>
      </c>
      <c r="H29" s="23"/>
    </row>
    <row r="30" spans="2:8" s="18" customFormat="1" ht="115.5" customHeight="1" x14ac:dyDescent="0.25">
      <c r="B30" s="65" t="s">
        <v>132</v>
      </c>
      <c r="C30" s="23">
        <v>50700000</v>
      </c>
      <c r="D30" s="23" t="s">
        <v>13</v>
      </c>
      <c r="E30" s="56">
        <f>1600000-59200</f>
        <v>1540800</v>
      </c>
      <c r="F30" s="23" t="s">
        <v>61</v>
      </c>
      <c r="G30" s="26" t="s">
        <v>125</v>
      </c>
      <c r="H30" s="23" t="s">
        <v>99</v>
      </c>
    </row>
    <row r="31" spans="2:8" s="18" customFormat="1" ht="115.5" customHeight="1" x14ac:dyDescent="0.25">
      <c r="B31" s="65" t="s">
        <v>132</v>
      </c>
      <c r="C31" s="23">
        <v>50700000</v>
      </c>
      <c r="D31" s="23" t="s">
        <v>13</v>
      </c>
      <c r="E31" s="56">
        <f>93000-45000</f>
        <v>48000</v>
      </c>
      <c r="F31" s="23" t="s">
        <v>64</v>
      </c>
      <c r="G31" s="26" t="s">
        <v>125</v>
      </c>
      <c r="H31" s="23"/>
    </row>
    <row r="32" spans="2:8" s="18" customFormat="1" ht="115.5" customHeight="1" x14ac:dyDescent="0.25">
      <c r="B32" s="65" t="s">
        <v>132</v>
      </c>
      <c r="C32" s="78" t="s">
        <v>117</v>
      </c>
      <c r="D32" s="78" t="s">
        <v>118</v>
      </c>
      <c r="E32" s="56">
        <f>120000+68250</f>
        <v>188250</v>
      </c>
      <c r="F32" s="78" t="s">
        <v>64</v>
      </c>
      <c r="G32" s="80" t="s">
        <v>125</v>
      </c>
      <c r="H32" s="78"/>
    </row>
    <row r="33" spans="2:10" s="18" customFormat="1" ht="115.5" customHeight="1" x14ac:dyDescent="0.25">
      <c r="B33" s="65" t="s">
        <v>132</v>
      </c>
      <c r="C33" s="23" t="s">
        <v>111</v>
      </c>
      <c r="D33" s="23" t="s">
        <v>112</v>
      </c>
      <c r="E33" s="56">
        <v>120000</v>
      </c>
      <c r="F33" s="23" t="s">
        <v>64</v>
      </c>
      <c r="G33" s="26" t="s">
        <v>125</v>
      </c>
      <c r="H33" s="23"/>
    </row>
    <row r="34" spans="2:10" s="18" customFormat="1" ht="58.5" customHeight="1" x14ac:dyDescent="0.25">
      <c r="B34" s="65" t="s">
        <v>132</v>
      </c>
      <c r="C34" s="30">
        <v>63700000</v>
      </c>
      <c r="D34" s="23" t="s">
        <v>70</v>
      </c>
      <c r="E34" s="56">
        <v>2000</v>
      </c>
      <c r="F34" s="25" t="s">
        <v>61</v>
      </c>
      <c r="G34" s="26" t="s">
        <v>125</v>
      </c>
      <c r="H34" s="26" t="s">
        <v>85</v>
      </c>
    </row>
    <row r="35" spans="2:10" s="18" customFormat="1" ht="63.75" customHeight="1" x14ac:dyDescent="0.25">
      <c r="B35" s="65" t="s">
        <v>132</v>
      </c>
      <c r="C35" s="23" t="s">
        <v>47</v>
      </c>
      <c r="D35" s="23" t="s">
        <v>48</v>
      </c>
      <c r="E35" s="56">
        <v>6000</v>
      </c>
      <c r="F35" s="25" t="s">
        <v>64</v>
      </c>
      <c r="G35" s="26" t="s">
        <v>125</v>
      </c>
      <c r="H35" s="23"/>
    </row>
    <row r="36" spans="2:10" s="18" customFormat="1" ht="33.75" x14ac:dyDescent="0.25">
      <c r="B36" s="65" t="s">
        <v>132</v>
      </c>
      <c r="C36" s="38" t="s">
        <v>18</v>
      </c>
      <c r="D36" s="23" t="s">
        <v>46</v>
      </c>
      <c r="E36" s="56">
        <v>25000</v>
      </c>
      <c r="F36" s="25" t="s">
        <v>64</v>
      </c>
      <c r="G36" s="26" t="s">
        <v>125</v>
      </c>
      <c r="H36" s="33"/>
    </row>
    <row r="37" spans="2:10" s="18" customFormat="1" ht="56.25" x14ac:dyDescent="0.25">
      <c r="B37" s="65" t="s">
        <v>132</v>
      </c>
      <c r="C37" s="38" t="s">
        <v>18</v>
      </c>
      <c r="D37" s="23" t="s">
        <v>46</v>
      </c>
      <c r="E37" s="56">
        <v>25500</v>
      </c>
      <c r="F37" s="25" t="s">
        <v>61</v>
      </c>
      <c r="G37" s="26" t="s">
        <v>125</v>
      </c>
      <c r="H37" s="26" t="s">
        <v>96</v>
      </c>
    </row>
    <row r="38" spans="2:10" s="18" customFormat="1" ht="33.75" x14ac:dyDescent="0.25">
      <c r="B38" s="65" t="s">
        <v>132</v>
      </c>
      <c r="C38" s="38" t="s">
        <v>18</v>
      </c>
      <c r="D38" s="23" t="s">
        <v>46</v>
      </c>
      <c r="E38" s="56">
        <v>24000</v>
      </c>
      <c r="F38" s="25" t="s">
        <v>60</v>
      </c>
      <c r="G38" s="26" t="s">
        <v>125</v>
      </c>
      <c r="H38" s="33"/>
    </row>
    <row r="39" spans="2:10" s="18" customFormat="1" ht="33.75" x14ac:dyDescent="0.25">
      <c r="B39" s="65" t="s">
        <v>134</v>
      </c>
      <c r="C39" s="38" t="s">
        <v>114</v>
      </c>
      <c r="D39" s="23" t="s">
        <v>113</v>
      </c>
      <c r="E39" s="56">
        <v>30000</v>
      </c>
      <c r="F39" s="25" t="s">
        <v>64</v>
      </c>
      <c r="G39" s="26" t="s">
        <v>125</v>
      </c>
      <c r="H39" s="26"/>
    </row>
    <row r="40" spans="2:10" s="18" customFormat="1" ht="33.75" x14ac:dyDescent="0.25">
      <c r="B40" s="65" t="s">
        <v>132</v>
      </c>
      <c r="C40" s="38" t="s">
        <v>55</v>
      </c>
      <c r="D40" s="23" t="s">
        <v>56</v>
      </c>
      <c r="E40" s="56">
        <v>1680</v>
      </c>
      <c r="F40" s="25" t="s">
        <v>91</v>
      </c>
      <c r="G40" s="26" t="s">
        <v>125</v>
      </c>
      <c r="H40" s="33"/>
    </row>
    <row r="41" spans="2:10" s="18" customFormat="1" ht="57" customHeight="1" x14ac:dyDescent="0.25">
      <c r="B41" s="65" t="s">
        <v>132</v>
      </c>
      <c r="C41" s="77" t="s">
        <v>17</v>
      </c>
      <c r="D41" s="78" t="s">
        <v>16</v>
      </c>
      <c r="E41" s="56">
        <f>90000+34000</f>
        <v>124000</v>
      </c>
      <c r="F41" s="79" t="s">
        <v>61</v>
      </c>
      <c r="G41" s="80" t="s">
        <v>125</v>
      </c>
      <c r="H41" s="80" t="s">
        <v>67</v>
      </c>
    </row>
    <row r="42" spans="2:10" s="18" customFormat="1" ht="65.25" customHeight="1" x14ac:dyDescent="0.25">
      <c r="B42" s="65" t="s">
        <v>132</v>
      </c>
      <c r="C42" s="77" t="s">
        <v>17</v>
      </c>
      <c r="D42" s="78" t="s">
        <v>16</v>
      </c>
      <c r="E42" s="56">
        <f>150+400</f>
        <v>550</v>
      </c>
      <c r="F42" s="79" t="s">
        <v>61</v>
      </c>
      <c r="G42" s="80" t="s">
        <v>125</v>
      </c>
      <c r="H42" s="80"/>
      <c r="J42" s="20"/>
    </row>
    <row r="43" spans="2:10" s="18" customFormat="1" ht="56.25" x14ac:dyDescent="0.25">
      <c r="B43" s="65" t="s">
        <v>132</v>
      </c>
      <c r="C43" s="38" t="s">
        <v>77</v>
      </c>
      <c r="D43" s="23" t="s">
        <v>78</v>
      </c>
      <c r="E43" s="56">
        <v>3000</v>
      </c>
      <c r="F43" s="25" t="s">
        <v>61</v>
      </c>
      <c r="G43" s="26" t="s">
        <v>125</v>
      </c>
      <c r="H43" s="26" t="s">
        <v>79</v>
      </c>
    </row>
    <row r="44" spans="2:10" s="18" customFormat="1" ht="75" customHeight="1" x14ac:dyDescent="0.25">
      <c r="B44" s="65" t="s">
        <v>132</v>
      </c>
      <c r="C44" s="77" t="s">
        <v>25</v>
      </c>
      <c r="D44" s="78" t="s">
        <v>119</v>
      </c>
      <c r="E44" s="56">
        <v>100000</v>
      </c>
      <c r="F44" s="79" t="s">
        <v>64</v>
      </c>
      <c r="G44" s="80" t="s">
        <v>125</v>
      </c>
      <c r="H44" s="80"/>
    </row>
    <row r="45" spans="2:10" s="18" customFormat="1" ht="63.75" customHeight="1" x14ac:dyDescent="0.25">
      <c r="B45" s="65" t="s">
        <v>132</v>
      </c>
      <c r="C45" s="23" t="s">
        <v>45</v>
      </c>
      <c r="D45" s="23" t="s">
        <v>63</v>
      </c>
      <c r="E45" s="56">
        <v>6000</v>
      </c>
      <c r="F45" s="25" t="s">
        <v>64</v>
      </c>
      <c r="G45" s="26" t="s">
        <v>125</v>
      </c>
      <c r="H45" s="26"/>
    </row>
    <row r="46" spans="2:10" s="18" customFormat="1" ht="63.75" customHeight="1" x14ac:dyDescent="0.25">
      <c r="B46" s="65" t="s">
        <v>132</v>
      </c>
      <c r="C46" s="78" t="s">
        <v>120</v>
      </c>
      <c r="D46" s="78" t="s">
        <v>121</v>
      </c>
      <c r="E46" s="56">
        <v>450</v>
      </c>
      <c r="F46" s="79" t="s">
        <v>61</v>
      </c>
      <c r="G46" s="80" t="s">
        <v>125</v>
      </c>
      <c r="H46" s="80"/>
    </row>
    <row r="47" spans="2:10" s="18" customFormat="1" ht="77.25" customHeight="1" x14ac:dyDescent="0.25">
      <c r="B47" s="65" t="s">
        <v>132</v>
      </c>
      <c r="C47" s="30">
        <v>79700000</v>
      </c>
      <c r="D47" s="23" t="s">
        <v>27</v>
      </c>
      <c r="E47" s="56">
        <v>600000</v>
      </c>
      <c r="F47" s="25" t="s">
        <v>61</v>
      </c>
      <c r="G47" s="26" t="s">
        <v>125</v>
      </c>
      <c r="H47" s="26" t="s">
        <v>80</v>
      </c>
    </row>
    <row r="48" spans="2:10" s="18" customFormat="1" ht="62.25" customHeight="1" x14ac:dyDescent="0.25">
      <c r="B48" s="65" t="s">
        <v>132</v>
      </c>
      <c r="C48" s="30">
        <v>79800000</v>
      </c>
      <c r="D48" s="23" t="s">
        <v>81</v>
      </c>
      <c r="E48" s="56">
        <v>10000</v>
      </c>
      <c r="F48" s="25" t="s">
        <v>64</v>
      </c>
      <c r="G48" s="26" t="s">
        <v>125</v>
      </c>
      <c r="H48" s="26"/>
    </row>
    <row r="49" spans="2:13" s="18" customFormat="1" ht="62.25" customHeight="1" x14ac:dyDescent="0.25">
      <c r="B49" s="65" t="s">
        <v>132</v>
      </c>
      <c r="C49" s="23" t="s">
        <v>53</v>
      </c>
      <c r="D49" s="23" t="s">
        <v>65</v>
      </c>
      <c r="E49" s="56">
        <f>20000+12000</f>
        <v>32000</v>
      </c>
      <c r="F49" s="25" t="s">
        <v>61</v>
      </c>
      <c r="G49" s="26" t="s">
        <v>125</v>
      </c>
      <c r="H49" s="23" t="s">
        <v>68</v>
      </c>
    </row>
    <row r="50" spans="2:13" s="18" customFormat="1" ht="62.25" customHeight="1" x14ac:dyDescent="0.25">
      <c r="B50" s="65" t="s">
        <v>132</v>
      </c>
      <c r="C50" s="38" t="s">
        <v>24</v>
      </c>
      <c r="D50" s="23" t="s">
        <v>71</v>
      </c>
      <c r="E50" s="56">
        <v>12000</v>
      </c>
      <c r="F50" s="25" t="s">
        <v>64</v>
      </c>
      <c r="G50" s="26" t="s">
        <v>125</v>
      </c>
      <c r="H50" s="23"/>
    </row>
    <row r="51" spans="2:13" s="18" customFormat="1" ht="62.25" customHeight="1" x14ac:dyDescent="0.25">
      <c r="B51" s="65" t="s">
        <v>132</v>
      </c>
      <c r="C51" s="38" t="s">
        <v>122</v>
      </c>
      <c r="D51" s="23" t="s">
        <v>123</v>
      </c>
      <c r="E51" s="56">
        <v>1000</v>
      </c>
      <c r="F51" s="25" t="s">
        <v>61</v>
      </c>
      <c r="G51" s="26" t="s">
        <v>125</v>
      </c>
      <c r="H51" s="23"/>
    </row>
    <row r="52" spans="2:13" s="18" customFormat="1" ht="60.75" customHeight="1" x14ac:dyDescent="0.25">
      <c r="B52" s="65" t="s">
        <v>132</v>
      </c>
      <c r="C52" s="23" t="s">
        <v>82</v>
      </c>
      <c r="D52" s="23" t="s">
        <v>83</v>
      </c>
      <c r="E52" s="56">
        <v>20000</v>
      </c>
      <c r="F52" s="25" t="s">
        <v>64</v>
      </c>
      <c r="G52" s="26" t="s">
        <v>125</v>
      </c>
      <c r="H52" s="31"/>
    </row>
    <row r="53" spans="2:13" s="18" customFormat="1" ht="36.75" customHeight="1" x14ac:dyDescent="0.25">
      <c r="B53" s="65" t="s">
        <v>132</v>
      </c>
      <c r="C53" s="78" t="s">
        <v>12</v>
      </c>
      <c r="D53" s="78" t="s">
        <v>19</v>
      </c>
      <c r="E53" s="56">
        <f>80000+110000</f>
        <v>190000</v>
      </c>
      <c r="F53" s="79" t="s">
        <v>64</v>
      </c>
      <c r="G53" s="80" t="s">
        <v>125</v>
      </c>
      <c r="H53" s="81"/>
    </row>
    <row r="54" spans="2:13" s="18" customFormat="1" ht="54.75" customHeight="1" x14ac:dyDescent="0.25">
      <c r="B54" s="65" t="s">
        <v>132</v>
      </c>
      <c r="C54" s="23" t="s">
        <v>115</v>
      </c>
      <c r="D54" s="23" t="s">
        <v>116</v>
      </c>
      <c r="E54" s="56">
        <v>15000</v>
      </c>
      <c r="F54" s="25" t="s">
        <v>61</v>
      </c>
      <c r="G54" s="26" t="s">
        <v>125</v>
      </c>
      <c r="H54" s="26" t="s">
        <v>79</v>
      </c>
    </row>
    <row r="55" spans="2:13" s="1" customFormat="1" ht="75" customHeight="1" x14ac:dyDescent="0.25">
      <c r="B55" s="126" t="s">
        <v>135</v>
      </c>
      <c r="C55" s="127"/>
      <c r="D55" s="127"/>
      <c r="E55" s="16">
        <f>SUM(E56:E57)</f>
        <v>1710000</v>
      </c>
      <c r="F55" s="13"/>
      <c r="G55" s="14"/>
      <c r="H55" s="10"/>
      <c r="I55" s="61"/>
      <c r="J55" s="62"/>
    </row>
    <row r="56" spans="2:13" s="18" customFormat="1" ht="59.25" customHeight="1" x14ac:dyDescent="0.25">
      <c r="B56" s="65" t="s">
        <v>132</v>
      </c>
      <c r="C56" s="23" t="s">
        <v>24</v>
      </c>
      <c r="D56" s="23" t="s">
        <v>71</v>
      </c>
      <c r="E56" s="56">
        <f>1710000-142500</f>
        <v>1567500</v>
      </c>
      <c r="F56" s="25" t="s">
        <v>64</v>
      </c>
      <c r="G56" s="26" t="s">
        <v>125</v>
      </c>
      <c r="H56" s="41"/>
    </row>
    <row r="57" spans="2:13" s="18" customFormat="1" ht="98.25" customHeight="1" x14ac:dyDescent="0.25">
      <c r="B57" s="65" t="s">
        <v>132</v>
      </c>
      <c r="C57" s="23" t="s">
        <v>24</v>
      </c>
      <c r="D57" s="23" t="s">
        <v>71</v>
      </c>
      <c r="E57" s="56">
        <v>142500</v>
      </c>
      <c r="F57" s="25" t="s">
        <v>61</v>
      </c>
      <c r="G57" s="26" t="s">
        <v>125</v>
      </c>
      <c r="H57" s="48" t="s">
        <v>128</v>
      </c>
      <c r="J57" s="21"/>
    </row>
    <row r="58" spans="2:13" s="1" customFormat="1" ht="31.5" customHeight="1" x14ac:dyDescent="0.25">
      <c r="B58" s="126" t="s">
        <v>136</v>
      </c>
      <c r="C58" s="127"/>
      <c r="D58" s="127"/>
      <c r="E58" s="16">
        <f>SUM(E59:E62)</f>
        <v>22370000</v>
      </c>
      <c r="F58" s="13"/>
      <c r="G58" s="9"/>
      <c r="H58" s="10"/>
      <c r="I58" s="61"/>
      <c r="J58" s="62"/>
    </row>
    <row r="59" spans="2:13" s="18" customFormat="1" ht="75.75" customHeight="1" x14ac:dyDescent="0.25">
      <c r="B59" s="65" t="s">
        <v>132</v>
      </c>
      <c r="C59" s="23" t="s">
        <v>7</v>
      </c>
      <c r="D59" s="23" t="s">
        <v>57</v>
      </c>
      <c r="E59" s="56">
        <f>123443.2+100000-100000</f>
        <v>123443.20000000001</v>
      </c>
      <c r="F59" s="25" t="s">
        <v>61</v>
      </c>
      <c r="G59" s="26" t="s">
        <v>125</v>
      </c>
      <c r="H59" s="48" t="s">
        <v>97</v>
      </c>
    </row>
    <row r="60" spans="2:13" s="18" customFormat="1" ht="75.75" customHeight="1" x14ac:dyDescent="0.25">
      <c r="B60" s="66" t="s">
        <v>133</v>
      </c>
      <c r="C60" s="23" t="s">
        <v>7</v>
      </c>
      <c r="D60" s="23" t="s">
        <v>57</v>
      </c>
      <c r="E60" s="56">
        <v>100000</v>
      </c>
      <c r="F60" s="25" t="s">
        <v>61</v>
      </c>
      <c r="G60" s="26" t="s">
        <v>125</v>
      </c>
      <c r="H60" s="48" t="s">
        <v>97</v>
      </c>
    </row>
    <row r="61" spans="2:13" s="18" customFormat="1" ht="121.5" customHeight="1" x14ac:dyDescent="0.25">
      <c r="B61" s="65" t="s">
        <v>132</v>
      </c>
      <c r="C61" s="23">
        <v>33600000</v>
      </c>
      <c r="D61" s="23" t="s">
        <v>29</v>
      </c>
      <c r="E61" s="56">
        <v>663000</v>
      </c>
      <c r="F61" s="25" t="s">
        <v>64</v>
      </c>
      <c r="G61" s="26" t="s">
        <v>125</v>
      </c>
      <c r="H61" s="41"/>
      <c r="J61" s="21"/>
      <c r="L61" s="21"/>
      <c r="M61" s="21"/>
    </row>
    <row r="62" spans="2:13" s="18" customFormat="1" ht="87.75" customHeight="1" x14ac:dyDescent="0.25">
      <c r="B62" s="65" t="s">
        <v>132</v>
      </c>
      <c r="C62" s="23" t="s">
        <v>32</v>
      </c>
      <c r="D62" s="23" t="s">
        <v>29</v>
      </c>
      <c r="E62" s="56">
        <v>21483556.800000001</v>
      </c>
      <c r="F62" s="25" t="s">
        <v>61</v>
      </c>
      <c r="G62" s="26" t="s">
        <v>125</v>
      </c>
      <c r="H62" s="48" t="s">
        <v>98</v>
      </c>
      <c r="J62" s="21"/>
      <c r="K62" s="21"/>
    </row>
    <row r="63" spans="2:13" s="1" customFormat="1" ht="60" customHeight="1" x14ac:dyDescent="0.25">
      <c r="B63" s="126" t="s">
        <v>137</v>
      </c>
      <c r="C63" s="127"/>
      <c r="D63" s="127"/>
      <c r="E63" s="16">
        <f>SUM(E64:E68)</f>
        <v>1700000</v>
      </c>
      <c r="F63" s="13"/>
      <c r="G63" s="14"/>
      <c r="H63" s="10"/>
      <c r="I63" s="61"/>
      <c r="J63" s="62"/>
    </row>
    <row r="64" spans="2:13" s="18" customFormat="1" ht="36.75" customHeight="1" x14ac:dyDescent="0.25">
      <c r="B64" s="65" t="s">
        <v>132</v>
      </c>
      <c r="C64" s="23" t="s">
        <v>7</v>
      </c>
      <c r="D64" s="23" t="s">
        <v>28</v>
      </c>
      <c r="E64" s="56">
        <v>52272.9</v>
      </c>
      <c r="F64" s="25" t="s">
        <v>64</v>
      </c>
      <c r="G64" s="26" t="s">
        <v>125</v>
      </c>
      <c r="H64" s="41"/>
    </row>
    <row r="65" spans="2:10" s="18" customFormat="1" ht="30.75" customHeight="1" x14ac:dyDescent="0.25">
      <c r="B65" s="65" t="s">
        <v>132</v>
      </c>
      <c r="C65" s="23" t="s">
        <v>32</v>
      </c>
      <c r="D65" s="23" t="s">
        <v>29</v>
      </c>
      <c r="E65" s="56">
        <f>200847.5</f>
        <v>200847.5</v>
      </c>
      <c r="F65" s="25" t="s">
        <v>64</v>
      </c>
      <c r="G65" s="26" t="s">
        <v>125</v>
      </c>
      <c r="H65" s="41"/>
    </row>
    <row r="66" spans="2:10" s="18" customFormat="1" ht="45" customHeight="1" x14ac:dyDescent="0.25">
      <c r="B66" s="65" t="s">
        <v>132</v>
      </c>
      <c r="C66" s="23" t="s">
        <v>89</v>
      </c>
      <c r="D66" s="23" t="s">
        <v>90</v>
      </c>
      <c r="E66" s="56">
        <f>816000-200000</f>
        <v>616000</v>
      </c>
      <c r="F66" s="25" t="s">
        <v>64</v>
      </c>
      <c r="G66" s="26" t="s">
        <v>125</v>
      </c>
      <c r="H66" s="48"/>
    </row>
    <row r="67" spans="2:10" s="18" customFormat="1" ht="78.75" x14ac:dyDescent="0.25">
      <c r="B67" s="65" t="s">
        <v>132</v>
      </c>
      <c r="C67" s="23" t="s">
        <v>24</v>
      </c>
      <c r="D67" s="23" t="s">
        <v>71</v>
      </c>
      <c r="E67" s="56">
        <v>69239.960000000006</v>
      </c>
      <c r="F67" s="25" t="s">
        <v>61</v>
      </c>
      <c r="G67" s="26" t="s">
        <v>125</v>
      </c>
      <c r="H67" s="48" t="s">
        <v>129</v>
      </c>
      <c r="J67" s="21"/>
    </row>
    <row r="68" spans="2:10" s="18" customFormat="1" ht="60" customHeight="1" x14ac:dyDescent="0.25">
      <c r="B68" s="65" t="s">
        <v>132</v>
      </c>
      <c r="C68" s="23" t="s">
        <v>24</v>
      </c>
      <c r="D68" s="23" t="s">
        <v>71</v>
      </c>
      <c r="E68" s="56">
        <f>830879.6-69239.96</f>
        <v>761639.64</v>
      </c>
      <c r="F68" s="25" t="s">
        <v>64</v>
      </c>
      <c r="G68" s="26" t="s">
        <v>125</v>
      </c>
      <c r="H68" s="48"/>
    </row>
    <row r="69" spans="2:10" s="1" customFormat="1" ht="65.25" customHeight="1" x14ac:dyDescent="0.25">
      <c r="B69" s="126" t="s">
        <v>138</v>
      </c>
      <c r="C69" s="127"/>
      <c r="D69" s="127"/>
      <c r="E69" s="16">
        <f>SUM(E70:E72)</f>
        <v>1630006</v>
      </c>
      <c r="F69" s="13"/>
      <c r="G69" s="14"/>
      <c r="H69" s="10"/>
      <c r="I69" s="61"/>
      <c r="J69" s="62"/>
    </row>
    <row r="70" spans="2:10" s="18" customFormat="1" ht="33.75" x14ac:dyDescent="0.25">
      <c r="B70" s="65" t="s">
        <v>132</v>
      </c>
      <c r="C70" s="36" t="s">
        <v>25</v>
      </c>
      <c r="D70" s="36" t="s">
        <v>69</v>
      </c>
      <c r="E70" s="56">
        <v>100000</v>
      </c>
      <c r="F70" s="43" t="s">
        <v>64</v>
      </c>
      <c r="G70" s="26" t="s">
        <v>125</v>
      </c>
      <c r="H70" s="44"/>
    </row>
    <row r="71" spans="2:10" s="18" customFormat="1" ht="78.75" x14ac:dyDescent="0.25">
      <c r="B71" s="65" t="s">
        <v>132</v>
      </c>
      <c r="C71" s="23">
        <v>85100000</v>
      </c>
      <c r="D71" s="23" t="s">
        <v>71</v>
      </c>
      <c r="E71" s="56">
        <v>127500.5</v>
      </c>
      <c r="F71" s="25" t="s">
        <v>61</v>
      </c>
      <c r="G71" s="26" t="s">
        <v>125</v>
      </c>
      <c r="H71" s="45" t="s">
        <v>124</v>
      </c>
    </row>
    <row r="72" spans="2:10" s="18" customFormat="1" ht="60.75" customHeight="1" x14ac:dyDescent="0.25">
      <c r="B72" s="65" t="s">
        <v>132</v>
      </c>
      <c r="C72" s="23">
        <v>85100000</v>
      </c>
      <c r="D72" s="23" t="s">
        <v>71</v>
      </c>
      <c r="E72" s="56">
        <f>1530006-127500.5</f>
        <v>1402505.5</v>
      </c>
      <c r="F72" s="25" t="s">
        <v>64</v>
      </c>
      <c r="G72" s="26" t="s">
        <v>125</v>
      </c>
      <c r="H72" s="45"/>
    </row>
    <row r="73" spans="2:10" s="1" customFormat="1" ht="61.5" customHeight="1" x14ac:dyDescent="0.25">
      <c r="B73" s="126" t="s">
        <v>139</v>
      </c>
      <c r="C73" s="127"/>
      <c r="D73" s="127"/>
      <c r="E73" s="16">
        <f>SUM(E74:E75)</f>
        <v>170000</v>
      </c>
      <c r="F73" s="13"/>
      <c r="G73" s="14"/>
      <c r="H73" s="10"/>
      <c r="I73" s="61"/>
      <c r="J73" s="62"/>
    </row>
    <row r="74" spans="2:10" s="18" customFormat="1" ht="70.5" customHeight="1" x14ac:dyDescent="0.25">
      <c r="B74" s="65" t="s">
        <v>132</v>
      </c>
      <c r="C74" s="23" t="s">
        <v>24</v>
      </c>
      <c r="D74" s="23" t="s">
        <v>71</v>
      </c>
      <c r="E74" s="56">
        <v>14166.6</v>
      </c>
      <c r="F74" s="25" t="s">
        <v>61</v>
      </c>
      <c r="G74" s="26" t="s">
        <v>125</v>
      </c>
      <c r="H74" s="48" t="s">
        <v>76</v>
      </c>
    </row>
    <row r="75" spans="2:10" s="18" customFormat="1" ht="75" customHeight="1" x14ac:dyDescent="0.25">
      <c r="B75" s="65" t="s">
        <v>132</v>
      </c>
      <c r="C75" s="23" t="s">
        <v>24</v>
      </c>
      <c r="D75" s="23" t="s">
        <v>71</v>
      </c>
      <c r="E75" s="56">
        <f>170000-14166.6</f>
        <v>155833.4</v>
      </c>
      <c r="F75" s="25" t="s">
        <v>64</v>
      </c>
      <c r="G75" s="26" t="s">
        <v>125</v>
      </c>
      <c r="H75" s="48"/>
    </row>
    <row r="76" spans="2:10" s="1" customFormat="1" ht="65.25" customHeight="1" x14ac:dyDescent="0.25">
      <c r="B76" s="121" t="s">
        <v>140</v>
      </c>
      <c r="C76" s="122"/>
      <c r="D76" s="122"/>
      <c r="E76" s="16">
        <f>SUM(E77:E81)</f>
        <v>1033769.8999999999</v>
      </c>
      <c r="F76" s="13"/>
      <c r="G76" s="14"/>
      <c r="H76" s="60"/>
      <c r="I76" s="61"/>
      <c r="J76" s="62"/>
    </row>
    <row r="77" spans="2:10" s="18" customFormat="1" ht="49.5" customHeight="1" x14ac:dyDescent="0.25">
      <c r="B77" s="65" t="s">
        <v>132</v>
      </c>
      <c r="C77" s="23" t="s">
        <v>14</v>
      </c>
      <c r="D77" s="23" t="s">
        <v>15</v>
      </c>
      <c r="E77" s="56">
        <v>24200</v>
      </c>
      <c r="F77" s="25" t="s">
        <v>60</v>
      </c>
      <c r="G77" s="26" t="s">
        <v>125</v>
      </c>
      <c r="H77" s="41"/>
    </row>
    <row r="78" spans="2:10" s="18" customFormat="1" ht="33.75" x14ac:dyDescent="0.25">
      <c r="B78" s="65" t="s">
        <v>132</v>
      </c>
      <c r="C78" s="28">
        <v>33100000</v>
      </c>
      <c r="D78" s="28" t="s">
        <v>28</v>
      </c>
      <c r="E78" s="56">
        <v>406770.2</v>
      </c>
      <c r="F78" s="29" t="s">
        <v>64</v>
      </c>
      <c r="G78" s="26" t="s">
        <v>125</v>
      </c>
      <c r="H78" s="46"/>
    </row>
    <row r="79" spans="2:10" s="18" customFormat="1" ht="60.75" customHeight="1" x14ac:dyDescent="0.25">
      <c r="B79" s="65" t="s">
        <v>132</v>
      </c>
      <c r="C79" s="23" t="s">
        <v>59</v>
      </c>
      <c r="D79" s="23" t="s">
        <v>44</v>
      </c>
      <c r="E79" s="56">
        <v>15000</v>
      </c>
      <c r="F79" s="25" t="s">
        <v>64</v>
      </c>
      <c r="G79" s="26" t="s">
        <v>125</v>
      </c>
      <c r="H79" s="41"/>
    </row>
    <row r="80" spans="2:10" s="18" customFormat="1" ht="75" customHeight="1" x14ac:dyDescent="0.25">
      <c r="B80" s="65" t="s">
        <v>132</v>
      </c>
      <c r="C80" s="23">
        <v>85100000</v>
      </c>
      <c r="D80" s="23" t="s">
        <v>71</v>
      </c>
      <c r="E80" s="56">
        <v>48983</v>
      </c>
      <c r="F80" s="25" t="s">
        <v>61</v>
      </c>
      <c r="G80" s="26" t="s">
        <v>125</v>
      </c>
      <c r="H80" s="48" t="s">
        <v>126</v>
      </c>
    </row>
    <row r="81" spans="2:10" s="18" customFormat="1" ht="65.25" customHeight="1" x14ac:dyDescent="0.25">
      <c r="B81" s="65" t="s">
        <v>132</v>
      </c>
      <c r="C81" s="23">
        <v>85100000</v>
      </c>
      <c r="D81" s="23" t="s">
        <v>71</v>
      </c>
      <c r="E81" s="56">
        <f>587800-48983.3</f>
        <v>538816.69999999995</v>
      </c>
      <c r="F81" s="25" t="s">
        <v>64</v>
      </c>
      <c r="G81" s="26" t="s">
        <v>125</v>
      </c>
      <c r="H81" s="48"/>
    </row>
    <row r="82" spans="2:10" s="1" customFormat="1" ht="80.25" customHeight="1" x14ac:dyDescent="0.25">
      <c r="B82" s="126" t="s">
        <v>141</v>
      </c>
      <c r="C82" s="127"/>
      <c r="D82" s="127"/>
      <c r="E82" s="16">
        <f>SUM(E83:E83)</f>
        <v>1250000</v>
      </c>
      <c r="F82" s="13"/>
      <c r="G82" s="14"/>
      <c r="H82" s="10"/>
      <c r="I82" s="61"/>
      <c r="J82" s="62"/>
    </row>
    <row r="83" spans="2:10" s="18" customFormat="1" ht="84.75" customHeight="1" x14ac:dyDescent="0.25">
      <c r="B83" s="65" t="s">
        <v>132</v>
      </c>
      <c r="C83" s="23" t="s">
        <v>32</v>
      </c>
      <c r="D83" s="23" t="s">
        <v>29</v>
      </c>
      <c r="E83" s="56">
        <v>1250000</v>
      </c>
      <c r="F83" s="25" t="s">
        <v>64</v>
      </c>
      <c r="G83" s="26" t="s">
        <v>125</v>
      </c>
      <c r="H83" s="32"/>
    </row>
    <row r="84" spans="2:10" s="1" customFormat="1" ht="57.75" customHeight="1" x14ac:dyDescent="0.25">
      <c r="B84" s="119" t="s">
        <v>142</v>
      </c>
      <c r="C84" s="120"/>
      <c r="D84" s="120"/>
      <c r="E84" s="57">
        <f>SUM(E85:E88)</f>
        <v>4000000.0000000005</v>
      </c>
      <c r="F84" s="58"/>
      <c r="G84" s="58"/>
      <c r="H84" s="59"/>
      <c r="I84" s="61"/>
      <c r="J84" s="62"/>
    </row>
    <row r="85" spans="2:10" s="18" customFormat="1" ht="29.25" customHeight="1" x14ac:dyDescent="0.25">
      <c r="B85" s="65" t="s">
        <v>132</v>
      </c>
      <c r="C85" s="38">
        <v>33100000</v>
      </c>
      <c r="D85" s="23" t="s">
        <v>8</v>
      </c>
      <c r="E85" s="56">
        <v>124876.2</v>
      </c>
      <c r="F85" s="25" t="s">
        <v>64</v>
      </c>
      <c r="G85" s="26" t="s">
        <v>125</v>
      </c>
      <c r="H85" s="26"/>
    </row>
    <row r="86" spans="2:10" s="18" customFormat="1" ht="33.75" x14ac:dyDescent="0.25">
      <c r="B86" s="65" t="s">
        <v>132</v>
      </c>
      <c r="C86" s="38" t="s">
        <v>32</v>
      </c>
      <c r="D86" s="23" t="s">
        <v>9</v>
      </c>
      <c r="E86" s="56">
        <f>2995349.4-3495.8</f>
        <v>2991853.6</v>
      </c>
      <c r="F86" s="25" t="s">
        <v>64</v>
      </c>
      <c r="G86" s="26" t="s">
        <v>125</v>
      </c>
      <c r="H86" s="26"/>
    </row>
    <row r="87" spans="2:10" s="18" customFormat="1" ht="67.5" x14ac:dyDescent="0.25">
      <c r="B87" s="65" t="s">
        <v>132</v>
      </c>
      <c r="C87" s="38" t="s">
        <v>24</v>
      </c>
      <c r="D87" s="23" t="s">
        <v>71</v>
      </c>
      <c r="E87" s="56">
        <v>73605.850000000006</v>
      </c>
      <c r="F87" s="25" t="s">
        <v>61</v>
      </c>
      <c r="G87" s="26" t="s">
        <v>125</v>
      </c>
      <c r="H87" s="40" t="s">
        <v>127</v>
      </c>
    </row>
    <row r="88" spans="2:10" s="18" customFormat="1" ht="42.75" customHeight="1" x14ac:dyDescent="0.25">
      <c r="B88" s="65" t="s">
        <v>132</v>
      </c>
      <c r="C88" s="23" t="s">
        <v>24</v>
      </c>
      <c r="D88" s="23" t="s">
        <v>71</v>
      </c>
      <c r="E88" s="56">
        <f>883270.2-73605.85</f>
        <v>809664.35</v>
      </c>
      <c r="F88" s="25" t="s">
        <v>64</v>
      </c>
      <c r="G88" s="26" t="s">
        <v>125</v>
      </c>
      <c r="H88" s="40"/>
    </row>
    <row r="89" spans="2:10" ht="122.25" customHeight="1" x14ac:dyDescent="0.25">
      <c r="B89" s="126" t="s">
        <v>143</v>
      </c>
      <c r="C89" s="127"/>
      <c r="D89" s="127"/>
      <c r="E89" s="16">
        <f>SUM(E90)</f>
        <v>2412977.7999999998</v>
      </c>
      <c r="F89" s="13"/>
      <c r="G89" s="14"/>
      <c r="H89" s="10"/>
      <c r="I89" s="61"/>
      <c r="J89" s="63"/>
    </row>
    <row r="90" spans="2:10" s="18" customFormat="1" ht="117.75" customHeight="1" x14ac:dyDescent="0.25">
      <c r="B90" s="65" t="s">
        <v>132</v>
      </c>
      <c r="C90" s="23" t="s">
        <v>32</v>
      </c>
      <c r="D90" s="23" t="s">
        <v>29</v>
      </c>
      <c r="E90" s="56">
        <f>1240900.7+1172077.1</f>
        <v>2412977.7999999998</v>
      </c>
      <c r="F90" s="25" t="s">
        <v>64</v>
      </c>
      <c r="G90" s="26" t="s">
        <v>125</v>
      </c>
      <c r="H90" s="48"/>
    </row>
    <row r="91" spans="2:10" s="1" customFormat="1" ht="57" customHeight="1" x14ac:dyDescent="0.25">
      <c r="B91" s="121" t="s">
        <v>144</v>
      </c>
      <c r="C91" s="122"/>
      <c r="D91" s="122"/>
      <c r="E91" s="16">
        <f>SUM(E92:E95)</f>
        <v>437054.3</v>
      </c>
      <c r="F91" s="13"/>
      <c r="G91" s="60"/>
      <c r="H91" s="60"/>
      <c r="I91" s="61"/>
      <c r="J91" s="62"/>
    </row>
    <row r="92" spans="2:10" s="18" customFormat="1" ht="59.25" customHeight="1" x14ac:dyDescent="0.25">
      <c r="B92" s="65" t="s">
        <v>148</v>
      </c>
      <c r="C92" s="78">
        <v>33100000</v>
      </c>
      <c r="D92" s="78" t="s">
        <v>28</v>
      </c>
      <c r="E92" s="56">
        <v>20000</v>
      </c>
      <c r="F92" s="79" t="s">
        <v>64</v>
      </c>
      <c r="G92" s="80" t="s">
        <v>125</v>
      </c>
      <c r="H92" s="86"/>
    </row>
    <row r="93" spans="2:10" s="18" customFormat="1" ht="38.25" x14ac:dyDescent="0.25">
      <c r="B93" s="65" t="s">
        <v>148</v>
      </c>
      <c r="C93" s="36">
        <v>33600000</v>
      </c>
      <c r="D93" s="36" t="s">
        <v>29</v>
      </c>
      <c r="E93" s="56">
        <f>266824.3+68000-17770</f>
        <v>317054.3</v>
      </c>
      <c r="F93" s="43" t="s">
        <v>64</v>
      </c>
      <c r="G93" s="26" t="s">
        <v>125</v>
      </c>
      <c r="H93" s="44"/>
    </row>
    <row r="94" spans="2:10" s="18" customFormat="1" ht="78.75" x14ac:dyDescent="0.25">
      <c r="B94" s="65" t="s">
        <v>132</v>
      </c>
      <c r="C94" s="38" t="s">
        <v>103</v>
      </c>
      <c r="D94" s="23" t="s">
        <v>71</v>
      </c>
      <c r="E94" s="56">
        <v>8645.83</v>
      </c>
      <c r="F94" s="25" t="s">
        <v>61</v>
      </c>
      <c r="G94" s="26" t="s">
        <v>125</v>
      </c>
      <c r="H94" s="45" t="s">
        <v>130</v>
      </c>
    </row>
    <row r="95" spans="2:10" s="18" customFormat="1" ht="51" customHeight="1" x14ac:dyDescent="0.25">
      <c r="B95" s="65" t="s">
        <v>132</v>
      </c>
      <c r="C95" s="38" t="s">
        <v>24</v>
      </c>
      <c r="D95" s="23" t="s">
        <v>71</v>
      </c>
      <c r="E95" s="56">
        <f>103750-8645.83-3750</f>
        <v>91354.17</v>
      </c>
      <c r="F95" s="25" t="s">
        <v>64</v>
      </c>
      <c r="G95" s="26" t="s">
        <v>125</v>
      </c>
      <c r="H95" s="45"/>
    </row>
    <row r="96" spans="2:10" ht="59.25" customHeight="1" x14ac:dyDescent="0.25">
      <c r="B96" s="126" t="s">
        <v>145</v>
      </c>
      <c r="C96" s="127"/>
      <c r="D96" s="127"/>
      <c r="E96" s="16">
        <f>SUM(E97:E97)</f>
        <v>2100000</v>
      </c>
      <c r="F96" s="13"/>
      <c r="G96" s="14"/>
      <c r="H96" s="10"/>
      <c r="I96" s="61"/>
      <c r="J96" s="63"/>
    </row>
    <row r="97" spans="2:10" s="18" customFormat="1" ht="42.75" customHeight="1" x14ac:dyDescent="0.25">
      <c r="B97" s="65" t="s">
        <v>132</v>
      </c>
      <c r="C97" s="23" t="s">
        <v>25</v>
      </c>
      <c r="D97" s="23" t="s">
        <v>69</v>
      </c>
      <c r="E97" s="56">
        <f>2100000</f>
        <v>2100000</v>
      </c>
      <c r="F97" s="25" t="s">
        <v>64</v>
      </c>
      <c r="G97" s="26" t="s">
        <v>125</v>
      </c>
      <c r="H97" s="53"/>
    </row>
    <row r="98" spans="2:10" ht="70.5" customHeight="1" x14ac:dyDescent="0.25">
      <c r="B98" s="126" t="s">
        <v>146</v>
      </c>
      <c r="C98" s="127"/>
      <c r="D98" s="127"/>
      <c r="E98" s="16">
        <f>SUM(E99:E100)</f>
        <v>391980</v>
      </c>
      <c r="F98" s="13"/>
      <c r="G98" s="14"/>
      <c r="H98" s="10"/>
      <c r="I98" s="61"/>
      <c r="J98" s="63"/>
    </row>
    <row r="99" spans="2:10" s="18" customFormat="1" ht="33.75" x14ac:dyDescent="0.25">
      <c r="B99" s="67" t="s">
        <v>132</v>
      </c>
      <c r="C99" s="87" t="s">
        <v>32</v>
      </c>
      <c r="D99" s="87" t="s">
        <v>29</v>
      </c>
      <c r="E99" s="69">
        <f>264000-4020</f>
        <v>259980</v>
      </c>
      <c r="F99" s="88" t="s">
        <v>64</v>
      </c>
      <c r="G99" s="71" t="s">
        <v>125</v>
      </c>
      <c r="H99" s="89"/>
    </row>
    <row r="100" spans="2:10" s="18" customFormat="1" ht="33.75" x14ac:dyDescent="0.25">
      <c r="B100" s="65" t="s">
        <v>132</v>
      </c>
      <c r="C100" s="28" t="s">
        <v>7</v>
      </c>
      <c r="D100" s="28" t="s">
        <v>28</v>
      </c>
      <c r="E100" s="24">
        <v>132000</v>
      </c>
      <c r="F100" s="29" t="s">
        <v>64</v>
      </c>
      <c r="G100" s="26" t="s">
        <v>125</v>
      </c>
      <c r="H100" s="55"/>
    </row>
    <row r="101" spans="2:10" s="18" customFormat="1" ht="33.75" x14ac:dyDescent="0.25">
      <c r="B101" s="67" t="s">
        <v>132</v>
      </c>
      <c r="C101" s="68" t="s">
        <v>14</v>
      </c>
      <c r="D101" s="68" t="s">
        <v>40</v>
      </c>
      <c r="E101" s="69">
        <v>4020</v>
      </c>
      <c r="F101" s="70" t="s">
        <v>60</v>
      </c>
      <c r="G101" s="71" t="s">
        <v>125</v>
      </c>
      <c r="H101" s="68"/>
    </row>
  </sheetData>
  <autoFilter ref="A8:H100"/>
  <mergeCells count="20">
    <mergeCell ref="B69:D69"/>
    <mergeCell ref="B2:H2"/>
    <mergeCell ref="B3:H3"/>
    <mergeCell ref="B4:E4"/>
    <mergeCell ref="F4:H4"/>
    <mergeCell ref="B5:E5"/>
    <mergeCell ref="F5:H5"/>
    <mergeCell ref="B6:F6"/>
    <mergeCell ref="B9:D9"/>
    <mergeCell ref="B55:D55"/>
    <mergeCell ref="B58:D58"/>
    <mergeCell ref="B63:D63"/>
    <mergeCell ref="B96:D96"/>
    <mergeCell ref="B98:D98"/>
    <mergeCell ref="B73:D73"/>
    <mergeCell ref="B76:D76"/>
    <mergeCell ref="B82:D82"/>
    <mergeCell ref="B84:D84"/>
    <mergeCell ref="B89:D89"/>
    <mergeCell ref="B91:D91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05"/>
  <sheetViews>
    <sheetView topLeftCell="B34" zoomScaleNormal="100" zoomScaleSheetLayoutView="80" workbookViewId="0">
      <selection activeCell="F110" sqref="F110"/>
    </sheetView>
  </sheetViews>
  <sheetFormatPr defaultRowHeight="15" x14ac:dyDescent="0.2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1.5703125" bestFit="1" customWidth="1"/>
    <col min="12" max="12" width="14.28515625" bestFit="1" customWidth="1"/>
    <col min="13" max="13" width="11.5703125" bestFit="1" customWidth="1"/>
  </cols>
  <sheetData>
    <row r="2" spans="2:8" ht="18.75" x14ac:dyDescent="0.25">
      <c r="B2" s="123" t="s">
        <v>41</v>
      </c>
      <c r="C2" s="123"/>
      <c r="D2" s="123"/>
      <c r="E2" s="123"/>
      <c r="F2" s="123"/>
      <c r="G2" s="123"/>
      <c r="H2" s="123"/>
    </row>
    <row r="3" spans="2:8" ht="18.75" x14ac:dyDescent="0.3">
      <c r="B3" s="124" t="s">
        <v>4</v>
      </c>
      <c r="C3" s="124"/>
      <c r="D3" s="124"/>
      <c r="E3" s="124"/>
      <c r="F3" s="124"/>
      <c r="G3" s="124"/>
      <c r="H3" s="124"/>
    </row>
    <row r="4" spans="2:8" x14ac:dyDescent="0.25">
      <c r="B4" s="125" t="s">
        <v>54</v>
      </c>
      <c r="C4" s="125"/>
      <c r="D4" s="125"/>
      <c r="E4" s="125"/>
      <c r="F4" s="125" t="s">
        <v>21</v>
      </c>
      <c r="G4" s="125"/>
      <c r="H4" s="125"/>
    </row>
    <row r="5" spans="2:8" x14ac:dyDescent="0.25">
      <c r="B5" s="125" t="s">
        <v>20</v>
      </c>
      <c r="C5" s="125"/>
      <c r="D5" s="125"/>
      <c r="E5" s="125"/>
      <c r="F5" s="125" t="s">
        <v>10</v>
      </c>
      <c r="G5" s="125"/>
      <c r="H5" s="125"/>
    </row>
    <row r="6" spans="2:8" ht="24.75" customHeight="1" x14ac:dyDescent="0.25">
      <c r="B6" s="115" t="s">
        <v>22</v>
      </c>
      <c r="C6" s="116"/>
      <c r="D6" s="116"/>
      <c r="E6" s="116"/>
      <c r="F6" s="116"/>
      <c r="G6" s="2">
        <f>E9+E55+E60+E65+E71+E75+E78+E84+E86+E91+E93+E99+E102</f>
        <v>43678747.100000001</v>
      </c>
      <c r="H6" s="3" t="s">
        <v>23</v>
      </c>
    </row>
    <row r="7" spans="2:8" ht="25.5" x14ac:dyDescent="0.2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 x14ac:dyDescent="0.25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customHeight="1" x14ac:dyDescent="0.25">
      <c r="B9" s="117" t="s">
        <v>131</v>
      </c>
      <c r="C9" s="118"/>
      <c r="D9" s="118"/>
      <c r="E9" s="15">
        <f>SUM(E10:E54)</f>
        <v>4154080</v>
      </c>
      <c r="F9" s="11"/>
      <c r="G9" s="9"/>
      <c r="H9" s="10"/>
    </row>
    <row r="10" spans="2:8" s="18" customFormat="1" ht="33.75" x14ac:dyDescent="0.2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8" s="18" customFormat="1" ht="33.75" x14ac:dyDescent="0.2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8" s="18" customFormat="1" ht="33.75" x14ac:dyDescent="0.25">
      <c r="B12" s="65" t="s">
        <v>132</v>
      </c>
      <c r="C12" s="23" t="s">
        <v>100</v>
      </c>
      <c r="D12" s="23" t="s">
        <v>101</v>
      </c>
      <c r="E12" s="56">
        <v>500</v>
      </c>
      <c r="F12" s="25" t="s">
        <v>61</v>
      </c>
      <c r="G12" s="26" t="s">
        <v>125</v>
      </c>
      <c r="H12" s="23"/>
    </row>
    <row r="13" spans="2:8" s="19" customFormat="1" ht="33.75" x14ac:dyDescent="0.25">
      <c r="B13" s="65" t="s">
        <v>132</v>
      </c>
      <c r="C13" s="28" t="s">
        <v>50</v>
      </c>
      <c r="D13" s="28" t="s">
        <v>52</v>
      </c>
      <c r="E13" s="56">
        <v>1600</v>
      </c>
      <c r="F13" s="29" t="s">
        <v>61</v>
      </c>
      <c r="G13" s="26" t="s">
        <v>125</v>
      </c>
      <c r="H13" s="28"/>
    </row>
    <row r="14" spans="2:8" s="18" customFormat="1" ht="49.5" customHeight="1" x14ac:dyDescent="0.25">
      <c r="B14" s="65" t="s">
        <v>132</v>
      </c>
      <c r="C14" s="23" t="s">
        <v>39</v>
      </c>
      <c r="D14" s="23" t="s">
        <v>58</v>
      </c>
      <c r="E14" s="56">
        <f>23100</f>
        <v>23100</v>
      </c>
      <c r="F14" s="25" t="s">
        <v>60</v>
      </c>
      <c r="G14" s="26" t="s">
        <v>125</v>
      </c>
      <c r="H14" s="23"/>
    </row>
    <row r="15" spans="2:8" s="18" customFormat="1" ht="49.5" customHeight="1" x14ac:dyDescent="0.25">
      <c r="B15" s="65" t="s">
        <v>132</v>
      </c>
      <c r="C15" s="23" t="s">
        <v>39</v>
      </c>
      <c r="D15" s="23" t="s">
        <v>58</v>
      </c>
      <c r="E15" s="56">
        <f>60000+9000</f>
        <v>69000</v>
      </c>
      <c r="F15" s="25" t="s">
        <v>64</v>
      </c>
      <c r="G15" s="26" t="s">
        <v>125</v>
      </c>
      <c r="H15" s="23"/>
    </row>
    <row r="16" spans="2:8" s="18" customFormat="1" ht="38.25" customHeight="1" x14ac:dyDescent="0.25">
      <c r="B16" s="65" t="s">
        <v>147</v>
      </c>
      <c r="C16" s="30">
        <v>31400000</v>
      </c>
      <c r="D16" s="23" t="s">
        <v>11</v>
      </c>
      <c r="E16" s="56">
        <f>3000+1800</f>
        <v>4800</v>
      </c>
      <c r="F16" s="25" t="s">
        <v>61</v>
      </c>
      <c r="G16" s="26" t="s">
        <v>125</v>
      </c>
      <c r="H16" s="31"/>
    </row>
    <row r="17" spans="2:8" s="18" customFormat="1" ht="38.25" customHeight="1" x14ac:dyDescent="0.25">
      <c r="B17" s="65" t="s">
        <v>147</v>
      </c>
      <c r="C17" s="23" t="s">
        <v>43</v>
      </c>
      <c r="D17" s="23" t="s">
        <v>42</v>
      </c>
      <c r="E17" s="56">
        <v>10000</v>
      </c>
      <c r="F17" s="25" t="s">
        <v>60</v>
      </c>
      <c r="G17" s="26" t="s">
        <v>125</v>
      </c>
      <c r="H17" s="32"/>
    </row>
    <row r="18" spans="2:8" s="18" customFormat="1" ht="33.75" x14ac:dyDescent="0.25">
      <c r="B18" s="65" t="s">
        <v>132</v>
      </c>
      <c r="C18" s="23" t="s">
        <v>92</v>
      </c>
      <c r="D18" s="23" t="s">
        <v>93</v>
      </c>
      <c r="E18" s="56">
        <v>4800</v>
      </c>
      <c r="F18" s="25" t="s">
        <v>91</v>
      </c>
      <c r="G18" s="26" t="s">
        <v>125</v>
      </c>
      <c r="H18" s="31"/>
    </row>
    <row r="19" spans="2:8" s="18" customFormat="1" ht="33.75" x14ac:dyDescent="0.25">
      <c r="B19" s="65" t="s">
        <v>132</v>
      </c>
      <c r="C19" s="23" t="s">
        <v>94</v>
      </c>
      <c r="D19" s="23" t="s">
        <v>95</v>
      </c>
      <c r="E19" s="56">
        <v>4800</v>
      </c>
      <c r="F19" s="25" t="s">
        <v>91</v>
      </c>
      <c r="G19" s="26" t="s">
        <v>125</v>
      </c>
      <c r="H19" s="31"/>
    </row>
    <row r="20" spans="2:8" s="18" customFormat="1" ht="33.75" x14ac:dyDescent="0.25">
      <c r="B20" s="65" t="s">
        <v>132</v>
      </c>
      <c r="C20" s="34">
        <v>39800000</v>
      </c>
      <c r="D20" s="34" t="s">
        <v>84</v>
      </c>
      <c r="E20" s="56">
        <v>4800</v>
      </c>
      <c r="F20" s="25" t="s">
        <v>91</v>
      </c>
      <c r="G20" s="26" t="s">
        <v>125</v>
      </c>
      <c r="H20" s="31"/>
    </row>
    <row r="21" spans="2:8" s="18" customFormat="1" ht="51.75" customHeight="1" x14ac:dyDescent="0.25">
      <c r="B21" s="65" t="s">
        <v>132</v>
      </c>
      <c r="C21" s="84">
        <v>41100000</v>
      </c>
      <c r="D21" s="85" t="s">
        <v>149</v>
      </c>
      <c r="E21" s="56">
        <v>6750</v>
      </c>
      <c r="F21" s="79" t="s">
        <v>64</v>
      </c>
      <c r="G21" s="80" t="s">
        <v>125</v>
      </c>
      <c r="H21" s="81"/>
    </row>
    <row r="22" spans="2:8" s="18" customFormat="1" ht="51.75" customHeight="1" x14ac:dyDescent="0.25">
      <c r="B22" s="65" t="s">
        <v>132</v>
      </c>
      <c r="C22" s="30">
        <v>45400000</v>
      </c>
      <c r="D22" s="34" t="s">
        <v>102</v>
      </c>
      <c r="E22" s="56">
        <v>40000</v>
      </c>
      <c r="F22" s="25" t="s">
        <v>64</v>
      </c>
      <c r="G22" s="26" t="s">
        <v>125</v>
      </c>
      <c r="H22" s="31"/>
    </row>
    <row r="23" spans="2:8" s="18" customFormat="1" ht="37.5" customHeight="1" x14ac:dyDescent="0.25">
      <c r="B23" s="65" t="s">
        <v>133</v>
      </c>
      <c r="C23" s="30">
        <v>48700000</v>
      </c>
      <c r="D23" s="23" t="s">
        <v>104</v>
      </c>
      <c r="E23" s="56">
        <v>30000</v>
      </c>
      <c r="F23" s="25" t="s">
        <v>64</v>
      </c>
      <c r="G23" s="26" t="s">
        <v>125</v>
      </c>
      <c r="H23" s="31"/>
    </row>
    <row r="24" spans="2:8" s="18" customFormat="1" ht="56.25" x14ac:dyDescent="0.25">
      <c r="B24" s="65" t="s">
        <v>132</v>
      </c>
      <c r="C24" s="78">
        <v>50100000</v>
      </c>
      <c r="D24" s="78" t="s">
        <v>44</v>
      </c>
      <c r="E24" s="56">
        <f>10000+30000</f>
        <v>40000</v>
      </c>
      <c r="F24" s="79" t="s">
        <v>61</v>
      </c>
      <c r="G24" s="80" t="s">
        <v>125</v>
      </c>
      <c r="H24" s="102" t="s">
        <v>66</v>
      </c>
    </row>
    <row r="25" spans="2:8" s="18" customFormat="1" ht="92.25" customHeight="1" x14ac:dyDescent="0.25">
      <c r="B25" s="65" t="s">
        <v>132</v>
      </c>
      <c r="C25" s="78" t="s">
        <v>59</v>
      </c>
      <c r="D25" s="78" t="s">
        <v>62</v>
      </c>
      <c r="E25" s="56">
        <f>120000-30000</f>
        <v>90000</v>
      </c>
      <c r="F25" s="79" t="s">
        <v>64</v>
      </c>
      <c r="G25" s="80" t="s">
        <v>125</v>
      </c>
      <c r="H25" s="103"/>
    </row>
    <row r="26" spans="2:8" s="18" customFormat="1" ht="92.25" customHeight="1" x14ac:dyDescent="0.25">
      <c r="B26" s="65" t="s">
        <v>132</v>
      </c>
      <c r="C26" s="23" t="s">
        <v>107</v>
      </c>
      <c r="D26" s="23" t="s">
        <v>108</v>
      </c>
      <c r="E26" s="56">
        <v>50000</v>
      </c>
      <c r="F26" s="25" t="s">
        <v>64</v>
      </c>
      <c r="G26" s="26" t="s">
        <v>125</v>
      </c>
      <c r="H26" s="31"/>
    </row>
    <row r="27" spans="2:8" s="18" customFormat="1" ht="92.25" customHeight="1" x14ac:dyDescent="0.25">
      <c r="B27" s="65" t="s">
        <v>132</v>
      </c>
      <c r="C27" s="23" t="s">
        <v>105</v>
      </c>
      <c r="D27" s="23" t="s">
        <v>106</v>
      </c>
      <c r="E27" s="56">
        <v>310000</v>
      </c>
      <c r="F27" s="25" t="s">
        <v>64</v>
      </c>
      <c r="G27" s="26" t="s">
        <v>125</v>
      </c>
      <c r="H27" s="36"/>
    </row>
    <row r="28" spans="2:8" s="18" customFormat="1" ht="92.25" customHeight="1" x14ac:dyDescent="0.25">
      <c r="B28" s="65" t="s">
        <v>147</v>
      </c>
      <c r="C28" s="23" t="s">
        <v>109</v>
      </c>
      <c r="D28" s="23" t="s">
        <v>110</v>
      </c>
      <c r="E28" s="56">
        <f>60000+45000</f>
        <v>105000</v>
      </c>
      <c r="F28" s="25" t="s">
        <v>64</v>
      </c>
      <c r="G28" s="26" t="s">
        <v>125</v>
      </c>
      <c r="H28" s="36"/>
    </row>
    <row r="29" spans="2:8" s="18" customFormat="1" ht="102.75" customHeight="1" x14ac:dyDescent="0.25">
      <c r="B29" s="65" t="s">
        <v>132</v>
      </c>
      <c r="C29" s="23" t="s">
        <v>86</v>
      </c>
      <c r="D29" s="23" t="s">
        <v>87</v>
      </c>
      <c r="E29" s="56">
        <v>8000</v>
      </c>
      <c r="F29" s="25" t="s">
        <v>64</v>
      </c>
      <c r="G29" s="26" t="s">
        <v>125</v>
      </c>
      <c r="H29" s="23"/>
    </row>
    <row r="30" spans="2:8" s="18" customFormat="1" ht="115.5" customHeight="1" x14ac:dyDescent="0.25">
      <c r="B30" s="65" t="s">
        <v>132</v>
      </c>
      <c r="C30" s="23">
        <v>50700000</v>
      </c>
      <c r="D30" s="23" t="s">
        <v>13</v>
      </c>
      <c r="E30" s="56">
        <f>1600000-59200</f>
        <v>1540800</v>
      </c>
      <c r="F30" s="23" t="s">
        <v>61</v>
      </c>
      <c r="G30" s="26" t="s">
        <v>125</v>
      </c>
      <c r="H30" s="23" t="s">
        <v>99</v>
      </c>
    </row>
    <row r="31" spans="2:8" s="18" customFormat="1" ht="115.5" customHeight="1" x14ac:dyDescent="0.25">
      <c r="B31" s="65" t="s">
        <v>132</v>
      </c>
      <c r="C31" s="23">
        <v>50700000</v>
      </c>
      <c r="D31" s="23" t="s">
        <v>13</v>
      </c>
      <c r="E31" s="56">
        <f>93000-45000</f>
        <v>48000</v>
      </c>
      <c r="F31" s="23" t="s">
        <v>64</v>
      </c>
      <c r="G31" s="26" t="s">
        <v>125</v>
      </c>
      <c r="H31" s="23"/>
    </row>
    <row r="32" spans="2:8" s="18" customFormat="1" ht="115.5" customHeight="1" x14ac:dyDescent="0.25">
      <c r="B32" s="65" t="s">
        <v>132</v>
      </c>
      <c r="C32" s="78" t="s">
        <v>117</v>
      </c>
      <c r="D32" s="78" t="s">
        <v>118</v>
      </c>
      <c r="E32" s="56">
        <f>120000+68250</f>
        <v>188250</v>
      </c>
      <c r="F32" s="78" t="s">
        <v>64</v>
      </c>
      <c r="G32" s="80" t="s">
        <v>125</v>
      </c>
      <c r="H32" s="78"/>
    </row>
    <row r="33" spans="2:10" s="18" customFormat="1" ht="115.5" customHeight="1" x14ac:dyDescent="0.25">
      <c r="B33" s="65" t="s">
        <v>132</v>
      </c>
      <c r="C33" s="23" t="s">
        <v>111</v>
      </c>
      <c r="D33" s="23" t="s">
        <v>112</v>
      </c>
      <c r="E33" s="56">
        <v>120000</v>
      </c>
      <c r="F33" s="23" t="s">
        <v>64</v>
      </c>
      <c r="G33" s="26" t="s">
        <v>125</v>
      </c>
      <c r="H33" s="23"/>
    </row>
    <row r="34" spans="2:10" s="18" customFormat="1" ht="58.5" customHeight="1" x14ac:dyDescent="0.25">
      <c r="B34" s="65" t="s">
        <v>132</v>
      </c>
      <c r="C34" s="30">
        <v>63700000</v>
      </c>
      <c r="D34" s="23" t="s">
        <v>70</v>
      </c>
      <c r="E34" s="56">
        <v>2000</v>
      </c>
      <c r="F34" s="25" t="s">
        <v>61</v>
      </c>
      <c r="G34" s="26" t="s">
        <v>125</v>
      </c>
      <c r="H34" s="26" t="s">
        <v>85</v>
      </c>
    </row>
    <row r="35" spans="2:10" s="18" customFormat="1" ht="63.75" customHeight="1" x14ac:dyDescent="0.25">
      <c r="B35" s="65" t="s">
        <v>132</v>
      </c>
      <c r="C35" s="23" t="s">
        <v>47</v>
      </c>
      <c r="D35" s="23" t="s">
        <v>48</v>
      </c>
      <c r="E35" s="56">
        <v>6000</v>
      </c>
      <c r="F35" s="25" t="s">
        <v>64</v>
      </c>
      <c r="G35" s="26" t="s">
        <v>125</v>
      </c>
      <c r="H35" s="23"/>
    </row>
    <row r="36" spans="2:10" s="18" customFormat="1" ht="33.75" x14ac:dyDescent="0.25">
      <c r="B36" s="65" t="s">
        <v>132</v>
      </c>
      <c r="C36" s="38" t="s">
        <v>18</v>
      </c>
      <c r="D36" s="23" t="s">
        <v>46</v>
      </c>
      <c r="E36" s="56">
        <v>25000</v>
      </c>
      <c r="F36" s="25" t="s">
        <v>64</v>
      </c>
      <c r="G36" s="26" t="s">
        <v>125</v>
      </c>
      <c r="H36" s="33"/>
    </row>
    <row r="37" spans="2:10" s="18" customFormat="1" ht="56.25" x14ac:dyDescent="0.25">
      <c r="B37" s="65" t="s">
        <v>132</v>
      </c>
      <c r="C37" s="38" t="s">
        <v>18</v>
      </c>
      <c r="D37" s="23" t="s">
        <v>46</v>
      </c>
      <c r="E37" s="56">
        <v>25500</v>
      </c>
      <c r="F37" s="25" t="s">
        <v>61</v>
      </c>
      <c r="G37" s="26" t="s">
        <v>125</v>
      </c>
      <c r="H37" s="26" t="s">
        <v>96</v>
      </c>
    </row>
    <row r="38" spans="2:10" s="18" customFormat="1" ht="33.75" x14ac:dyDescent="0.25">
      <c r="B38" s="65" t="s">
        <v>132</v>
      </c>
      <c r="C38" s="38" t="s">
        <v>18</v>
      </c>
      <c r="D38" s="23" t="s">
        <v>46</v>
      </c>
      <c r="E38" s="56">
        <v>24000</v>
      </c>
      <c r="F38" s="25" t="s">
        <v>60</v>
      </c>
      <c r="G38" s="26" t="s">
        <v>125</v>
      </c>
      <c r="H38" s="33"/>
    </row>
    <row r="39" spans="2:10" s="18" customFormat="1" ht="33.75" x14ac:dyDescent="0.25">
      <c r="B39" s="65" t="s">
        <v>134</v>
      </c>
      <c r="C39" s="38" t="s">
        <v>114</v>
      </c>
      <c r="D39" s="23" t="s">
        <v>113</v>
      </c>
      <c r="E39" s="56">
        <v>30000</v>
      </c>
      <c r="F39" s="25" t="s">
        <v>64</v>
      </c>
      <c r="G39" s="26" t="s">
        <v>125</v>
      </c>
      <c r="H39" s="26"/>
    </row>
    <row r="40" spans="2:10" s="18" customFormat="1" ht="33.75" x14ac:dyDescent="0.25">
      <c r="B40" s="65" t="s">
        <v>132</v>
      </c>
      <c r="C40" s="38" t="s">
        <v>55</v>
      </c>
      <c r="D40" s="23" t="s">
        <v>56</v>
      </c>
      <c r="E40" s="56">
        <v>1680</v>
      </c>
      <c r="F40" s="25" t="s">
        <v>91</v>
      </c>
      <c r="G40" s="26" t="s">
        <v>125</v>
      </c>
      <c r="H40" s="33"/>
    </row>
    <row r="41" spans="2:10" s="18" customFormat="1" ht="57" customHeight="1" x14ac:dyDescent="0.25">
      <c r="B41" s="65" t="s">
        <v>132</v>
      </c>
      <c r="C41" s="77" t="s">
        <v>17</v>
      </c>
      <c r="D41" s="78" t="s">
        <v>16</v>
      </c>
      <c r="E41" s="56">
        <f>90000+34000</f>
        <v>124000</v>
      </c>
      <c r="F41" s="79" t="s">
        <v>61</v>
      </c>
      <c r="G41" s="80" t="s">
        <v>125</v>
      </c>
      <c r="H41" s="80" t="s">
        <v>67</v>
      </c>
    </row>
    <row r="42" spans="2:10" s="18" customFormat="1" ht="65.25" customHeight="1" x14ac:dyDescent="0.25">
      <c r="B42" s="65" t="s">
        <v>132</v>
      </c>
      <c r="C42" s="77" t="s">
        <v>17</v>
      </c>
      <c r="D42" s="78" t="s">
        <v>16</v>
      </c>
      <c r="E42" s="56">
        <f>150+400</f>
        <v>550</v>
      </c>
      <c r="F42" s="79" t="s">
        <v>61</v>
      </c>
      <c r="G42" s="80" t="s">
        <v>125</v>
      </c>
      <c r="H42" s="80"/>
      <c r="J42" s="20"/>
    </row>
    <row r="43" spans="2:10" s="18" customFormat="1" ht="56.25" x14ac:dyDescent="0.25">
      <c r="B43" s="65" t="s">
        <v>132</v>
      </c>
      <c r="C43" s="38" t="s">
        <v>77</v>
      </c>
      <c r="D43" s="23" t="s">
        <v>78</v>
      </c>
      <c r="E43" s="56">
        <v>3000</v>
      </c>
      <c r="F43" s="25" t="s">
        <v>61</v>
      </c>
      <c r="G43" s="26" t="s">
        <v>125</v>
      </c>
      <c r="H43" s="26" t="s">
        <v>79</v>
      </c>
    </row>
    <row r="44" spans="2:10" s="18" customFormat="1" ht="75" customHeight="1" x14ac:dyDescent="0.25">
      <c r="B44" s="65" t="s">
        <v>132</v>
      </c>
      <c r="C44" s="77" t="s">
        <v>25</v>
      </c>
      <c r="D44" s="78" t="s">
        <v>119</v>
      </c>
      <c r="E44" s="56">
        <v>100000</v>
      </c>
      <c r="F44" s="79" t="s">
        <v>64</v>
      </c>
      <c r="G44" s="80" t="s">
        <v>125</v>
      </c>
      <c r="H44" s="80"/>
    </row>
    <row r="45" spans="2:10" s="18" customFormat="1" ht="63.75" customHeight="1" x14ac:dyDescent="0.25">
      <c r="B45" s="65" t="s">
        <v>132</v>
      </c>
      <c r="C45" s="23" t="s">
        <v>45</v>
      </c>
      <c r="D45" s="23" t="s">
        <v>63</v>
      </c>
      <c r="E45" s="56">
        <v>6000</v>
      </c>
      <c r="F45" s="25" t="s">
        <v>64</v>
      </c>
      <c r="G45" s="26" t="s">
        <v>125</v>
      </c>
      <c r="H45" s="26"/>
    </row>
    <row r="46" spans="2:10" s="18" customFormat="1" ht="63.75" customHeight="1" x14ac:dyDescent="0.25">
      <c r="B46" s="65" t="s">
        <v>132</v>
      </c>
      <c r="C46" s="78" t="s">
        <v>120</v>
      </c>
      <c r="D46" s="78" t="s">
        <v>121</v>
      </c>
      <c r="E46" s="56">
        <v>450</v>
      </c>
      <c r="F46" s="79" t="s">
        <v>61</v>
      </c>
      <c r="G46" s="80" t="s">
        <v>125</v>
      </c>
      <c r="H46" s="80"/>
    </row>
    <row r="47" spans="2:10" s="18" customFormat="1" ht="77.25" customHeight="1" x14ac:dyDescent="0.25">
      <c r="B47" s="65" t="s">
        <v>132</v>
      </c>
      <c r="C47" s="30">
        <v>79700000</v>
      </c>
      <c r="D47" s="23" t="s">
        <v>27</v>
      </c>
      <c r="E47" s="56">
        <v>600000</v>
      </c>
      <c r="F47" s="25" t="s">
        <v>61</v>
      </c>
      <c r="G47" s="26" t="s">
        <v>125</v>
      </c>
      <c r="H47" s="26" t="s">
        <v>80</v>
      </c>
    </row>
    <row r="48" spans="2:10" s="18" customFormat="1" ht="62.25" customHeight="1" x14ac:dyDescent="0.25">
      <c r="B48" s="65" t="s">
        <v>132</v>
      </c>
      <c r="C48" s="30">
        <v>79800000</v>
      </c>
      <c r="D48" s="23" t="s">
        <v>81</v>
      </c>
      <c r="E48" s="56">
        <v>10000</v>
      </c>
      <c r="F48" s="25" t="s">
        <v>64</v>
      </c>
      <c r="G48" s="26" t="s">
        <v>125</v>
      </c>
      <c r="H48" s="26"/>
    </row>
    <row r="49" spans="2:13" s="18" customFormat="1" ht="62.25" customHeight="1" x14ac:dyDescent="0.25">
      <c r="B49" s="65" t="s">
        <v>132</v>
      </c>
      <c r="C49" s="23" t="s">
        <v>53</v>
      </c>
      <c r="D49" s="23" t="s">
        <v>65</v>
      </c>
      <c r="E49" s="56">
        <f>20000+12000</f>
        <v>32000</v>
      </c>
      <c r="F49" s="25" t="s">
        <v>61</v>
      </c>
      <c r="G49" s="26" t="s">
        <v>125</v>
      </c>
      <c r="H49" s="23" t="s">
        <v>68</v>
      </c>
    </row>
    <row r="50" spans="2:13" s="18" customFormat="1" ht="62.25" customHeight="1" x14ac:dyDescent="0.25">
      <c r="B50" s="65" t="s">
        <v>132</v>
      </c>
      <c r="C50" s="38" t="s">
        <v>24</v>
      </c>
      <c r="D50" s="23" t="s">
        <v>71</v>
      </c>
      <c r="E50" s="56">
        <v>12000</v>
      </c>
      <c r="F50" s="25" t="s">
        <v>64</v>
      </c>
      <c r="G50" s="26" t="s">
        <v>125</v>
      </c>
      <c r="H50" s="23"/>
    </row>
    <row r="51" spans="2:13" s="18" customFormat="1" ht="62.25" customHeight="1" x14ac:dyDescent="0.25">
      <c r="B51" s="65" t="s">
        <v>132</v>
      </c>
      <c r="C51" s="38" t="s">
        <v>122</v>
      </c>
      <c r="D51" s="23" t="s">
        <v>123</v>
      </c>
      <c r="E51" s="56">
        <v>1000</v>
      </c>
      <c r="F51" s="25" t="s">
        <v>61</v>
      </c>
      <c r="G51" s="26" t="s">
        <v>125</v>
      </c>
      <c r="H51" s="23"/>
    </row>
    <row r="52" spans="2:13" s="18" customFormat="1" ht="60.75" customHeight="1" x14ac:dyDescent="0.25">
      <c r="B52" s="65" t="s">
        <v>132</v>
      </c>
      <c r="C52" s="23" t="s">
        <v>82</v>
      </c>
      <c r="D52" s="23" t="s">
        <v>83</v>
      </c>
      <c r="E52" s="56">
        <v>20000</v>
      </c>
      <c r="F52" s="25" t="s">
        <v>64</v>
      </c>
      <c r="G52" s="26" t="s">
        <v>125</v>
      </c>
      <c r="H52" s="31"/>
    </row>
    <row r="53" spans="2:13" s="18" customFormat="1" ht="36.75" customHeight="1" x14ac:dyDescent="0.25">
      <c r="B53" s="65" t="s">
        <v>132</v>
      </c>
      <c r="C53" s="78" t="s">
        <v>12</v>
      </c>
      <c r="D53" s="78" t="s">
        <v>19</v>
      </c>
      <c r="E53" s="56">
        <f>80000+110000</f>
        <v>190000</v>
      </c>
      <c r="F53" s="79" t="s">
        <v>64</v>
      </c>
      <c r="G53" s="80" t="s">
        <v>125</v>
      </c>
      <c r="H53" s="81"/>
    </row>
    <row r="54" spans="2:13" s="18" customFormat="1" ht="54.75" customHeight="1" x14ac:dyDescent="0.25">
      <c r="B54" s="65" t="s">
        <v>132</v>
      </c>
      <c r="C54" s="23" t="s">
        <v>115</v>
      </c>
      <c r="D54" s="23" t="s">
        <v>116</v>
      </c>
      <c r="E54" s="56">
        <v>15000</v>
      </c>
      <c r="F54" s="25" t="s">
        <v>61</v>
      </c>
      <c r="G54" s="26" t="s">
        <v>125</v>
      </c>
      <c r="H54" s="26" t="s">
        <v>79</v>
      </c>
    </row>
    <row r="55" spans="2:13" s="1" customFormat="1" ht="75" customHeight="1" x14ac:dyDescent="0.25">
      <c r="B55" s="126" t="s">
        <v>135</v>
      </c>
      <c r="C55" s="127"/>
      <c r="D55" s="127"/>
      <c r="E55" s="16">
        <f>SUM(E56:E59)</f>
        <v>1710000</v>
      </c>
      <c r="F55" s="13"/>
      <c r="G55" s="14"/>
      <c r="H55" s="10"/>
      <c r="I55" s="61"/>
      <c r="J55" s="62"/>
    </row>
    <row r="56" spans="2:13" s="18" customFormat="1" ht="59.25" customHeight="1" x14ac:dyDescent="0.25">
      <c r="B56" s="67" t="s">
        <v>132</v>
      </c>
      <c r="C56" s="68" t="s">
        <v>24</v>
      </c>
      <c r="D56" s="68" t="s">
        <v>71</v>
      </c>
      <c r="E56" s="69">
        <f>1710000-142500-E58-E57</f>
        <v>1314302.3999999999</v>
      </c>
      <c r="F56" s="70" t="s">
        <v>64</v>
      </c>
      <c r="G56" s="71" t="s">
        <v>125</v>
      </c>
      <c r="H56" s="73"/>
      <c r="J56" s="21"/>
    </row>
    <row r="57" spans="2:13" s="18" customFormat="1" ht="67.5" x14ac:dyDescent="0.25">
      <c r="B57" s="67" t="s">
        <v>132</v>
      </c>
      <c r="C57" s="68" t="s">
        <v>103</v>
      </c>
      <c r="D57" s="68" t="s">
        <v>71</v>
      </c>
      <c r="E57" s="69">
        <v>33000</v>
      </c>
      <c r="F57" s="70" t="s">
        <v>61</v>
      </c>
      <c r="G57" s="71" t="s">
        <v>151</v>
      </c>
      <c r="H57" s="92" t="s">
        <v>98</v>
      </c>
      <c r="J57" s="21"/>
    </row>
    <row r="58" spans="2:13" s="18" customFormat="1" ht="67.5" x14ac:dyDescent="0.25">
      <c r="B58" s="67" t="s">
        <v>132</v>
      </c>
      <c r="C58" s="68" t="s">
        <v>103</v>
      </c>
      <c r="D58" s="68" t="s">
        <v>71</v>
      </c>
      <c r="E58" s="69">
        <v>220197.6</v>
      </c>
      <c r="F58" s="70" t="s">
        <v>61</v>
      </c>
      <c r="G58" s="71" t="s">
        <v>150</v>
      </c>
      <c r="H58" s="92" t="s">
        <v>98</v>
      </c>
    </row>
    <row r="59" spans="2:13" s="18" customFormat="1" ht="98.25" customHeight="1" x14ac:dyDescent="0.25">
      <c r="B59" s="65" t="s">
        <v>132</v>
      </c>
      <c r="C59" s="23" t="s">
        <v>24</v>
      </c>
      <c r="D59" s="23" t="s">
        <v>71</v>
      </c>
      <c r="E59" s="56">
        <v>142500</v>
      </c>
      <c r="F59" s="25" t="s">
        <v>61</v>
      </c>
      <c r="G59" s="26" t="s">
        <v>125</v>
      </c>
      <c r="H59" s="48" t="s">
        <v>128</v>
      </c>
      <c r="J59" s="21"/>
    </row>
    <row r="60" spans="2:13" s="1" customFormat="1" ht="31.5" customHeight="1" x14ac:dyDescent="0.25">
      <c r="B60" s="126" t="s">
        <v>136</v>
      </c>
      <c r="C60" s="127"/>
      <c r="D60" s="127"/>
      <c r="E60" s="16">
        <f>SUM(E61:E64)</f>
        <v>22370000</v>
      </c>
      <c r="F60" s="13"/>
      <c r="G60" s="9"/>
      <c r="H60" s="10"/>
      <c r="I60" s="61"/>
      <c r="J60" s="62"/>
    </row>
    <row r="61" spans="2:13" s="18" customFormat="1" ht="75.75" customHeight="1" x14ac:dyDescent="0.25">
      <c r="B61" s="67" t="s">
        <v>132</v>
      </c>
      <c r="C61" s="68" t="s">
        <v>7</v>
      </c>
      <c r="D61" s="68" t="s">
        <v>57</v>
      </c>
      <c r="E61" s="69">
        <f>3750000+400000</f>
        <v>4150000</v>
      </c>
      <c r="F61" s="70" t="s">
        <v>61</v>
      </c>
      <c r="G61" s="71" t="s">
        <v>125</v>
      </c>
      <c r="H61" s="92" t="s">
        <v>97</v>
      </c>
    </row>
    <row r="62" spans="2:13" s="18" customFormat="1" ht="75.75" customHeight="1" x14ac:dyDescent="0.25">
      <c r="B62" s="93" t="s">
        <v>133</v>
      </c>
      <c r="C62" s="68" t="s">
        <v>7</v>
      </c>
      <c r="D62" s="68" t="s">
        <v>57</v>
      </c>
      <c r="E62" s="69">
        <v>100000</v>
      </c>
      <c r="F62" s="70" t="s">
        <v>61</v>
      </c>
      <c r="G62" s="71" t="s">
        <v>125</v>
      </c>
      <c r="H62" s="92" t="s">
        <v>97</v>
      </c>
    </row>
    <row r="63" spans="2:13" s="18" customFormat="1" ht="121.5" customHeight="1" x14ac:dyDescent="0.25">
      <c r="B63" s="67" t="s">
        <v>132</v>
      </c>
      <c r="C63" s="68">
        <v>33600000</v>
      </c>
      <c r="D63" s="68" t="s">
        <v>29</v>
      </c>
      <c r="E63" s="69">
        <f>1440000+270000</f>
        <v>1710000</v>
      </c>
      <c r="F63" s="70" t="s">
        <v>64</v>
      </c>
      <c r="G63" s="71" t="s">
        <v>125</v>
      </c>
      <c r="H63" s="73"/>
      <c r="J63" s="21"/>
      <c r="L63" s="21"/>
      <c r="M63" s="21"/>
    </row>
    <row r="64" spans="2:13" s="18" customFormat="1" ht="87.75" customHeight="1" x14ac:dyDescent="0.25">
      <c r="B64" s="67" t="s">
        <v>132</v>
      </c>
      <c r="C64" s="68" t="s">
        <v>32</v>
      </c>
      <c r="D64" s="68" t="s">
        <v>29</v>
      </c>
      <c r="E64" s="69">
        <v>16410000</v>
      </c>
      <c r="F64" s="70" t="s">
        <v>61</v>
      </c>
      <c r="G64" s="71" t="s">
        <v>125</v>
      </c>
      <c r="H64" s="92" t="s">
        <v>98</v>
      </c>
      <c r="J64" s="21"/>
      <c r="K64" s="21"/>
    </row>
    <row r="65" spans="2:11" s="1" customFormat="1" ht="60" customHeight="1" x14ac:dyDescent="0.25">
      <c r="B65" s="126" t="s">
        <v>137</v>
      </c>
      <c r="C65" s="127"/>
      <c r="D65" s="127"/>
      <c r="E65" s="16">
        <f>SUM(E66:E70)</f>
        <v>1700000</v>
      </c>
      <c r="F65" s="13"/>
      <c r="G65" s="14"/>
      <c r="H65" s="10"/>
      <c r="I65" s="61"/>
      <c r="J65" s="62"/>
    </row>
    <row r="66" spans="2:11" s="18" customFormat="1" ht="36.75" customHeight="1" x14ac:dyDescent="0.25">
      <c r="B66" s="65" t="s">
        <v>132</v>
      </c>
      <c r="C66" s="23" t="s">
        <v>7</v>
      </c>
      <c r="D66" s="23" t="s">
        <v>28</v>
      </c>
      <c r="E66" s="56">
        <v>52272.9</v>
      </c>
      <c r="F66" s="25" t="s">
        <v>64</v>
      </c>
      <c r="G66" s="26" t="s">
        <v>125</v>
      </c>
      <c r="H66" s="41"/>
    </row>
    <row r="67" spans="2:11" s="18" customFormat="1" ht="51" customHeight="1" x14ac:dyDescent="0.25">
      <c r="B67" s="67" t="s">
        <v>132</v>
      </c>
      <c r="C67" s="68" t="s">
        <v>32</v>
      </c>
      <c r="D67" s="68" t="s">
        <v>29</v>
      </c>
      <c r="E67" s="69">
        <f>200847.5-132940.36</f>
        <v>67907.140000000014</v>
      </c>
      <c r="F67" s="70" t="s">
        <v>64</v>
      </c>
      <c r="G67" s="71" t="s">
        <v>125</v>
      </c>
      <c r="H67" s="73"/>
      <c r="J67" s="21">
        <f>E65-1700000</f>
        <v>0</v>
      </c>
    </row>
    <row r="68" spans="2:11" s="18" customFormat="1" ht="45" customHeight="1" x14ac:dyDescent="0.25">
      <c r="B68" s="65" t="s">
        <v>132</v>
      </c>
      <c r="C68" s="23" t="s">
        <v>89</v>
      </c>
      <c r="D68" s="23" t="s">
        <v>90</v>
      </c>
      <c r="E68" s="56">
        <f>816000-200000</f>
        <v>616000</v>
      </c>
      <c r="F68" s="25" t="s">
        <v>64</v>
      </c>
      <c r="G68" s="26" t="s">
        <v>125</v>
      </c>
      <c r="H68" s="48"/>
    </row>
    <row r="69" spans="2:11" s="18" customFormat="1" ht="78.75" x14ac:dyDescent="0.25">
      <c r="B69" s="65" t="s">
        <v>132</v>
      </c>
      <c r="C69" s="23" t="s">
        <v>24</v>
      </c>
      <c r="D69" s="23" t="s">
        <v>71</v>
      </c>
      <c r="E69" s="56">
        <v>69239.960000000006</v>
      </c>
      <c r="F69" s="25" t="s">
        <v>61</v>
      </c>
      <c r="G69" s="26" t="s">
        <v>125</v>
      </c>
      <c r="H69" s="48" t="s">
        <v>129</v>
      </c>
      <c r="J69" s="21"/>
    </row>
    <row r="70" spans="2:11" s="18" customFormat="1" ht="67.5" x14ac:dyDescent="0.25">
      <c r="B70" s="67" t="s">
        <v>132</v>
      </c>
      <c r="C70" s="68" t="s">
        <v>24</v>
      </c>
      <c r="D70" s="68" t="s">
        <v>71</v>
      </c>
      <c r="E70" s="69">
        <f>894580</f>
        <v>894580</v>
      </c>
      <c r="F70" s="70" t="s">
        <v>61</v>
      </c>
      <c r="G70" s="71" t="s">
        <v>152</v>
      </c>
      <c r="H70" s="92" t="s">
        <v>98</v>
      </c>
    </row>
    <row r="71" spans="2:11" s="1" customFormat="1" ht="65.25" customHeight="1" x14ac:dyDescent="0.25">
      <c r="B71" s="126" t="s">
        <v>138</v>
      </c>
      <c r="C71" s="127"/>
      <c r="D71" s="127"/>
      <c r="E71" s="16">
        <f>SUM(E72:E74)</f>
        <v>1753700.5</v>
      </c>
      <c r="F71" s="13"/>
      <c r="G71" s="14"/>
      <c r="H71" s="10"/>
      <c r="I71" s="61"/>
      <c r="J71" s="62"/>
    </row>
    <row r="72" spans="2:11" s="18" customFormat="1" ht="33.75" x14ac:dyDescent="0.25">
      <c r="B72" s="67" t="s">
        <v>132</v>
      </c>
      <c r="C72" s="91" t="s">
        <v>25</v>
      </c>
      <c r="D72" s="91" t="s">
        <v>69</v>
      </c>
      <c r="E72" s="69">
        <v>55000</v>
      </c>
      <c r="F72" s="94" t="s">
        <v>64</v>
      </c>
      <c r="G72" s="71" t="s">
        <v>125</v>
      </c>
      <c r="H72" s="95"/>
    </row>
    <row r="73" spans="2:11" s="18" customFormat="1" ht="78.75" x14ac:dyDescent="0.25">
      <c r="B73" s="65" t="s">
        <v>132</v>
      </c>
      <c r="C73" s="23">
        <v>85100000</v>
      </c>
      <c r="D73" s="23" t="s">
        <v>71</v>
      </c>
      <c r="E73" s="56">
        <v>127500.5</v>
      </c>
      <c r="F73" s="25" t="s">
        <v>61</v>
      </c>
      <c r="G73" s="26" t="s">
        <v>125</v>
      </c>
      <c r="H73" s="45" t="s">
        <v>124</v>
      </c>
    </row>
    <row r="74" spans="2:11" s="18" customFormat="1" ht="60.75" customHeight="1" x14ac:dyDescent="0.25">
      <c r="B74" s="67" t="s">
        <v>132</v>
      </c>
      <c r="C74" s="68">
        <v>85100000</v>
      </c>
      <c r="D74" s="68" t="s">
        <v>71</v>
      </c>
      <c r="E74" s="69">
        <f>1460000+111200</f>
        <v>1571200</v>
      </c>
      <c r="F74" s="70" t="s">
        <v>61</v>
      </c>
      <c r="G74" s="71" t="s">
        <v>125</v>
      </c>
      <c r="H74" s="92" t="s">
        <v>98</v>
      </c>
      <c r="K74" s="21"/>
    </row>
    <row r="75" spans="2:11" s="1" customFormat="1" ht="61.5" customHeight="1" x14ac:dyDescent="0.25">
      <c r="B75" s="126" t="s">
        <v>139</v>
      </c>
      <c r="C75" s="127"/>
      <c r="D75" s="127"/>
      <c r="E75" s="16">
        <f>SUM(E76:E77)</f>
        <v>184166.6</v>
      </c>
      <c r="F75" s="13"/>
      <c r="G75" s="14"/>
      <c r="H75" s="10"/>
      <c r="I75" s="61"/>
      <c r="J75" s="62"/>
    </row>
    <row r="76" spans="2:11" s="18" customFormat="1" ht="70.5" customHeight="1" x14ac:dyDescent="0.25">
      <c r="B76" s="65" t="s">
        <v>132</v>
      </c>
      <c r="C76" s="23" t="s">
        <v>24</v>
      </c>
      <c r="D76" s="23" t="s">
        <v>71</v>
      </c>
      <c r="E76" s="56">
        <v>14166.6</v>
      </c>
      <c r="F76" s="25" t="s">
        <v>61</v>
      </c>
      <c r="G76" s="26" t="s">
        <v>125</v>
      </c>
      <c r="H76" s="48" t="s">
        <v>76</v>
      </c>
    </row>
    <row r="77" spans="2:11" s="18" customFormat="1" ht="75" customHeight="1" x14ac:dyDescent="0.25">
      <c r="B77" s="67" t="s">
        <v>132</v>
      </c>
      <c r="C77" s="68" t="s">
        <v>24</v>
      </c>
      <c r="D77" s="68" t="s">
        <v>71</v>
      </c>
      <c r="E77" s="69">
        <v>170000</v>
      </c>
      <c r="F77" s="70" t="s">
        <v>61</v>
      </c>
      <c r="G77" s="71" t="s">
        <v>125</v>
      </c>
      <c r="H77" s="92" t="s">
        <v>98</v>
      </c>
    </row>
    <row r="78" spans="2:11" s="1" customFormat="1" ht="65.25" customHeight="1" x14ac:dyDescent="0.25">
      <c r="B78" s="121" t="s">
        <v>140</v>
      </c>
      <c r="C78" s="122"/>
      <c r="D78" s="122"/>
      <c r="E78" s="16">
        <f>SUM(E79:E83)</f>
        <v>1350000</v>
      </c>
      <c r="F78" s="13"/>
      <c r="G78" s="14"/>
      <c r="H78" s="60"/>
      <c r="I78" s="61"/>
      <c r="J78" s="62"/>
    </row>
    <row r="79" spans="2:11" s="18" customFormat="1" ht="49.5" customHeight="1" x14ac:dyDescent="0.25">
      <c r="B79" s="65" t="s">
        <v>132</v>
      </c>
      <c r="C79" s="23" t="s">
        <v>14</v>
      </c>
      <c r="D79" s="23" t="s">
        <v>15</v>
      </c>
      <c r="E79" s="56">
        <v>24200</v>
      </c>
      <c r="F79" s="25" t="s">
        <v>60</v>
      </c>
      <c r="G79" s="26" t="s">
        <v>125</v>
      </c>
      <c r="H79" s="41"/>
    </row>
    <row r="80" spans="2:11" s="18" customFormat="1" ht="33.75" x14ac:dyDescent="0.25">
      <c r="B80" s="67" t="s">
        <v>132</v>
      </c>
      <c r="C80" s="87">
        <v>33100000</v>
      </c>
      <c r="D80" s="87" t="s">
        <v>28</v>
      </c>
      <c r="E80" s="69">
        <f>240004-87983</f>
        <v>152021</v>
      </c>
      <c r="F80" s="88" t="s">
        <v>64</v>
      </c>
      <c r="G80" s="71" t="s">
        <v>125</v>
      </c>
      <c r="H80" s="96"/>
    </row>
    <row r="81" spans="2:10" s="18" customFormat="1" ht="60.75" customHeight="1" x14ac:dyDescent="0.25">
      <c r="B81" s="65" t="s">
        <v>132</v>
      </c>
      <c r="C81" s="23" t="s">
        <v>59</v>
      </c>
      <c r="D81" s="23" t="s">
        <v>44</v>
      </c>
      <c r="E81" s="56">
        <v>15000</v>
      </c>
      <c r="F81" s="25" t="s">
        <v>64</v>
      </c>
      <c r="G81" s="26" t="s">
        <v>125</v>
      </c>
      <c r="H81" s="41"/>
    </row>
    <row r="82" spans="2:10" s="18" customFormat="1" ht="75" customHeight="1" x14ac:dyDescent="0.25">
      <c r="B82" s="65" t="s">
        <v>132</v>
      </c>
      <c r="C82" s="23">
        <v>85100000</v>
      </c>
      <c r="D82" s="23" t="s">
        <v>71</v>
      </c>
      <c r="E82" s="56">
        <v>48983</v>
      </c>
      <c r="F82" s="25" t="s">
        <v>61</v>
      </c>
      <c r="G82" s="26" t="s">
        <v>125</v>
      </c>
      <c r="H82" s="48" t="s">
        <v>126</v>
      </c>
      <c r="J82" s="21">
        <f>E78-1350000</f>
        <v>0</v>
      </c>
    </row>
    <row r="83" spans="2:10" s="18" customFormat="1" ht="65.25" customHeight="1" x14ac:dyDescent="0.25">
      <c r="B83" s="67" t="s">
        <v>132</v>
      </c>
      <c r="C83" s="68">
        <v>85100000</v>
      </c>
      <c r="D83" s="68" t="s">
        <v>71</v>
      </c>
      <c r="E83" s="69">
        <f>1071996+37800</f>
        <v>1109796</v>
      </c>
      <c r="F83" s="70" t="s">
        <v>61</v>
      </c>
      <c r="G83" s="71" t="s">
        <v>125</v>
      </c>
      <c r="H83" s="92" t="s">
        <v>98</v>
      </c>
    </row>
    <row r="84" spans="2:10" s="1" customFormat="1" ht="80.25" customHeight="1" x14ac:dyDescent="0.25">
      <c r="B84" s="126" t="s">
        <v>141</v>
      </c>
      <c r="C84" s="127"/>
      <c r="D84" s="127"/>
      <c r="E84" s="16">
        <f>SUM(E85:E85)</f>
        <v>1250000</v>
      </c>
      <c r="F84" s="13"/>
      <c r="G84" s="14"/>
      <c r="H84" s="10"/>
      <c r="I84" s="61"/>
      <c r="J84" s="62"/>
    </row>
    <row r="85" spans="2:10" s="18" customFormat="1" ht="84.75" customHeight="1" x14ac:dyDescent="0.25">
      <c r="B85" s="67" t="s">
        <v>132</v>
      </c>
      <c r="C85" s="68" t="s">
        <v>32</v>
      </c>
      <c r="D85" s="68" t="s">
        <v>29</v>
      </c>
      <c r="E85" s="69">
        <v>1250000</v>
      </c>
      <c r="F85" s="70" t="s">
        <v>61</v>
      </c>
      <c r="G85" s="71" t="s">
        <v>125</v>
      </c>
      <c r="H85" s="92" t="s">
        <v>98</v>
      </c>
    </row>
    <row r="86" spans="2:10" s="1" customFormat="1" ht="57.75" customHeight="1" x14ac:dyDescent="0.25">
      <c r="B86" s="119" t="s">
        <v>142</v>
      </c>
      <c r="C86" s="120"/>
      <c r="D86" s="120"/>
      <c r="E86" s="57">
        <f>SUM(E87:E90)</f>
        <v>4000000</v>
      </c>
      <c r="F86" s="58"/>
      <c r="G86" s="58"/>
      <c r="H86" s="59"/>
      <c r="I86" s="61"/>
      <c r="J86" s="62"/>
    </row>
    <row r="87" spans="2:10" s="18" customFormat="1" ht="29.25" customHeight="1" x14ac:dyDescent="0.25">
      <c r="B87" s="65" t="s">
        <v>132</v>
      </c>
      <c r="C87" s="38">
        <v>33100000</v>
      </c>
      <c r="D87" s="23" t="s">
        <v>8</v>
      </c>
      <c r="E87" s="56">
        <v>124876.2</v>
      </c>
      <c r="F87" s="25" t="s">
        <v>64</v>
      </c>
      <c r="G87" s="26" t="s">
        <v>125</v>
      </c>
      <c r="H87" s="26"/>
    </row>
    <row r="88" spans="2:10" s="18" customFormat="1" ht="33.75" x14ac:dyDescent="0.25">
      <c r="B88" s="67" t="s">
        <v>132</v>
      </c>
      <c r="C88" s="76" t="s">
        <v>32</v>
      </c>
      <c r="D88" s="68" t="s">
        <v>9</v>
      </c>
      <c r="E88" s="69">
        <f>2995349.4-3495.8-99984.41</f>
        <v>2891869.19</v>
      </c>
      <c r="F88" s="70" t="s">
        <v>64</v>
      </c>
      <c r="G88" s="71" t="s">
        <v>125</v>
      </c>
      <c r="H88" s="71"/>
    </row>
    <row r="89" spans="2:10" s="18" customFormat="1" ht="67.5" x14ac:dyDescent="0.25">
      <c r="B89" s="65" t="s">
        <v>132</v>
      </c>
      <c r="C89" s="38" t="s">
        <v>24</v>
      </c>
      <c r="D89" s="23" t="s">
        <v>71</v>
      </c>
      <c r="E89" s="56">
        <v>73605.850000000006</v>
      </c>
      <c r="F89" s="25" t="s">
        <v>61</v>
      </c>
      <c r="G89" s="26" t="s">
        <v>125</v>
      </c>
      <c r="H89" s="45" t="s">
        <v>127</v>
      </c>
    </row>
    <row r="90" spans="2:10" s="18" customFormat="1" ht="83.25" customHeight="1" x14ac:dyDescent="0.25">
      <c r="B90" s="67" t="s">
        <v>132</v>
      </c>
      <c r="C90" s="68" t="s">
        <v>24</v>
      </c>
      <c r="D90" s="68" t="s">
        <v>71</v>
      </c>
      <c r="E90" s="69">
        <v>909648.76</v>
      </c>
      <c r="F90" s="70" t="s">
        <v>61</v>
      </c>
      <c r="G90" s="71" t="s">
        <v>152</v>
      </c>
      <c r="H90" s="97" t="s">
        <v>98</v>
      </c>
    </row>
    <row r="91" spans="2:10" ht="122.25" customHeight="1" x14ac:dyDescent="0.25">
      <c r="B91" s="126" t="s">
        <v>143</v>
      </c>
      <c r="C91" s="127"/>
      <c r="D91" s="127"/>
      <c r="E91" s="16">
        <f>SUM(E92)</f>
        <v>2190000</v>
      </c>
      <c r="F91" s="13"/>
      <c r="G91" s="14"/>
      <c r="H91" s="10"/>
      <c r="I91" s="61"/>
      <c r="J91" s="63">
        <f>E86-4000000</f>
        <v>0</v>
      </c>
    </row>
    <row r="92" spans="2:10" s="18" customFormat="1" ht="117.75" customHeight="1" x14ac:dyDescent="0.25">
      <c r="B92" s="67" t="s">
        <v>132</v>
      </c>
      <c r="C92" s="68" t="s">
        <v>32</v>
      </c>
      <c r="D92" s="68" t="s">
        <v>29</v>
      </c>
      <c r="E92" s="69">
        <v>2190000</v>
      </c>
      <c r="F92" s="70" t="s">
        <v>61</v>
      </c>
      <c r="G92" s="71" t="s">
        <v>152</v>
      </c>
      <c r="H92" s="92" t="s">
        <v>98</v>
      </c>
    </row>
    <row r="93" spans="2:10" s="1" customFormat="1" ht="57" customHeight="1" x14ac:dyDescent="0.25">
      <c r="B93" s="121" t="s">
        <v>144</v>
      </c>
      <c r="C93" s="122"/>
      <c r="D93" s="122"/>
      <c r="E93" s="16">
        <f>SUM(E94:E98)</f>
        <v>474000</v>
      </c>
      <c r="F93" s="13"/>
      <c r="G93" s="60"/>
      <c r="H93" s="60"/>
      <c r="I93" s="61"/>
      <c r="J93" s="62"/>
    </row>
    <row r="94" spans="2:10" s="18" customFormat="1" ht="59.25" customHeight="1" x14ac:dyDescent="0.25">
      <c r="B94" s="67" t="s">
        <v>148</v>
      </c>
      <c r="C94" s="68">
        <v>33100000</v>
      </c>
      <c r="D94" s="68" t="s">
        <v>28</v>
      </c>
      <c r="E94" s="69">
        <f>20000+14559.87+22385.83</f>
        <v>56945.700000000004</v>
      </c>
      <c r="F94" s="70" t="s">
        <v>64</v>
      </c>
      <c r="G94" s="71" t="s">
        <v>125</v>
      </c>
      <c r="H94" s="73"/>
    </row>
    <row r="95" spans="2:10" s="18" customFormat="1" ht="38.25" x14ac:dyDescent="0.25">
      <c r="B95" s="65" t="s">
        <v>148</v>
      </c>
      <c r="C95" s="36">
        <v>33600000</v>
      </c>
      <c r="D95" s="36" t="s">
        <v>29</v>
      </c>
      <c r="E95" s="56">
        <f>266824.3+68000-17770</f>
        <v>317054.3</v>
      </c>
      <c r="F95" s="43" t="s">
        <v>64</v>
      </c>
      <c r="G95" s="26" t="s">
        <v>125</v>
      </c>
      <c r="H95" s="44"/>
    </row>
    <row r="96" spans="2:10" s="18" customFormat="1" ht="78.75" x14ac:dyDescent="0.25">
      <c r="B96" s="65" t="s">
        <v>132</v>
      </c>
      <c r="C96" s="38" t="s">
        <v>103</v>
      </c>
      <c r="D96" s="23" t="s">
        <v>71</v>
      </c>
      <c r="E96" s="56">
        <v>8645.83</v>
      </c>
      <c r="F96" s="25" t="s">
        <v>61</v>
      </c>
      <c r="G96" s="26" t="s">
        <v>125</v>
      </c>
      <c r="H96" s="45" t="s">
        <v>130</v>
      </c>
    </row>
    <row r="97" spans="2:11" s="18" customFormat="1" ht="67.5" x14ac:dyDescent="0.25">
      <c r="B97" s="67" t="s">
        <v>132</v>
      </c>
      <c r="C97" s="76" t="s">
        <v>103</v>
      </c>
      <c r="D97" s="68" t="s">
        <v>71</v>
      </c>
      <c r="E97" s="69">
        <v>13740</v>
      </c>
      <c r="F97" s="70" t="s">
        <v>61</v>
      </c>
      <c r="G97" s="71" t="s">
        <v>152</v>
      </c>
      <c r="H97" s="92" t="s">
        <v>98</v>
      </c>
      <c r="J97" s="21"/>
      <c r="K97" s="21"/>
    </row>
    <row r="98" spans="2:11" s="18" customFormat="1" ht="51" customHeight="1" x14ac:dyDescent="0.25">
      <c r="B98" s="67" t="s">
        <v>132</v>
      </c>
      <c r="C98" s="76" t="s">
        <v>24</v>
      </c>
      <c r="D98" s="68" t="s">
        <v>71</v>
      </c>
      <c r="E98" s="69">
        <v>77614.17</v>
      </c>
      <c r="F98" s="70" t="s">
        <v>64</v>
      </c>
      <c r="G98" s="71" t="s">
        <v>153</v>
      </c>
      <c r="H98" s="98"/>
      <c r="J98" s="21"/>
      <c r="K98" s="21"/>
    </row>
    <row r="99" spans="2:11" ht="59.25" customHeight="1" x14ac:dyDescent="0.25">
      <c r="B99" s="126" t="s">
        <v>145</v>
      </c>
      <c r="C99" s="127"/>
      <c r="D99" s="127"/>
      <c r="E99" s="16">
        <f>SUM(E100:E101)</f>
        <v>2100000</v>
      </c>
      <c r="F99" s="13"/>
      <c r="G99" s="14"/>
      <c r="H99" s="10"/>
      <c r="I99" s="61"/>
      <c r="J99" s="63"/>
    </row>
    <row r="100" spans="2:11" s="18" customFormat="1" ht="42.75" customHeight="1" x14ac:dyDescent="0.25">
      <c r="B100" s="65" t="s">
        <v>132</v>
      </c>
      <c r="C100" s="23" t="s">
        <v>25</v>
      </c>
      <c r="D100" s="23" t="s">
        <v>69</v>
      </c>
      <c r="E100" s="56">
        <f>2100000-115976</f>
        <v>1984024</v>
      </c>
      <c r="F100" s="25" t="s">
        <v>64</v>
      </c>
      <c r="G100" s="26" t="s">
        <v>125</v>
      </c>
      <c r="H100" s="53"/>
    </row>
    <row r="101" spans="2:11" s="18" customFormat="1" ht="42.75" customHeight="1" x14ac:dyDescent="0.25">
      <c r="B101" s="67" t="s">
        <v>132</v>
      </c>
      <c r="C101" s="68" t="s">
        <v>154</v>
      </c>
      <c r="D101" s="68" t="s">
        <v>155</v>
      </c>
      <c r="E101" s="69">
        <v>115976</v>
      </c>
      <c r="F101" s="70" t="s">
        <v>61</v>
      </c>
      <c r="G101" s="71" t="s">
        <v>152</v>
      </c>
      <c r="H101" s="92" t="s">
        <v>98</v>
      </c>
    </row>
    <row r="102" spans="2:11" ht="70.5" customHeight="1" x14ac:dyDescent="0.25">
      <c r="B102" s="126" t="s">
        <v>146</v>
      </c>
      <c r="C102" s="127"/>
      <c r="D102" s="127"/>
      <c r="E102" s="16">
        <f>SUM(E103:E105)</f>
        <v>442800</v>
      </c>
      <c r="F102" s="13"/>
      <c r="G102" s="14"/>
      <c r="H102" s="10"/>
      <c r="I102" s="61"/>
      <c r="J102" s="63"/>
    </row>
    <row r="103" spans="2:11" s="18" customFormat="1" ht="33.75" x14ac:dyDescent="0.25">
      <c r="B103" s="65" t="s">
        <v>132</v>
      </c>
      <c r="C103" s="99" t="s">
        <v>32</v>
      </c>
      <c r="D103" s="99" t="s">
        <v>29</v>
      </c>
      <c r="E103" s="56">
        <f>264000-4020</f>
        <v>259980</v>
      </c>
      <c r="F103" s="100" t="s">
        <v>64</v>
      </c>
      <c r="G103" s="80" t="s">
        <v>125</v>
      </c>
      <c r="H103" s="101"/>
    </row>
    <row r="104" spans="2:11" s="18" customFormat="1" ht="33.75" x14ac:dyDescent="0.25">
      <c r="B104" s="65" t="s">
        <v>132</v>
      </c>
      <c r="C104" s="28" t="s">
        <v>7</v>
      </c>
      <c r="D104" s="28" t="s">
        <v>28</v>
      </c>
      <c r="E104" s="24">
        <v>132000</v>
      </c>
      <c r="F104" s="29" t="s">
        <v>64</v>
      </c>
      <c r="G104" s="26" t="s">
        <v>125</v>
      </c>
      <c r="H104" s="55"/>
    </row>
    <row r="105" spans="2:11" s="18" customFormat="1" ht="33.75" x14ac:dyDescent="0.25">
      <c r="B105" s="67" t="s">
        <v>132</v>
      </c>
      <c r="C105" s="68" t="s">
        <v>14</v>
      </c>
      <c r="D105" s="68" t="s">
        <v>40</v>
      </c>
      <c r="E105" s="69">
        <f>4020+46800</f>
        <v>50820</v>
      </c>
      <c r="F105" s="70" t="s">
        <v>60</v>
      </c>
      <c r="G105" s="71" t="s">
        <v>125</v>
      </c>
      <c r="H105" s="68"/>
    </row>
  </sheetData>
  <autoFilter ref="A8:H105"/>
  <mergeCells count="20">
    <mergeCell ref="B99:D99"/>
    <mergeCell ref="B102:D102"/>
    <mergeCell ref="B75:D75"/>
    <mergeCell ref="B78:D78"/>
    <mergeCell ref="B84:D84"/>
    <mergeCell ref="B86:D86"/>
    <mergeCell ref="B91:D91"/>
    <mergeCell ref="B93:D93"/>
    <mergeCell ref="B71:D71"/>
    <mergeCell ref="B2:H2"/>
    <mergeCell ref="B3:H3"/>
    <mergeCell ref="B4:E4"/>
    <mergeCell ref="F4:H4"/>
    <mergeCell ref="B5:E5"/>
    <mergeCell ref="F5:H5"/>
    <mergeCell ref="B6:F6"/>
    <mergeCell ref="B9:D9"/>
    <mergeCell ref="B55:D55"/>
    <mergeCell ref="B60:D60"/>
    <mergeCell ref="B65:D65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05"/>
  <sheetViews>
    <sheetView topLeftCell="B96" zoomScaleNormal="100" zoomScaleSheetLayoutView="80" workbookViewId="0">
      <selection activeCell="B75" sqref="B75:D75"/>
    </sheetView>
  </sheetViews>
  <sheetFormatPr defaultRowHeight="15" x14ac:dyDescent="0.2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1.5703125" bestFit="1" customWidth="1"/>
    <col min="12" max="12" width="14.28515625" bestFit="1" customWidth="1"/>
    <col min="13" max="13" width="11.5703125" bestFit="1" customWidth="1"/>
  </cols>
  <sheetData>
    <row r="2" spans="2:8" ht="18.75" x14ac:dyDescent="0.25">
      <c r="B2" s="123" t="s">
        <v>41</v>
      </c>
      <c r="C2" s="123"/>
      <c r="D2" s="123"/>
      <c r="E2" s="123"/>
      <c r="F2" s="123"/>
      <c r="G2" s="123"/>
      <c r="H2" s="123"/>
    </row>
    <row r="3" spans="2:8" ht="18.75" x14ac:dyDescent="0.3">
      <c r="B3" s="124" t="s">
        <v>4</v>
      </c>
      <c r="C3" s="124"/>
      <c r="D3" s="124"/>
      <c r="E3" s="124"/>
      <c r="F3" s="124"/>
      <c r="G3" s="124"/>
      <c r="H3" s="124"/>
    </row>
    <row r="4" spans="2:8" x14ac:dyDescent="0.25">
      <c r="B4" s="125" t="s">
        <v>54</v>
      </c>
      <c r="C4" s="125"/>
      <c r="D4" s="125"/>
      <c r="E4" s="125"/>
      <c r="F4" s="125" t="s">
        <v>21</v>
      </c>
      <c r="G4" s="125"/>
      <c r="H4" s="125"/>
    </row>
    <row r="5" spans="2:8" x14ac:dyDescent="0.25">
      <c r="B5" s="125" t="s">
        <v>20</v>
      </c>
      <c r="C5" s="125"/>
      <c r="D5" s="125"/>
      <c r="E5" s="125"/>
      <c r="F5" s="125" t="s">
        <v>10</v>
      </c>
      <c r="G5" s="125"/>
      <c r="H5" s="125"/>
    </row>
    <row r="6" spans="2:8" ht="24.75" customHeight="1" x14ac:dyDescent="0.25">
      <c r="B6" s="115" t="s">
        <v>22</v>
      </c>
      <c r="C6" s="116"/>
      <c r="D6" s="116"/>
      <c r="E6" s="116"/>
      <c r="F6" s="116"/>
      <c r="G6" s="2">
        <f>E9+E55+E60+E65+E71+E75+E78+E84+E86+E91+E93+E99+E102</f>
        <v>43682597.100000001</v>
      </c>
      <c r="H6" s="3" t="s">
        <v>23</v>
      </c>
    </row>
    <row r="7" spans="2:8" ht="25.5" x14ac:dyDescent="0.2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 x14ac:dyDescent="0.25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customHeight="1" x14ac:dyDescent="0.25">
      <c r="B9" s="117" t="s">
        <v>131</v>
      </c>
      <c r="C9" s="118"/>
      <c r="D9" s="118"/>
      <c r="E9" s="15">
        <f>SUM(E10:E54)</f>
        <v>4157930</v>
      </c>
      <c r="F9" s="11"/>
      <c r="G9" s="9"/>
      <c r="H9" s="10"/>
    </row>
    <row r="10" spans="2:8" s="18" customFormat="1" ht="33.75" x14ac:dyDescent="0.2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8" s="18" customFormat="1" ht="33.75" x14ac:dyDescent="0.2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8" s="18" customFormat="1" ht="33.75" x14ac:dyDescent="0.25">
      <c r="B12" s="65" t="s">
        <v>132</v>
      </c>
      <c r="C12" s="23" t="s">
        <v>100</v>
      </c>
      <c r="D12" s="23" t="s">
        <v>101</v>
      </c>
      <c r="E12" s="56">
        <v>500</v>
      </c>
      <c r="F12" s="25" t="s">
        <v>61</v>
      </c>
      <c r="G12" s="26" t="s">
        <v>125</v>
      </c>
      <c r="H12" s="23"/>
    </row>
    <row r="13" spans="2:8" s="19" customFormat="1" ht="33.75" x14ac:dyDescent="0.25">
      <c r="B13" s="65" t="s">
        <v>132</v>
      </c>
      <c r="C13" s="28" t="s">
        <v>50</v>
      </c>
      <c r="D13" s="28" t="s">
        <v>52</v>
      </c>
      <c r="E13" s="56">
        <v>1600</v>
      </c>
      <c r="F13" s="29" t="s">
        <v>61</v>
      </c>
      <c r="G13" s="26" t="s">
        <v>125</v>
      </c>
      <c r="H13" s="28"/>
    </row>
    <row r="14" spans="2:8" s="18" customFormat="1" ht="49.5" customHeight="1" x14ac:dyDescent="0.25">
      <c r="B14" s="65" t="s">
        <v>132</v>
      </c>
      <c r="C14" s="23" t="s">
        <v>39</v>
      </c>
      <c r="D14" s="23" t="s">
        <v>58</v>
      </c>
      <c r="E14" s="56">
        <f>23100</f>
        <v>23100</v>
      </c>
      <c r="F14" s="25" t="s">
        <v>60</v>
      </c>
      <c r="G14" s="26" t="s">
        <v>125</v>
      </c>
      <c r="H14" s="23"/>
    </row>
    <row r="15" spans="2:8" s="18" customFormat="1" ht="49.5" customHeight="1" x14ac:dyDescent="0.25">
      <c r="B15" s="65" t="s">
        <v>132</v>
      </c>
      <c r="C15" s="23" t="s">
        <v>39</v>
      </c>
      <c r="D15" s="23" t="s">
        <v>58</v>
      </c>
      <c r="E15" s="56">
        <f>60000+9000</f>
        <v>69000</v>
      </c>
      <c r="F15" s="25" t="s">
        <v>64</v>
      </c>
      <c r="G15" s="26" t="s">
        <v>125</v>
      </c>
      <c r="H15" s="23"/>
    </row>
    <row r="16" spans="2:8" s="18" customFormat="1" ht="38.25" customHeight="1" x14ac:dyDescent="0.25">
      <c r="B16" s="65" t="s">
        <v>147</v>
      </c>
      <c r="C16" s="30">
        <v>31400000</v>
      </c>
      <c r="D16" s="23" t="s">
        <v>11</v>
      </c>
      <c r="E16" s="56">
        <f>3000+1800</f>
        <v>4800</v>
      </c>
      <c r="F16" s="25" t="s">
        <v>61</v>
      </c>
      <c r="G16" s="26" t="s">
        <v>125</v>
      </c>
      <c r="H16" s="31"/>
    </row>
    <row r="17" spans="2:8" s="18" customFormat="1" ht="38.25" customHeight="1" x14ac:dyDescent="0.25">
      <c r="B17" s="65" t="s">
        <v>147</v>
      </c>
      <c r="C17" s="23" t="s">
        <v>43</v>
      </c>
      <c r="D17" s="23" t="s">
        <v>42</v>
      </c>
      <c r="E17" s="56">
        <v>10000</v>
      </c>
      <c r="F17" s="25" t="s">
        <v>60</v>
      </c>
      <c r="G17" s="26" t="s">
        <v>125</v>
      </c>
      <c r="H17" s="32"/>
    </row>
    <row r="18" spans="2:8" s="18" customFormat="1" ht="33.75" x14ac:dyDescent="0.25">
      <c r="B18" s="65" t="s">
        <v>132</v>
      </c>
      <c r="C18" s="23" t="s">
        <v>92</v>
      </c>
      <c r="D18" s="23" t="s">
        <v>93</v>
      </c>
      <c r="E18" s="56">
        <v>4800</v>
      </c>
      <c r="F18" s="25" t="s">
        <v>91</v>
      </c>
      <c r="G18" s="26" t="s">
        <v>125</v>
      </c>
      <c r="H18" s="31"/>
    </row>
    <row r="19" spans="2:8" s="18" customFormat="1" ht="33.75" x14ac:dyDescent="0.25">
      <c r="B19" s="65" t="s">
        <v>132</v>
      </c>
      <c r="C19" s="23" t="s">
        <v>94</v>
      </c>
      <c r="D19" s="23" t="s">
        <v>95</v>
      </c>
      <c r="E19" s="56">
        <v>4800</v>
      </c>
      <c r="F19" s="25" t="s">
        <v>91</v>
      </c>
      <c r="G19" s="26" t="s">
        <v>125</v>
      </c>
      <c r="H19" s="31"/>
    </row>
    <row r="20" spans="2:8" s="18" customFormat="1" ht="33.75" x14ac:dyDescent="0.25">
      <c r="B20" s="65" t="s">
        <v>132</v>
      </c>
      <c r="C20" s="34">
        <v>39800000</v>
      </c>
      <c r="D20" s="34" t="s">
        <v>84</v>
      </c>
      <c r="E20" s="56">
        <v>4800</v>
      </c>
      <c r="F20" s="25" t="s">
        <v>91</v>
      </c>
      <c r="G20" s="26" t="s">
        <v>125</v>
      </c>
      <c r="H20" s="31"/>
    </row>
    <row r="21" spans="2:8" s="18" customFormat="1" ht="51.75" customHeight="1" x14ac:dyDescent="0.25">
      <c r="B21" s="65" t="s">
        <v>132</v>
      </c>
      <c r="C21" s="84">
        <v>41100000</v>
      </c>
      <c r="D21" s="85" t="s">
        <v>149</v>
      </c>
      <c r="E21" s="56">
        <v>6750</v>
      </c>
      <c r="F21" s="79" t="s">
        <v>64</v>
      </c>
      <c r="G21" s="80" t="s">
        <v>125</v>
      </c>
      <c r="H21" s="81"/>
    </row>
    <row r="22" spans="2:8" s="18" customFormat="1" ht="51.75" customHeight="1" x14ac:dyDescent="0.25">
      <c r="B22" s="65" t="s">
        <v>132</v>
      </c>
      <c r="C22" s="30">
        <v>45400000</v>
      </c>
      <c r="D22" s="34" t="s">
        <v>102</v>
      </c>
      <c r="E22" s="56">
        <v>40000</v>
      </c>
      <c r="F22" s="25" t="s">
        <v>64</v>
      </c>
      <c r="G22" s="26" t="s">
        <v>125</v>
      </c>
      <c r="H22" s="31"/>
    </row>
    <row r="23" spans="2:8" s="18" customFormat="1" ht="37.5" customHeight="1" x14ac:dyDescent="0.25">
      <c r="B23" s="65" t="s">
        <v>133</v>
      </c>
      <c r="C23" s="30">
        <v>48700000</v>
      </c>
      <c r="D23" s="23" t="s">
        <v>104</v>
      </c>
      <c r="E23" s="56">
        <v>30000</v>
      </c>
      <c r="F23" s="25" t="s">
        <v>64</v>
      </c>
      <c r="G23" s="26" t="s">
        <v>125</v>
      </c>
      <c r="H23" s="31"/>
    </row>
    <row r="24" spans="2:8" s="18" customFormat="1" ht="56.25" x14ac:dyDescent="0.25">
      <c r="B24" s="65" t="s">
        <v>132</v>
      </c>
      <c r="C24" s="78">
        <v>50100000</v>
      </c>
      <c r="D24" s="78" t="s">
        <v>44</v>
      </c>
      <c r="E24" s="56">
        <f>10000+30000</f>
        <v>40000</v>
      </c>
      <c r="F24" s="79" t="s">
        <v>61</v>
      </c>
      <c r="G24" s="80" t="s">
        <v>125</v>
      </c>
      <c r="H24" s="102" t="s">
        <v>66</v>
      </c>
    </row>
    <row r="25" spans="2:8" s="18" customFormat="1" ht="92.25" customHeight="1" x14ac:dyDescent="0.25">
      <c r="B25" s="65" t="s">
        <v>132</v>
      </c>
      <c r="C25" s="78" t="s">
        <v>59</v>
      </c>
      <c r="D25" s="78" t="s">
        <v>62</v>
      </c>
      <c r="E25" s="56">
        <f>120000-30000</f>
        <v>90000</v>
      </c>
      <c r="F25" s="79" t="s">
        <v>64</v>
      </c>
      <c r="G25" s="80" t="s">
        <v>125</v>
      </c>
      <c r="H25" s="103"/>
    </row>
    <row r="26" spans="2:8" s="18" customFormat="1" ht="92.25" customHeight="1" x14ac:dyDescent="0.25">
      <c r="B26" s="65" t="s">
        <v>132</v>
      </c>
      <c r="C26" s="23" t="s">
        <v>107</v>
      </c>
      <c r="D26" s="23" t="s">
        <v>108</v>
      </c>
      <c r="E26" s="56">
        <v>50000</v>
      </c>
      <c r="F26" s="25" t="s">
        <v>64</v>
      </c>
      <c r="G26" s="26" t="s">
        <v>125</v>
      </c>
      <c r="H26" s="31"/>
    </row>
    <row r="27" spans="2:8" s="18" customFormat="1" ht="92.25" customHeight="1" x14ac:dyDescent="0.25">
      <c r="B27" s="65" t="s">
        <v>132</v>
      </c>
      <c r="C27" s="23" t="s">
        <v>105</v>
      </c>
      <c r="D27" s="23" t="s">
        <v>106</v>
      </c>
      <c r="E27" s="56">
        <v>310000</v>
      </c>
      <c r="F27" s="25" t="s">
        <v>64</v>
      </c>
      <c r="G27" s="26" t="s">
        <v>125</v>
      </c>
      <c r="H27" s="36"/>
    </row>
    <row r="28" spans="2:8" s="18" customFormat="1" ht="92.25" customHeight="1" x14ac:dyDescent="0.25">
      <c r="B28" s="65" t="s">
        <v>147</v>
      </c>
      <c r="C28" s="23" t="s">
        <v>109</v>
      </c>
      <c r="D28" s="23" t="s">
        <v>110</v>
      </c>
      <c r="E28" s="56">
        <f>60000+45000-20000</f>
        <v>85000</v>
      </c>
      <c r="F28" s="25" t="s">
        <v>64</v>
      </c>
      <c r="G28" s="26" t="s">
        <v>125</v>
      </c>
      <c r="H28" s="36"/>
    </row>
    <row r="29" spans="2:8" s="18" customFormat="1" ht="102.75" customHeight="1" x14ac:dyDescent="0.25">
      <c r="B29" s="65" t="s">
        <v>132</v>
      </c>
      <c r="C29" s="23" t="s">
        <v>86</v>
      </c>
      <c r="D29" s="23" t="s">
        <v>87</v>
      </c>
      <c r="E29" s="56">
        <v>8000</v>
      </c>
      <c r="F29" s="25" t="s">
        <v>64</v>
      </c>
      <c r="G29" s="26" t="s">
        <v>125</v>
      </c>
      <c r="H29" s="23"/>
    </row>
    <row r="30" spans="2:8" s="18" customFormat="1" ht="115.5" customHeight="1" x14ac:dyDescent="0.25">
      <c r="B30" s="65" t="s">
        <v>132</v>
      </c>
      <c r="C30" s="23">
        <v>50700000</v>
      </c>
      <c r="D30" s="23" t="s">
        <v>13</v>
      </c>
      <c r="E30" s="56">
        <f>1600000-59200</f>
        <v>1540800</v>
      </c>
      <c r="F30" s="23" t="s">
        <v>61</v>
      </c>
      <c r="G30" s="26" t="s">
        <v>125</v>
      </c>
      <c r="H30" s="23" t="s">
        <v>99</v>
      </c>
    </row>
    <row r="31" spans="2:8" s="18" customFormat="1" ht="115.5" customHeight="1" x14ac:dyDescent="0.25">
      <c r="B31" s="65" t="s">
        <v>132</v>
      </c>
      <c r="C31" s="23">
        <v>50700000</v>
      </c>
      <c r="D31" s="23" t="s">
        <v>13</v>
      </c>
      <c r="E31" s="56">
        <f>93000-45000+20000</f>
        <v>68000</v>
      </c>
      <c r="F31" s="23" t="s">
        <v>64</v>
      </c>
      <c r="G31" s="26" t="s">
        <v>125</v>
      </c>
      <c r="H31" s="23"/>
    </row>
    <row r="32" spans="2:8" s="18" customFormat="1" ht="115.5" customHeight="1" x14ac:dyDescent="0.25">
      <c r="B32" s="65" t="s">
        <v>132</v>
      </c>
      <c r="C32" s="78" t="s">
        <v>117</v>
      </c>
      <c r="D32" s="78" t="s">
        <v>118</v>
      </c>
      <c r="E32" s="56">
        <f>120000+68250</f>
        <v>188250</v>
      </c>
      <c r="F32" s="78" t="s">
        <v>64</v>
      </c>
      <c r="G32" s="80" t="s">
        <v>125</v>
      </c>
      <c r="H32" s="78"/>
    </row>
    <row r="33" spans="2:10" s="18" customFormat="1" ht="115.5" customHeight="1" x14ac:dyDescent="0.25">
      <c r="B33" s="65" t="s">
        <v>132</v>
      </c>
      <c r="C33" s="23" t="s">
        <v>111</v>
      </c>
      <c r="D33" s="23" t="s">
        <v>112</v>
      </c>
      <c r="E33" s="56">
        <v>120000</v>
      </c>
      <c r="F33" s="23" t="s">
        <v>64</v>
      </c>
      <c r="G33" s="26" t="s">
        <v>125</v>
      </c>
      <c r="H33" s="23"/>
    </row>
    <row r="34" spans="2:10" s="18" customFormat="1" ht="58.5" customHeight="1" x14ac:dyDescent="0.25">
      <c r="B34" s="65" t="s">
        <v>132</v>
      </c>
      <c r="C34" s="30">
        <v>63700000</v>
      </c>
      <c r="D34" s="23" t="s">
        <v>70</v>
      </c>
      <c r="E34" s="56">
        <v>2000</v>
      </c>
      <c r="F34" s="25" t="s">
        <v>61</v>
      </c>
      <c r="G34" s="26" t="s">
        <v>125</v>
      </c>
      <c r="H34" s="26" t="s">
        <v>85</v>
      </c>
    </row>
    <row r="35" spans="2:10" s="18" customFormat="1" ht="63.75" customHeight="1" x14ac:dyDescent="0.25">
      <c r="B35" s="65" t="s">
        <v>132</v>
      </c>
      <c r="C35" s="23" t="s">
        <v>47</v>
      </c>
      <c r="D35" s="23" t="s">
        <v>48</v>
      </c>
      <c r="E35" s="56">
        <v>6000</v>
      </c>
      <c r="F35" s="25" t="s">
        <v>64</v>
      </c>
      <c r="G35" s="26" t="s">
        <v>125</v>
      </c>
      <c r="H35" s="23"/>
    </row>
    <row r="36" spans="2:10" s="18" customFormat="1" ht="33.75" x14ac:dyDescent="0.25">
      <c r="B36" s="65" t="s">
        <v>132</v>
      </c>
      <c r="C36" s="38" t="s">
        <v>18</v>
      </c>
      <c r="D36" s="23" t="s">
        <v>46</v>
      </c>
      <c r="E36" s="56">
        <v>25000</v>
      </c>
      <c r="F36" s="25" t="s">
        <v>64</v>
      </c>
      <c r="G36" s="26" t="s">
        <v>125</v>
      </c>
      <c r="H36" s="33"/>
    </row>
    <row r="37" spans="2:10" s="18" customFormat="1" ht="56.25" x14ac:dyDescent="0.25">
      <c r="B37" s="65" t="s">
        <v>132</v>
      </c>
      <c r="C37" s="38" t="s">
        <v>18</v>
      </c>
      <c r="D37" s="23" t="s">
        <v>46</v>
      </c>
      <c r="E37" s="56">
        <v>25500</v>
      </c>
      <c r="F37" s="25" t="s">
        <v>61</v>
      </c>
      <c r="G37" s="26" t="s">
        <v>125</v>
      </c>
      <c r="H37" s="26" t="s">
        <v>96</v>
      </c>
    </row>
    <row r="38" spans="2:10" s="18" customFormat="1" ht="33.75" x14ac:dyDescent="0.25">
      <c r="B38" s="65" t="s">
        <v>132</v>
      </c>
      <c r="C38" s="38" t="s">
        <v>18</v>
      </c>
      <c r="D38" s="23" t="s">
        <v>46</v>
      </c>
      <c r="E38" s="56">
        <v>24000</v>
      </c>
      <c r="F38" s="25" t="s">
        <v>60</v>
      </c>
      <c r="G38" s="26" t="s">
        <v>125</v>
      </c>
      <c r="H38" s="33"/>
    </row>
    <row r="39" spans="2:10" s="18" customFormat="1" ht="33.75" x14ac:dyDescent="0.25">
      <c r="B39" s="65" t="s">
        <v>134</v>
      </c>
      <c r="C39" s="38" t="s">
        <v>114</v>
      </c>
      <c r="D39" s="23" t="s">
        <v>113</v>
      </c>
      <c r="E39" s="56">
        <v>30000</v>
      </c>
      <c r="F39" s="25" t="s">
        <v>64</v>
      </c>
      <c r="G39" s="26" t="s">
        <v>125</v>
      </c>
      <c r="H39" s="26"/>
    </row>
    <row r="40" spans="2:10" s="18" customFormat="1" ht="33.75" x14ac:dyDescent="0.25">
      <c r="B40" s="65" t="s">
        <v>132</v>
      </c>
      <c r="C40" s="38" t="s">
        <v>55</v>
      </c>
      <c r="D40" s="23" t="s">
        <v>56</v>
      </c>
      <c r="E40" s="56">
        <v>1680</v>
      </c>
      <c r="F40" s="25" t="s">
        <v>91</v>
      </c>
      <c r="G40" s="26" t="s">
        <v>125</v>
      </c>
      <c r="H40" s="33"/>
    </row>
    <row r="41" spans="2:10" s="18" customFormat="1" ht="57" customHeight="1" x14ac:dyDescent="0.25">
      <c r="B41" s="65" t="s">
        <v>132</v>
      </c>
      <c r="C41" s="77" t="s">
        <v>17</v>
      </c>
      <c r="D41" s="78" t="s">
        <v>16</v>
      </c>
      <c r="E41" s="56">
        <f>90000+34000</f>
        <v>124000</v>
      </c>
      <c r="F41" s="79" t="s">
        <v>61</v>
      </c>
      <c r="G41" s="80" t="s">
        <v>125</v>
      </c>
      <c r="H41" s="80" t="s">
        <v>67</v>
      </c>
    </row>
    <row r="42" spans="2:10" s="18" customFormat="1" ht="65.25" customHeight="1" x14ac:dyDescent="0.25">
      <c r="B42" s="65" t="s">
        <v>132</v>
      </c>
      <c r="C42" s="77" t="s">
        <v>17</v>
      </c>
      <c r="D42" s="78" t="s">
        <v>16</v>
      </c>
      <c r="E42" s="56">
        <f>150+400</f>
        <v>550</v>
      </c>
      <c r="F42" s="79" t="s">
        <v>61</v>
      </c>
      <c r="G42" s="80" t="s">
        <v>125</v>
      </c>
      <c r="H42" s="80"/>
      <c r="J42" s="20"/>
    </row>
    <row r="43" spans="2:10" s="18" customFormat="1" ht="56.25" x14ac:dyDescent="0.25">
      <c r="B43" s="65" t="s">
        <v>132</v>
      </c>
      <c r="C43" s="38" t="s">
        <v>77</v>
      </c>
      <c r="D43" s="23" t="s">
        <v>78</v>
      </c>
      <c r="E43" s="56">
        <v>3000</v>
      </c>
      <c r="F43" s="25" t="s">
        <v>61</v>
      </c>
      <c r="G43" s="26" t="s">
        <v>125</v>
      </c>
      <c r="H43" s="26" t="s">
        <v>79</v>
      </c>
    </row>
    <row r="44" spans="2:10" s="18" customFormat="1" ht="75" customHeight="1" x14ac:dyDescent="0.25">
      <c r="B44" s="65" t="s">
        <v>132</v>
      </c>
      <c r="C44" s="77" t="s">
        <v>25</v>
      </c>
      <c r="D44" s="78" t="s">
        <v>119</v>
      </c>
      <c r="E44" s="56">
        <v>100000</v>
      </c>
      <c r="F44" s="79" t="s">
        <v>64</v>
      </c>
      <c r="G44" s="80" t="s">
        <v>125</v>
      </c>
      <c r="H44" s="80"/>
    </row>
    <row r="45" spans="2:10" s="18" customFormat="1" ht="63.75" customHeight="1" x14ac:dyDescent="0.25">
      <c r="B45" s="67" t="s">
        <v>132</v>
      </c>
      <c r="C45" s="68" t="s">
        <v>45</v>
      </c>
      <c r="D45" s="68" t="s">
        <v>63</v>
      </c>
      <c r="E45" s="69">
        <f>6000+3850</f>
        <v>9850</v>
      </c>
      <c r="F45" s="70" t="s">
        <v>64</v>
      </c>
      <c r="G45" s="71" t="s">
        <v>125</v>
      </c>
      <c r="H45" s="71"/>
    </row>
    <row r="46" spans="2:10" s="18" customFormat="1" ht="63.75" customHeight="1" x14ac:dyDescent="0.25">
      <c r="B46" s="65" t="s">
        <v>132</v>
      </c>
      <c r="C46" s="78" t="s">
        <v>120</v>
      </c>
      <c r="D46" s="78" t="s">
        <v>121</v>
      </c>
      <c r="E46" s="56">
        <v>450</v>
      </c>
      <c r="F46" s="79" t="s">
        <v>61</v>
      </c>
      <c r="G46" s="80" t="s">
        <v>125</v>
      </c>
      <c r="H46" s="80"/>
    </row>
    <row r="47" spans="2:10" s="18" customFormat="1" ht="77.25" customHeight="1" x14ac:dyDescent="0.25">
      <c r="B47" s="65" t="s">
        <v>132</v>
      </c>
      <c r="C47" s="30">
        <v>79700000</v>
      </c>
      <c r="D47" s="23" t="s">
        <v>27</v>
      </c>
      <c r="E47" s="56">
        <v>600000</v>
      </c>
      <c r="F47" s="25" t="s">
        <v>61</v>
      </c>
      <c r="G47" s="26" t="s">
        <v>125</v>
      </c>
      <c r="H47" s="26" t="s">
        <v>80</v>
      </c>
    </row>
    <row r="48" spans="2:10" s="18" customFormat="1" ht="62.25" customHeight="1" x14ac:dyDescent="0.25">
      <c r="B48" s="65" t="s">
        <v>132</v>
      </c>
      <c r="C48" s="30">
        <v>79800000</v>
      </c>
      <c r="D48" s="23" t="s">
        <v>81</v>
      </c>
      <c r="E48" s="56">
        <v>10000</v>
      </c>
      <c r="F48" s="25" t="s">
        <v>64</v>
      </c>
      <c r="G48" s="26" t="s">
        <v>125</v>
      </c>
      <c r="H48" s="26"/>
    </row>
    <row r="49" spans="2:13" s="18" customFormat="1" ht="62.25" customHeight="1" x14ac:dyDescent="0.25">
      <c r="B49" s="65" t="s">
        <v>132</v>
      </c>
      <c r="C49" s="23" t="s">
        <v>53</v>
      </c>
      <c r="D49" s="23" t="s">
        <v>65</v>
      </c>
      <c r="E49" s="56">
        <f>20000+12000</f>
        <v>32000</v>
      </c>
      <c r="F49" s="25" t="s">
        <v>61</v>
      </c>
      <c r="G49" s="26" t="s">
        <v>125</v>
      </c>
      <c r="H49" s="23" t="s">
        <v>68</v>
      </c>
    </row>
    <row r="50" spans="2:13" s="18" customFormat="1" ht="62.25" customHeight="1" x14ac:dyDescent="0.25">
      <c r="B50" s="65" t="s">
        <v>132</v>
      </c>
      <c r="C50" s="38" t="s">
        <v>24</v>
      </c>
      <c r="D50" s="23" t="s">
        <v>71</v>
      </c>
      <c r="E50" s="56">
        <v>12000</v>
      </c>
      <c r="F50" s="25" t="s">
        <v>64</v>
      </c>
      <c r="G50" s="26" t="s">
        <v>125</v>
      </c>
      <c r="H50" s="23"/>
    </row>
    <row r="51" spans="2:13" s="18" customFormat="1" ht="62.25" customHeight="1" x14ac:dyDescent="0.25">
      <c r="B51" s="65" t="s">
        <v>132</v>
      </c>
      <c r="C51" s="38" t="s">
        <v>122</v>
      </c>
      <c r="D51" s="23" t="s">
        <v>123</v>
      </c>
      <c r="E51" s="56">
        <v>1000</v>
      </c>
      <c r="F51" s="25" t="s">
        <v>61</v>
      </c>
      <c r="G51" s="26" t="s">
        <v>125</v>
      </c>
      <c r="H51" s="23"/>
    </row>
    <row r="52" spans="2:13" s="18" customFormat="1" ht="60.75" customHeight="1" x14ac:dyDescent="0.25">
      <c r="B52" s="65" t="s">
        <v>132</v>
      </c>
      <c r="C52" s="23" t="s">
        <v>82</v>
      </c>
      <c r="D52" s="23" t="s">
        <v>83</v>
      </c>
      <c r="E52" s="56">
        <v>20000</v>
      </c>
      <c r="F52" s="25" t="s">
        <v>64</v>
      </c>
      <c r="G52" s="26" t="s">
        <v>125</v>
      </c>
      <c r="H52" s="31"/>
    </row>
    <row r="53" spans="2:13" s="18" customFormat="1" ht="36.75" customHeight="1" x14ac:dyDescent="0.25">
      <c r="B53" s="65" t="s">
        <v>132</v>
      </c>
      <c r="C53" s="78" t="s">
        <v>12</v>
      </c>
      <c r="D53" s="78" t="s">
        <v>19</v>
      </c>
      <c r="E53" s="56">
        <f>80000+110000</f>
        <v>190000</v>
      </c>
      <c r="F53" s="79" t="s">
        <v>64</v>
      </c>
      <c r="G53" s="80" t="s">
        <v>125</v>
      </c>
      <c r="H53" s="81"/>
    </row>
    <row r="54" spans="2:13" s="18" customFormat="1" ht="54.75" customHeight="1" x14ac:dyDescent="0.25">
      <c r="B54" s="65" t="s">
        <v>132</v>
      </c>
      <c r="C54" s="23" t="s">
        <v>115</v>
      </c>
      <c r="D54" s="23" t="s">
        <v>116</v>
      </c>
      <c r="E54" s="56">
        <v>15000</v>
      </c>
      <c r="F54" s="25" t="s">
        <v>61</v>
      </c>
      <c r="G54" s="26" t="s">
        <v>125</v>
      </c>
      <c r="H54" s="26" t="s">
        <v>79</v>
      </c>
    </row>
    <row r="55" spans="2:13" s="1" customFormat="1" ht="75" customHeight="1" x14ac:dyDescent="0.25">
      <c r="B55" s="126" t="s">
        <v>135</v>
      </c>
      <c r="C55" s="127"/>
      <c r="D55" s="127"/>
      <c r="E55" s="16">
        <f>SUM(E56:E59)</f>
        <v>1710000</v>
      </c>
      <c r="F55" s="13"/>
      <c r="G55" s="14"/>
      <c r="H55" s="10"/>
      <c r="I55" s="61"/>
      <c r="J55" s="62"/>
    </row>
    <row r="56" spans="2:13" s="1" customFormat="1" ht="59.25" customHeight="1" x14ac:dyDescent="0.25">
      <c r="B56" s="104" t="s">
        <v>132</v>
      </c>
      <c r="C56" s="23" t="s">
        <v>24</v>
      </c>
      <c r="D56" s="23" t="s">
        <v>71</v>
      </c>
      <c r="E56" s="24">
        <f>1710000-142500-E58-E57</f>
        <v>1314302.3999999999</v>
      </c>
      <c r="F56" s="25" t="s">
        <v>64</v>
      </c>
      <c r="G56" s="26" t="s">
        <v>125</v>
      </c>
      <c r="H56" s="41"/>
      <c r="J56" s="62"/>
    </row>
    <row r="57" spans="2:13" s="1" customFormat="1" ht="67.5" x14ac:dyDescent="0.25">
      <c r="B57" s="104" t="s">
        <v>132</v>
      </c>
      <c r="C57" s="23" t="s">
        <v>103</v>
      </c>
      <c r="D57" s="23" t="s">
        <v>71</v>
      </c>
      <c r="E57" s="24">
        <v>33000</v>
      </c>
      <c r="F57" s="25" t="s">
        <v>61</v>
      </c>
      <c r="G57" s="26" t="s">
        <v>151</v>
      </c>
      <c r="H57" s="48" t="s">
        <v>98</v>
      </c>
      <c r="J57" s="62"/>
    </row>
    <row r="58" spans="2:13" s="1" customFormat="1" ht="67.5" x14ac:dyDescent="0.25">
      <c r="B58" s="104" t="s">
        <v>132</v>
      </c>
      <c r="C58" s="23" t="s">
        <v>103</v>
      </c>
      <c r="D58" s="23" t="s">
        <v>71</v>
      </c>
      <c r="E58" s="24">
        <v>220197.6</v>
      </c>
      <c r="F58" s="25" t="s">
        <v>61</v>
      </c>
      <c r="G58" s="26" t="s">
        <v>150</v>
      </c>
      <c r="H58" s="48" t="s">
        <v>98</v>
      </c>
    </row>
    <row r="59" spans="2:13" s="1" customFormat="1" ht="98.25" customHeight="1" x14ac:dyDescent="0.25">
      <c r="B59" s="104" t="s">
        <v>132</v>
      </c>
      <c r="C59" s="23" t="s">
        <v>24</v>
      </c>
      <c r="D59" s="23" t="s">
        <v>71</v>
      </c>
      <c r="E59" s="24">
        <v>142500</v>
      </c>
      <c r="F59" s="25" t="s">
        <v>61</v>
      </c>
      <c r="G59" s="26" t="s">
        <v>125</v>
      </c>
      <c r="H59" s="48" t="s">
        <v>128</v>
      </c>
      <c r="J59" s="62"/>
    </row>
    <row r="60" spans="2:13" s="1" customFormat="1" ht="31.5" customHeight="1" x14ac:dyDescent="0.25">
      <c r="B60" s="126" t="s">
        <v>136</v>
      </c>
      <c r="C60" s="127"/>
      <c r="D60" s="127"/>
      <c r="E60" s="16">
        <f>SUM(E61:E64)</f>
        <v>22370000</v>
      </c>
      <c r="F60" s="13"/>
      <c r="G60" s="9"/>
      <c r="H60" s="10"/>
      <c r="I60" s="61"/>
      <c r="J60" s="62"/>
    </row>
    <row r="61" spans="2:13" s="1" customFormat="1" ht="75.75" customHeight="1" x14ac:dyDescent="0.25">
      <c r="B61" s="104" t="s">
        <v>132</v>
      </c>
      <c r="C61" s="23" t="s">
        <v>7</v>
      </c>
      <c r="D61" s="23" t="s">
        <v>57</v>
      </c>
      <c r="E61" s="24">
        <f>3750000+400000</f>
        <v>4150000</v>
      </c>
      <c r="F61" s="25" t="s">
        <v>61</v>
      </c>
      <c r="G61" s="26" t="s">
        <v>125</v>
      </c>
      <c r="H61" s="48" t="s">
        <v>97</v>
      </c>
    </row>
    <row r="62" spans="2:13" s="1" customFormat="1" ht="75.75" customHeight="1" x14ac:dyDescent="0.25">
      <c r="B62" s="66" t="s">
        <v>133</v>
      </c>
      <c r="C62" s="23" t="s">
        <v>7</v>
      </c>
      <c r="D62" s="23" t="s">
        <v>57</v>
      </c>
      <c r="E62" s="24">
        <v>100000</v>
      </c>
      <c r="F62" s="25" t="s">
        <v>61</v>
      </c>
      <c r="G62" s="26" t="s">
        <v>125</v>
      </c>
      <c r="H62" s="48" t="s">
        <v>97</v>
      </c>
    </row>
    <row r="63" spans="2:13" s="1" customFormat="1" ht="121.5" customHeight="1" x14ac:dyDescent="0.25">
      <c r="B63" s="104" t="s">
        <v>132</v>
      </c>
      <c r="C63" s="23">
        <v>33600000</v>
      </c>
      <c r="D63" s="23" t="s">
        <v>29</v>
      </c>
      <c r="E63" s="24">
        <f>1440000+270000</f>
        <v>1710000</v>
      </c>
      <c r="F63" s="25" t="s">
        <v>64</v>
      </c>
      <c r="G63" s="26" t="s">
        <v>125</v>
      </c>
      <c r="H63" s="41"/>
      <c r="J63" s="62"/>
      <c r="L63" s="62"/>
      <c r="M63" s="62"/>
    </row>
    <row r="64" spans="2:13" s="1" customFormat="1" ht="87.75" customHeight="1" x14ac:dyDescent="0.25">
      <c r="B64" s="104" t="s">
        <v>132</v>
      </c>
      <c r="C64" s="23" t="s">
        <v>32</v>
      </c>
      <c r="D64" s="23" t="s">
        <v>29</v>
      </c>
      <c r="E64" s="24">
        <v>16410000</v>
      </c>
      <c r="F64" s="25" t="s">
        <v>61</v>
      </c>
      <c r="G64" s="26" t="s">
        <v>125</v>
      </c>
      <c r="H64" s="48" t="s">
        <v>98</v>
      </c>
      <c r="J64" s="62"/>
      <c r="K64" s="62"/>
    </row>
    <row r="65" spans="2:11" s="1" customFormat="1" ht="60" customHeight="1" x14ac:dyDescent="0.25">
      <c r="B65" s="126" t="s">
        <v>137</v>
      </c>
      <c r="C65" s="127"/>
      <c r="D65" s="127"/>
      <c r="E65" s="16">
        <f>SUM(E66:E70)</f>
        <v>1700000</v>
      </c>
      <c r="F65" s="13"/>
      <c r="G65" s="14"/>
      <c r="H65" s="10"/>
      <c r="I65" s="61"/>
      <c r="J65" s="62"/>
    </row>
    <row r="66" spans="2:11" s="1" customFormat="1" ht="36.75" customHeight="1" x14ac:dyDescent="0.25">
      <c r="B66" s="104" t="s">
        <v>132</v>
      </c>
      <c r="C66" s="23" t="s">
        <v>7</v>
      </c>
      <c r="D66" s="23" t="s">
        <v>28</v>
      </c>
      <c r="E66" s="24">
        <v>52272.9</v>
      </c>
      <c r="F66" s="25" t="s">
        <v>64</v>
      </c>
      <c r="G66" s="26" t="s">
        <v>125</v>
      </c>
      <c r="H66" s="41"/>
    </row>
    <row r="67" spans="2:11" s="1" customFormat="1" ht="51" customHeight="1" x14ac:dyDescent="0.25">
      <c r="B67" s="104" t="s">
        <v>132</v>
      </c>
      <c r="C67" s="23" t="s">
        <v>32</v>
      </c>
      <c r="D67" s="23" t="s">
        <v>29</v>
      </c>
      <c r="E67" s="24">
        <f>200847.5-132940.36</f>
        <v>67907.140000000014</v>
      </c>
      <c r="F67" s="25" t="s">
        <v>64</v>
      </c>
      <c r="G67" s="26" t="s">
        <v>125</v>
      </c>
      <c r="H67" s="41"/>
      <c r="J67" s="62">
        <f>E65-1700000</f>
        <v>0</v>
      </c>
    </row>
    <row r="68" spans="2:11" s="1" customFormat="1" ht="45" customHeight="1" x14ac:dyDescent="0.25">
      <c r="B68" s="104" t="s">
        <v>132</v>
      </c>
      <c r="C68" s="23" t="s">
        <v>89</v>
      </c>
      <c r="D68" s="23" t="s">
        <v>90</v>
      </c>
      <c r="E68" s="24">
        <f>816000-200000</f>
        <v>616000</v>
      </c>
      <c r="F68" s="25" t="s">
        <v>64</v>
      </c>
      <c r="G68" s="26" t="s">
        <v>125</v>
      </c>
      <c r="H68" s="48"/>
    </row>
    <row r="69" spans="2:11" s="1" customFormat="1" ht="78.75" x14ac:dyDescent="0.25">
      <c r="B69" s="104" t="s">
        <v>132</v>
      </c>
      <c r="C69" s="23" t="s">
        <v>24</v>
      </c>
      <c r="D69" s="23" t="s">
        <v>71</v>
      </c>
      <c r="E69" s="24">
        <v>69239.960000000006</v>
      </c>
      <c r="F69" s="25" t="s">
        <v>61</v>
      </c>
      <c r="G69" s="26" t="s">
        <v>125</v>
      </c>
      <c r="H69" s="48" t="s">
        <v>129</v>
      </c>
      <c r="J69" s="62"/>
    </row>
    <row r="70" spans="2:11" s="1" customFormat="1" ht="67.5" x14ac:dyDescent="0.25">
      <c r="B70" s="104" t="s">
        <v>132</v>
      </c>
      <c r="C70" s="23" t="s">
        <v>24</v>
      </c>
      <c r="D70" s="23" t="s">
        <v>71</v>
      </c>
      <c r="E70" s="24">
        <f>894580</f>
        <v>894580</v>
      </c>
      <c r="F70" s="25" t="s">
        <v>61</v>
      </c>
      <c r="G70" s="26" t="s">
        <v>152</v>
      </c>
      <c r="H70" s="48" t="s">
        <v>98</v>
      </c>
    </row>
    <row r="71" spans="2:11" s="1" customFormat="1" ht="65.25" customHeight="1" x14ac:dyDescent="0.25">
      <c r="B71" s="126" t="s">
        <v>138</v>
      </c>
      <c r="C71" s="127"/>
      <c r="D71" s="127"/>
      <c r="E71" s="16">
        <f>SUM(E72:E74)</f>
        <v>1753700.5</v>
      </c>
      <c r="F71" s="13"/>
      <c r="G71" s="14"/>
      <c r="H71" s="10"/>
      <c r="I71" s="61"/>
      <c r="J71" s="62"/>
    </row>
    <row r="72" spans="2:11" s="1" customFormat="1" ht="33.75" x14ac:dyDescent="0.25">
      <c r="B72" s="104" t="s">
        <v>132</v>
      </c>
      <c r="C72" s="36" t="s">
        <v>25</v>
      </c>
      <c r="D72" s="36" t="s">
        <v>69</v>
      </c>
      <c r="E72" s="24">
        <v>55000</v>
      </c>
      <c r="F72" s="43" t="s">
        <v>64</v>
      </c>
      <c r="G72" s="26" t="s">
        <v>125</v>
      </c>
      <c r="H72" s="44"/>
    </row>
    <row r="73" spans="2:11" s="1" customFormat="1" ht="78.75" x14ac:dyDescent="0.25">
      <c r="B73" s="104" t="s">
        <v>132</v>
      </c>
      <c r="C73" s="23">
        <v>85100000</v>
      </c>
      <c r="D73" s="23" t="s">
        <v>71</v>
      </c>
      <c r="E73" s="24">
        <v>127500.5</v>
      </c>
      <c r="F73" s="25" t="s">
        <v>61</v>
      </c>
      <c r="G73" s="26" t="s">
        <v>125</v>
      </c>
      <c r="H73" s="45" t="s">
        <v>124</v>
      </c>
    </row>
    <row r="74" spans="2:11" s="1" customFormat="1" ht="60.75" customHeight="1" x14ac:dyDescent="0.25">
      <c r="B74" s="104" t="s">
        <v>132</v>
      </c>
      <c r="C74" s="23">
        <v>85100000</v>
      </c>
      <c r="D74" s="23" t="s">
        <v>71</v>
      </c>
      <c r="E74" s="24">
        <f>1460000+111200</f>
        <v>1571200</v>
      </c>
      <c r="F74" s="25" t="s">
        <v>61</v>
      </c>
      <c r="G74" s="26" t="s">
        <v>125</v>
      </c>
      <c r="H74" s="48" t="s">
        <v>98</v>
      </c>
      <c r="K74" s="62"/>
    </row>
    <row r="75" spans="2:11" s="1" customFormat="1" ht="61.5" customHeight="1" x14ac:dyDescent="0.25">
      <c r="B75" s="126" t="s">
        <v>139</v>
      </c>
      <c r="C75" s="127"/>
      <c r="D75" s="127"/>
      <c r="E75" s="16">
        <f>SUM(E76:E77)</f>
        <v>184166.6</v>
      </c>
      <c r="F75" s="13"/>
      <c r="G75" s="14"/>
      <c r="H75" s="10"/>
      <c r="I75" s="61"/>
      <c r="J75" s="62"/>
    </row>
    <row r="76" spans="2:11" s="18" customFormat="1" ht="70.5" customHeight="1" x14ac:dyDescent="0.25">
      <c r="B76" s="65" t="s">
        <v>132</v>
      </c>
      <c r="C76" s="23" t="s">
        <v>24</v>
      </c>
      <c r="D76" s="23" t="s">
        <v>71</v>
      </c>
      <c r="E76" s="56">
        <v>14166.6</v>
      </c>
      <c r="F76" s="25" t="s">
        <v>61</v>
      </c>
      <c r="G76" s="26" t="s">
        <v>125</v>
      </c>
      <c r="H76" s="48" t="s">
        <v>76</v>
      </c>
    </row>
    <row r="77" spans="2:11" s="1" customFormat="1" ht="75" customHeight="1" x14ac:dyDescent="0.25">
      <c r="B77" s="104" t="s">
        <v>132</v>
      </c>
      <c r="C77" s="23" t="s">
        <v>24</v>
      </c>
      <c r="D77" s="23" t="s">
        <v>71</v>
      </c>
      <c r="E77" s="24">
        <v>170000</v>
      </c>
      <c r="F77" s="25" t="s">
        <v>61</v>
      </c>
      <c r="G77" s="26" t="s">
        <v>125</v>
      </c>
      <c r="H77" s="48" t="s">
        <v>98</v>
      </c>
    </row>
    <row r="78" spans="2:11" s="1" customFormat="1" ht="65.25" customHeight="1" x14ac:dyDescent="0.25">
      <c r="B78" s="121" t="s">
        <v>140</v>
      </c>
      <c r="C78" s="122"/>
      <c r="D78" s="122"/>
      <c r="E78" s="16">
        <f>SUM(E79:E83)</f>
        <v>1350000</v>
      </c>
      <c r="F78" s="13"/>
      <c r="G78" s="14"/>
      <c r="H78" s="60"/>
      <c r="I78" s="61"/>
      <c r="J78" s="62"/>
    </row>
    <row r="79" spans="2:11" s="1" customFormat="1" ht="49.5" customHeight="1" x14ac:dyDescent="0.25">
      <c r="B79" s="104" t="s">
        <v>132</v>
      </c>
      <c r="C79" s="23" t="s">
        <v>14</v>
      </c>
      <c r="D79" s="23" t="s">
        <v>15</v>
      </c>
      <c r="E79" s="24">
        <v>24200</v>
      </c>
      <c r="F79" s="25" t="s">
        <v>60</v>
      </c>
      <c r="G79" s="26" t="s">
        <v>125</v>
      </c>
      <c r="H79" s="41"/>
    </row>
    <row r="80" spans="2:11" s="1" customFormat="1" ht="33.75" x14ac:dyDescent="0.25">
      <c r="B80" s="104" t="s">
        <v>132</v>
      </c>
      <c r="C80" s="28">
        <v>33100000</v>
      </c>
      <c r="D80" s="28" t="s">
        <v>28</v>
      </c>
      <c r="E80" s="24">
        <f>240004-87983</f>
        <v>152021</v>
      </c>
      <c r="F80" s="29" t="s">
        <v>64</v>
      </c>
      <c r="G80" s="26" t="s">
        <v>125</v>
      </c>
      <c r="H80" s="46"/>
    </row>
    <row r="81" spans="2:10" s="1" customFormat="1" ht="60.75" customHeight="1" x14ac:dyDescent="0.25">
      <c r="B81" s="104" t="s">
        <v>132</v>
      </c>
      <c r="C81" s="23" t="s">
        <v>59</v>
      </c>
      <c r="D81" s="23" t="s">
        <v>44</v>
      </c>
      <c r="E81" s="24">
        <v>15000</v>
      </c>
      <c r="F81" s="25" t="s">
        <v>64</v>
      </c>
      <c r="G81" s="26" t="s">
        <v>125</v>
      </c>
      <c r="H81" s="41"/>
    </row>
    <row r="82" spans="2:10" s="1" customFormat="1" ht="75" customHeight="1" x14ac:dyDescent="0.25">
      <c r="B82" s="104" t="s">
        <v>132</v>
      </c>
      <c r="C82" s="23">
        <v>85100000</v>
      </c>
      <c r="D82" s="23" t="s">
        <v>71</v>
      </c>
      <c r="E82" s="24">
        <v>48983</v>
      </c>
      <c r="F82" s="25" t="s">
        <v>61</v>
      </c>
      <c r="G82" s="26" t="s">
        <v>125</v>
      </c>
      <c r="H82" s="48" t="s">
        <v>126</v>
      </c>
      <c r="J82" s="62">
        <f>E78-1350000</f>
        <v>0</v>
      </c>
    </row>
    <row r="83" spans="2:10" s="1" customFormat="1" ht="65.25" customHeight="1" x14ac:dyDescent="0.25">
      <c r="B83" s="104" t="s">
        <v>132</v>
      </c>
      <c r="C83" s="23">
        <v>85100000</v>
      </c>
      <c r="D83" s="23" t="s">
        <v>71</v>
      </c>
      <c r="E83" s="24">
        <f>1071996+37800</f>
        <v>1109796</v>
      </c>
      <c r="F83" s="25" t="s">
        <v>61</v>
      </c>
      <c r="G83" s="26" t="s">
        <v>125</v>
      </c>
      <c r="H83" s="48" t="s">
        <v>98</v>
      </c>
    </row>
    <row r="84" spans="2:10" s="1" customFormat="1" ht="80.25" customHeight="1" x14ac:dyDescent="0.25">
      <c r="B84" s="126" t="s">
        <v>141</v>
      </c>
      <c r="C84" s="127"/>
      <c r="D84" s="127"/>
      <c r="E84" s="16">
        <f>SUM(E85:E85)</f>
        <v>1250000</v>
      </c>
      <c r="F84" s="13"/>
      <c r="G84" s="14"/>
      <c r="H84" s="10"/>
      <c r="I84" s="61"/>
      <c r="J84" s="62"/>
    </row>
    <row r="85" spans="2:10" s="1" customFormat="1" ht="84.75" customHeight="1" x14ac:dyDescent="0.25">
      <c r="B85" s="104" t="s">
        <v>132</v>
      </c>
      <c r="C85" s="23" t="s">
        <v>32</v>
      </c>
      <c r="D85" s="23" t="s">
        <v>29</v>
      </c>
      <c r="E85" s="24">
        <v>1250000</v>
      </c>
      <c r="F85" s="25" t="s">
        <v>61</v>
      </c>
      <c r="G85" s="26" t="s">
        <v>125</v>
      </c>
      <c r="H85" s="48" t="s">
        <v>98</v>
      </c>
    </row>
    <row r="86" spans="2:10" s="1" customFormat="1" ht="57.75" customHeight="1" x14ac:dyDescent="0.25">
      <c r="B86" s="119" t="s">
        <v>142</v>
      </c>
      <c r="C86" s="120"/>
      <c r="D86" s="120"/>
      <c r="E86" s="57">
        <f>SUM(E87:E90)</f>
        <v>4000000</v>
      </c>
      <c r="F86" s="58"/>
      <c r="G86" s="58"/>
      <c r="H86" s="59"/>
      <c r="I86" s="61"/>
      <c r="J86" s="62"/>
    </row>
    <row r="87" spans="2:10" s="18" customFormat="1" ht="29.25" customHeight="1" x14ac:dyDescent="0.25">
      <c r="B87" s="65" t="s">
        <v>132</v>
      </c>
      <c r="C87" s="38">
        <v>33100000</v>
      </c>
      <c r="D87" s="23" t="s">
        <v>8</v>
      </c>
      <c r="E87" s="56">
        <v>124876.2</v>
      </c>
      <c r="F87" s="25" t="s">
        <v>64</v>
      </c>
      <c r="G87" s="26" t="s">
        <v>125</v>
      </c>
      <c r="H87" s="26"/>
    </row>
    <row r="88" spans="2:10" s="1" customFormat="1" ht="33.75" x14ac:dyDescent="0.25">
      <c r="B88" s="104" t="s">
        <v>132</v>
      </c>
      <c r="C88" s="38" t="s">
        <v>32</v>
      </c>
      <c r="D88" s="23" t="s">
        <v>9</v>
      </c>
      <c r="E88" s="24">
        <f>2995349.4-3495.8-99984.41</f>
        <v>2891869.19</v>
      </c>
      <c r="F88" s="25" t="s">
        <v>64</v>
      </c>
      <c r="G88" s="26" t="s">
        <v>125</v>
      </c>
      <c r="H88" s="26"/>
    </row>
    <row r="89" spans="2:10" s="1" customFormat="1" ht="67.5" x14ac:dyDescent="0.25">
      <c r="B89" s="104" t="s">
        <v>132</v>
      </c>
      <c r="C89" s="38" t="s">
        <v>24</v>
      </c>
      <c r="D89" s="23" t="s">
        <v>71</v>
      </c>
      <c r="E89" s="24">
        <v>73605.850000000006</v>
      </c>
      <c r="F89" s="25" t="s">
        <v>61</v>
      </c>
      <c r="G89" s="26" t="s">
        <v>125</v>
      </c>
      <c r="H89" s="45" t="s">
        <v>127</v>
      </c>
    </row>
    <row r="90" spans="2:10" s="1" customFormat="1" ht="83.25" customHeight="1" x14ac:dyDescent="0.25">
      <c r="B90" s="104" t="s">
        <v>132</v>
      </c>
      <c r="C90" s="23" t="s">
        <v>24</v>
      </c>
      <c r="D90" s="23" t="s">
        <v>71</v>
      </c>
      <c r="E90" s="24">
        <v>909648.76</v>
      </c>
      <c r="F90" s="25" t="s">
        <v>61</v>
      </c>
      <c r="G90" s="26" t="s">
        <v>152</v>
      </c>
      <c r="H90" s="32" t="s">
        <v>98</v>
      </c>
    </row>
    <row r="91" spans="2:10" ht="122.25" customHeight="1" x14ac:dyDescent="0.25">
      <c r="B91" s="126" t="s">
        <v>143</v>
      </c>
      <c r="C91" s="127"/>
      <c r="D91" s="127"/>
      <c r="E91" s="16">
        <f>SUM(E92)</f>
        <v>2190000</v>
      </c>
      <c r="F91" s="13"/>
      <c r="G91" s="14"/>
      <c r="H91" s="10"/>
      <c r="I91" s="61"/>
      <c r="J91" s="63">
        <f>E86-4000000</f>
        <v>0</v>
      </c>
    </row>
    <row r="92" spans="2:10" s="1" customFormat="1" ht="117.75" customHeight="1" x14ac:dyDescent="0.25">
      <c r="B92" s="104" t="s">
        <v>132</v>
      </c>
      <c r="C92" s="23" t="s">
        <v>32</v>
      </c>
      <c r="D92" s="23" t="s">
        <v>29</v>
      </c>
      <c r="E92" s="24">
        <v>2190000</v>
      </c>
      <c r="F92" s="25" t="s">
        <v>61</v>
      </c>
      <c r="G92" s="26" t="s">
        <v>152</v>
      </c>
      <c r="H92" s="48" t="s">
        <v>98</v>
      </c>
    </row>
    <row r="93" spans="2:10" s="1" customFormat="1" ht="57" customHeight="1" x14ac:dyDescent="0.25">
      <c r="B93" s="121" t="s">
        <v>144</v>
      </c>
      <c r="C93" s="122"/>
      <c r="D93" s="122"/>
      <c r="E93" s="16">
        <f>SUM(E94:E98)</f>
        <v>474000</v>
      </c>
      <c r="F93" s="13"/>
      <c r="G93" s="60"/>
      <c r="H93" s="60"/>
      <c r="I93" s="61"/>
      <c r="J93" s="62"/>
    </row>
    <row r="94" spans="2:10" s="1" customFormat="1" ht="59.25" customHeight="1" x14ac:dyDescent="0.25">
      <c r="B94" s="104" t="s">
        <v>148</v>
      </c>
      <c r="C94" s="23">
        <v>33100000</v>
      </c>
      <c r="D94" s="23" t="s">
        <v>28</v>
      </c>
      <c r="E94" s="24">
        <f>20000+14559.87+22385.83</f>
        <v>56945.700000000004</v>
      </c>
      <c r="F94" s="25" t="s">
        <v>64</v>
      </c>
      <c r="G94" s="26" t="s">
        <v>125</v>
      </c>
      <c r="H94" s="41"/>
    </row>
    <row r="95" spans="2:10" s="1" customFormat="1" ht="38.25" x14ac:dyDescent="0.25">
      <c r="B95" s="104" t="s">
        <v>148</v>
      </c>
      <c r="C95" s="36">
        <v>33600000</v>
      </c>
      <c r="D95" s="36" t="s">
        <v>29</v>
      </c>
      <c r="E95" s="24">
        <f>266824.3+68000-17770</f>
        <v>317054.3</v>
      </c>
      <c r="F95" s="43" t="s">
        <v>64</v>
      </c>
      <c r="G95" s="26" t="s">
        <v>125</v>
      </c>
      <c r="H95" s="44"/>
    </row>
    <row r="96" spans="2:10" s="1" customFormat="1" ht="78.75" x14ac:dyDescent="0.25">
      <c r="B96" s="104" t="s">
        <v>132</v>
      </c>
      <c r="C96" s="38" t="s">
        <v>103</v>
      </c>
      <c r="D96" s="23" t="s">
        <v>71</v>
      </c>
      <c r="E96" s="24">
        <v>8645.83</v>
      </c>
      <c r="F96" s="25" t="s">
        <v>61</v>
      </c>
      <c r="G96" s="26" t="s">
        <v>125</v>
      </c>
      <c r="H96" s="45" t="s">
        <v>130</v>
      </c>
    </row>
    <row r="97" spans="2:11" s="1" customFormat="1" ht="67.5" x14ac:dyDescent="0.25">
      <c r="B97" s="104" t="s">
        <v>132</v>
      </c>
      <c r="C97" s="38" t="s">
        <v>103</v>
      </c>
      <c r="D97" s="23" t="s">
        <v>71</v>
      </c>
      <c r="E97" s="24">
        <v>13740</v>
      </c>
      <c r="F97" s="25" t="s">
        <v>61</v>
      </c>
      <c r="G97" s="26" t="s">
        <v>152</v>
      </c>
      <c r="H97" s="48" t="s">
        <v>98</v>
      </c>
      <c r="J97" s="62"/>
      <c r="K97" s="62"/>
    </row>
    <row r="98" spans="2:11" s="1" customFormat="1" ht="51" customHeight="1" x14ac:dyDescent="0.25">
      <c r="B98" s="104" t="s">
        <v>132</v>
      </c>
      <c r="C98" s="38" t="s">
        <v>24</v>
      </c>
      <c r="D98" s="23" t="s">
        <v>71</v>
      </c>
      <c r="E98" s="24">
        <v>77614.17</v>
      </c>
      <c r="F98" s="25" t="s">
        <v>64</v>
      </c>
      <c r="G98" s="26" t="s">
        <v>153</v>
      </c>
      <c r="H98" s="45"/>
      <c r="J98" s="62"/>
      <c r="K98" s="62"/>
    </row>
    <row r="99" spans="2:11" ht="59.25" customHeight="1" x14ac:dyDescent="0.25">
      <c r="B99" s="126" t="s">
        <v>145</v>
      </c>
      <c r="C99" s="127"/>
      <c r="D99" s="127"/>
      <c r="E99" s="16">
        <f>SUM(E100:E101)</f>
        <v>2100000</v>
      </c>
      <c r="F99" s="13"/>
      <c r="G99" s="14"/>
      <c r="H99" s="10"/>
      <c r="I99" s="61"/>
      <c r="J99" s="63"/>
    </row>
    <row r="100" spans="2:11" s="18" customFormat="1" ht="42.75" customHeight="1" x14ac:dyDescent="0.25">
      <c r="B100" s="65" t="s">
        <v>132</v>
      </c>
      <c r="C100" s="23" t="s">
        <v>25</v>
      </c>
      <c r="D100" s="23" t="s">
        <v>69</v>
      </c>
      <c r="E100" s="56">
        <f>2100000-115976</f>
        <v>1984024</v>
      </c>
      <c r="F100" s="25" t="s">
        <v>64</v>
      </c>
      <c r="G100" s="26" t="s">
        <v>125</v>
      </c>
      <c r="H100" s="53"/>
    </row>
    <row r="101" spans="2:11" s="1" customFormat="1" ht="80.25" customHeight="1" x14ac:dyDescent="0.25">
      <c r="B101" s="104" t="s">
        <v>132</v>
      </c>
      <c r="C101" s="23" t="s">
        <v>154</v>
      </c>
      <c r="D101" s="23" t="s">
        <v>155</v>
      </c>
      <c r="E101" s="24">
        <v>115976</v>
      </c>
      <c r="F101" s="25" t="s">
        <v>61</v>
      </c>
      <c r="G101" s="26" t="s">
        <v>152</v>
      </c>
      <c r="H101" s="48" t="s">
        <v>98</v>
      </c>
    </row>
    <row r="102" spans="2:11" ht="70.5" customHeight="1" x14ac:dyDescent="0.25">
      <c r="B102" s="126" t="s">
        <v>146</v>
      </c>
      <c r="C102" s="127"/>
      <c r="D102" s="127"/>
      <c r="E102" s="16">
        <f>SUM(E103:E105)</f>
        <v>442800</v>
      </c>
      <c r="F102" s="13"/>
      <c r="G102" s="14"/>
      <c r="H102" s="10"/>
      <c r="I102" s="61"/>
      <c r="J102" s="63"/>
    </row>
    <row r="103" spans="2:11" s="18" customFormat="1" ht="33.75" x14ac:dyDescent="0.25">
      <c r="B103" s="65" t="s">
        <v>132</v>
      </c>
      <c r="C103" s="99" t="s">
        <v>32</v>
      </c>
      <c r="D103" s="99" t="s">
        <v>29</v>
      </c>
      <c r="E103" s="56">
        <f>264000-4020</f>
        <v>259980</v>
      </c>
      <c r="F103" s="100" t="s">
        <v>64</v>
      </c>
      <c r="G103" s="80" t="s">
        <v>125</v>
      </c>
      <c r="H103" s="101"/>
    </row>
    <row r="104" spans="2:11" s="18" customFormat="1" ht="33.75" x14ac:dyDescent="0.25">
      <c r="B104" s="65" t="s">
        <v>132</v>
      </c>
      <c r="C104" s="28" t="s">
        <v>7</v>
      </c>
      <c r="D104" s="28" t="s">
        <v>28</v>
      </c>
      <c r="E104" s="24">
        <v>132000</v>
      </c>
      <c r="F104" s="29" t="s">
        <v>64</v>
      </c>
      <c r="G104" s="26" t="s">
        <v>125</v>
      </c>
      <c r="H104" s="55"/>
    </row>
    <row r="105" spans="2:11" s="1" customFormat="1" ht="33.75" x14ac:dyDescent="0.25">
      <c r="B105" s="104" t="s">
        <v>132</v>
      </c>
      <c r="C105" s="23" t="s">
        <v>14</v>
      </c>
      <c r="D105" s="23" t="s">
        <v>40</v>
      </c>
      <c r="E105" s="24">
        <f>4020+46800</f>
        <v>50820</v>
      </c>
      <c r="F105" s="25" t="s">
        <v>60</v>
      </c>
      <c r="G105" s="26" t="s">
        <v>125</v>
      </c>
      <c r="H105" s="23"/>
    </row>
  </sheetData>
  <autoFilter ref="A8:H105"/>
  <mergeCells count="20">
    <mergeCell ref="B71:D71"/>
    <mergeCell ref="B2:H2"/>
    <mergeCell ref="B3:H3"/>
    <mergeCell ref="B4:E4"/>
    <mergeCell ref="F4:H4"/>
    <mergeCell ref="B5:E5"/>
    <mergeCell ref="F5:H5"/>
    <mergeCell ref="B6:F6"/>
    <mergeCell ref="B9:D9"/>
    <mergeCell ref="B55:D55"/>
    <mergeCell ref="B60:D60"/>
    <mergeCell ref="B65:D65"/>
    <mergeCell ref="B99:D99"/>
    <mergeCell ref="B102:D102"/>
    <mergeCell ref="B75:D75"/>
    <mergeCell ref="B78:D78"/>
    <mergeCell ref="B84:D84"/>
    <mergeCell ref="B86:D86"/>
    <mergeCell ref="B91:D91"/>
    <mergeCell ref="B93:D93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07"/>
  <sheetViews>
    <sheetView topLeftCell="B102" zoomScaleNormal="100" zoomScaleSheetLayoutView="80" workbookViewId="0">
      <selection activeCell="J68" sqref="J68"/>
    </sheetView>
  </sheetViews>
  <sheetFormatPr defaultRowHeight="15" x14ac:dyDescent="0.2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1.5703125" bestFit="1" customWidth="1"/>
    <col min="12" max="12" width="14.28515625" bestFit="1" customWidth="1"/>
    <col min="13" max="13" width="11.5703125" bestFit="1" customWidth="1"/>
  </cols>
  <sheetData>
    <row r="2" spans="2:8" ht="18.75" x14ac:dyDescent="0.25">
      <c r="B2" s="123" t="s">
        <v>41</v>
      </c>
      <c r="C2" s="123"/>
      <c r="D2" s="123"/>
      <c r="E2" s="123"/>
      <c r="F2" s="123"/>
      <c r="G2" s="123"/>
      <c r="H2" s="123"/>
    </row>
    <row r="3" spans="2:8" ht="18.75" x14ac:dyDescent="0.3">
      <c r="B3" s="124" t="s">
        <v>4</v>
      </c>
      <c r="C3" s="124"/>
      <c r="D3" s="124"/>
      <c r="E3" s="124"/>
      <c r="F3" s="124"/>
      <c r="G3" s="124"/>
      <c r="H3" s="124"/>
    </row>
    <row r="4" spans="2:8" x14ac:dyDescent="0.25">
      <c r="B4" s="125" t="s">
        <v>54</v>
      </c>
      <c r="C4" s="125"/>
      <c r="D4" s="125"/>
      <c r="E4" s="125"/>
      <c r="F4" s="125" t="s">
        <v>21</v>
      </c>
      <c r="G4" s="125"/>
      <c r="H4" s="125"/>
    </row>
    <row r="5" spans="2:8" x14ac:dyDescent="0.25">
      <c r="B5" s="125" t="s">
        <v>20</v>
      </c>
      <c r="C5" s="125"/>
      <c r="D5" s="125"/>
      <c r="E5" s="125"/>
      <c r="F5" s="125" t="s">
        <v>10</v>
      </c>
      <c r="G5" s="125"/>
      <c r="H5" s="125"/>
    </row>
    <row r="6" spans="2:8" ht="24.75" customHeight="1" x14ac:dyDescent="0.25">
      <c r="B6" s="115" t="s">
        <v>22</v>
      </c>
      <c r="C6" s="116"/>
      <c r="D6" s="116"/>
      <c r="E6" s="116"/>
      <c r="F6" s="116"/>
      <c r="G6" s="2">
        <f>E9+E55+E60+E66+E72+E76+E79+E85+E87+E92+E94+E100+E104</f>
        <v>43682597.100000001</v>
      </c>
      <c r="H6" s="3" t="s">
        <v>23</v>
      </c>
    </row>
    <row r="7" spans="2:8" ht="25.5" x14ac:dyDescent="0.2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 x14ac:dyDescent="0.25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customHeight="1" x14ac:dyDescent="0.25">
      <c r="B9" s="117" t="s">
        <v>131</v>
      </c>
      <c r="C9" s="118"/>
      <c r="D9" s="118"/>
      <c r="E9" s="15">
        <f>SUM(E10:E54)</f>
        <v>4157930</v>
      </c>
      <c r="F9" s="11"/>
      <c r="G9" s="9"/>
      <c r="H9" s="10"/>
    </row>
    <row r="10" spans="2:8" s="18" customFormat="1" ht="33.75" x14ac:dyDescent="0.2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8" s="18" customFormat="1" ht="33.75" x14ac:dyDescent="0.2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8" s="18" customFormat="1" ht="33.75" x14ac:dyDescent="0.25">
      <c r="B12" s="65" t="s">
        <v>132</v>
      </c>
      <c r="C12" s="23" t="s">
        <v>100</v>
      </c>
      <c r="D12" s="23" t="s">
        <v>101</v>
      </c>
      <c r="E12" s="56">
        <v>500</v>
      </c>
      <c r="F12" s="25" t="s">
        <v>61</v>
      </c>
      <c r="G12" s="26" t="s">
        <v>125</v>
      </c>
      <c r="H12" s="23"/>
    </row>
    <row r="13" spans="2:8" s="19" customFormat="1" ht="33.75" x14ac:dyDescent="0.25">
      <c r="B13" s="65" t="s">
        <v>132</v>
      </c>
      <c r="C13" s="28" t="s">
        <v>50</v>
      </c>
      <c r="D13" s="28" t="s">
        <v>52</v>
      </c>
      <c r="E13" s="56">
        <v>1600</v>
      </c>
      <c r="F13" s="29" t="s">
        <v>61</v>
      </c>
      <c r="G13" s="26" t="s">
        <v>125</v>
      </c>
      <c r="H13" s="28"/>
    </row>
    <row r="14" spans="2:8" s="18" customFormat="1" ht="49.5" customHeight="1" x14ac:dyDescent="0.25">
      <c r="B14" s="65" t="s">
        <v>132</v>
      </c>
      <c r="C14" s="23" t="s">
        <v>39</v>
      </c>
      <c r="D14" s="23" t="s">
        <v>58</v>
      </c>
      <c r="E14" s="56">
        <f>23100</f>
        <v>23100</v>
      </c>
      <c r="F14" s="25" t="s">
        <v>60</v>
      </c>
      <c r="G14" s="26" t="s">
        <v>125</v>
      </c>
      <c r="H14" s="23"/>
    </row>
    <row r="15" spans="2:8" s="18" customFormat="1" ht="49.5" customHeight="1" x14ac:dyDescent="0.25">
      <c r="B15" s="65" t="s">
        <v>132</v>
      </c>
      <c r="C15" s="23" t="s">
        <v>39</v>
      </c>
      <c r="D15" s="23" t="s">
        <v>58</v>
      </c>
      <c r="E15" s="56">
        <f>60000+9000</f>
        <v>69000</v>
      </c>
      <c r="F15" s="25" t="s">
        <v>64</v>
      </c>
      <c r="G15" s="26" t="s">
        <v>125</v>
      </c>
      <c r="H15" s="23"/>
    </row>
    <row r="16" spans="2:8" s="18" customFormat="1" ht="38.25" customHeight="1" x14ac:dyDescent="0.25">
      <c r="B16" s="65" t="s">
        <v>147</v>
      </c>
      <c r="C16" s="30">
        <v>31400000</v>
      </c>
      <c r="D16" s="23" t="s">
        <v>11</v>
      </c>
      <c r="E16" s="56">
        <f>3000+1800</f>
        <v>4800</v>
      </c>
      <c r="F16" s="25" t="s">
        <v>61</v>
      </c>
      <c r="G16" s="26" t="s">
        <v>125</v>
      </c>
      <c r="H16" s="31"/>
    </row>
    <row r="17" spans="2:8" s="18" customFormat="1" ht="38.25" customHeight="1" x14ac:dyDescent="0.25">
      <c r="B17" s="65" t="s">
        <v>147</v>
      </c>
      <c r="C17" s="23" t="s">
        <v>43</v>
      </c>
      <c r="D17" s="23" t="s">
        <v>42</v>
      </c>
      <c r="E17" s="56">
        <v>10000</v>
      </c>
      <c r="F17" s="25" t="s">
        <v>60</v>
      </c>
      <c r="G17" s="26" t="s">
        <v>125</v>
      </c>
      <c r="H17" s="32"/>
    </row>
    <row r="18" spans="2:8" s="18" customFormat="1" ht="33.75" x14ac:dyDescent="0.25">
      <c r="B18" s="65" t="s">
        <v>132</v>
      </c>
      <c r="C18" s="23" t="s">
        <v>92</v>
      </c>
      <c r="D18" s="23" t="s">
        <v>93</v>
      </c>
      <c r="E18" s="56">
        <v>4800</v>
      </c>
      <c r="F18" s="25" t="s">
        <v>91</v>
      </c>
      <c r="G18" s="26" t="s">
        <v>125</v>
      </c>
      <c r="H18" s="31"/>
    </row>
    <row r="19" spans="2:8" s="18" customFormat="1" ht="33.75" x14ac:dyDescent="0.25">
      <c r="B19" s="65" t="s">
        <v>132</v>
      </c>
      <c r="C19" s="23" t="s">
        <v>94</v>
      </c>
      <c r="D19" s="23" t="s">
        <v>95</v>
      </c>
      <c r="E19" s="56">
        <v>4800</v>
      </c>
      <c r="F19" s="25" t="s">
        <v>91</v>
      </c>
      <c r="G19" s="26" t="s">
        <v>125</v>
      </c>
      <c r="H19" s="31"/>
    </row>
    <row r="20" spans="2:8" s="18" customFormat="1" ht="33.75" x14ac:dyDescent="0.25">
      <c r="B20" s="65" t="s">
        <v>132</v>
      </c>
      <c r="C20" s="34">
        <v>39800000</v>
      </c>
      <c r="D20" s="34" t="s">
        <v>84</v>
      </c>
      <c r="E20" s="56">
        <v>4800</v>
      </c>
      <c r="F20" s="25" t="s">
        <v>91</v>
      </c>
      <c r="G20" s="26" t="s">
        <v>125</v>
      </c>
      <c r="H20" s="31"/>
    </row>
    <row r="21" spans="2:8" s="18" customFormat="1" ht="51.75" customHeight="1" x14ac:dyDescent="0.25">
      <c r="B21" s="65" t="s">
        <v>132</v>
      </c>
      <c r="C21" s="84">
        <v>41100000</v>
      </c>
      <c r="D21" s="85" t="s">
        <v>149</v>
      </c>
      <c r="E21" s="56">
        <v>6750</v>
      </c>
      <c r="F21" s="79" t="s">
        <v>64</v>
      </c>
      <c r="G21" s="80" t="s">
        <v>125</v>
      </c>
      <c r="H21" s="81"/>
    </row>
    <row r="22" spans="2:8" s="18" customFormat="1" ht="51.75" customHeight="1" x14ac:dyDescent="0.25">
      <c r="B22" s="65" t="s">
        <v>132</v>
      </c>
      <c r="C22" s="30">
        <v>45400000</v>
      </c>
      <c r="D22" s="34" t="s">
        <v>102</v>
      </c>
      <c r="E22" s="56">
        <v>40000</v>
      </c>
      <c r="F22" s="25" t="s">
        <v>64</v>
      </c>
      <c r="G22" s="26" t="s">
        <v>125</v>
      </c>
      <c r="H22" s="31"/>
    </row>
    <row r="23" spans="2:8" s="18" customFormat="1" ht="37.5" customHeight="1" x14ac:dyDescent="0.25">
      <c r="B23" s="65" t="s">
        <v>133</v>
      </c>
      <c r="C23" s="30">
        <v>48700000</v>
      </c>
      <c r="D23" s="23" t="s">
        <v>104</v>
      </c>
      <c r="E23" s="56">
        <v>30000</v>
      </c>
      <c r="F23" s="25" t="s">
        <v>64</v>
      </c>
      <c r="G23" s="26" t="s">
        <v>125</v>
      </c>
      <c r="H23" s="31"/>
    </row>
    <row r="24" spans="2:8" s="18" customFormat="1" ht="56.25" x14ac:dyDescent="0.25">
      <c r="B24" s="65" t="s">
        <v>132</v>
      </c>
      <c r="C24" s="78">
        <v>50100000</v>
      </c>
      <c r="D24" s="78" t="s">
        <v>44</v>
      </c>
      <c r="E24" s="56">
        <f>10000+30000</f>
        <v>40000</v>
      </c>
      <c r="F24" s="79" t="s">
        <v>61</v>
      </c>
      <c r="G24" s="80" t="s">
        <v>125</v>
      </c>
      <c r="H24" s="102" t="s">
        <v>66</v>
      </c>
    </row>
    <row r="25" spans="2:8" s="18" customFormat="1" ht="92.25" customHeight="1" x14ac:dyDescent="0.25">
      <c r="B25" s="65" t="s">
        <v>132</v>
      </c>
      <c r="C25" s="78" t="s">
        <v>59</v>
      </c>
      <c r="D25" s="78" t="s">
        <v>62</v>
      </c>
      <c r="E25" s="56">
        <f>120000-30000</f>
        <v>90000</v>
      </c>
      <c r="F25" s="79" t="s">
        <v>64</v>
      </c>
      <c r="G25" s="80" t="s">
        <v>125</v>
      </c>
      <c r="H25" s="103"/>
    </row>
    <row r="26" spans="2:8" s="18" customFormat="1" ht="92.25" customHeight="1" x14ac:dyDescent="0.25">
      <c r="B26" s="65" t="s">
        <v>132</v>
      </c>
      <c r="C26" s="23" t="s">
        <v>107</v>
      </c>
      <c r="D26" s="23" t="s">
        <v>108</v>
      </c>
      <c r="E26" s="56">
        <v>50000</v>
      </c>
      <c r="F26" s="25" t="s">
        <v>64</v>
      </c>
      <c r="G26" s="26" t="s">
        <v>125</v>
      </c>
      <c r="H26" s="31"/>
    </row>
    <row r="27" spans="2:8" s="18" customFormat="1" ht="92.25" customHeight="1" x14ac:dyDescent="0.25">
      <c r="B27" s="65" t="s">
        <v>132</v>
      </c>
      <c r="C27" s="23" t="s">
        <v>105</v>
      </c>
      <c r="D27" s="23" t="s">
        <v>106</v>
      </c>
      <c r="E27" s="56">
        <v>310000</v>
      </c>
      <c r="F27" s="25" t="s">
        <v>64</v>
      </c>
      <c r="G27" s="26" t="s">
        <v>125</v>
      </c>
      <c r="H27" s="36"/>
    </row>
    <row r="28" spans="2:8" s="18" customFormat="1" ht="92.25" customHeight="1" x14ac:dyDescent="0.25">
      <c r="B28" s="65" t="s">
        <v>147</v>
      </c>
      <c r="C28" s="23" t="s">
        <v>109</v>
      </c>
      <c r="D28" s="23" t="s">
        <v>110</v>
      </c>
      <c r="E28" s="56">
        <f>60000+45000-20000</f>
        <v>85000</v>
      </c>
      <c r="F28" s="25" t="s">
        <v>64</v>
      </c>
      <c r="G28" s="26" t="s">
        <v>125</v>
      </c>
      <c r="H28" s="36"/>
    </row>
    <row r="29" spans="2:8" s="18" customFormat="1" ht="102.75" customHeight="1" x14ac:dyDescent="0.25">
      <c r="B29" s="65" t="s">
        <v>132</v>
      </c>
      <c r="C29" s="23" t="s">
        <v>86</v>
      </c>
      <c r="D29" s="23" t="s">
        <v>87</v>
      </c>
      <c r="E29" s="56">
        <v>8000</v>
      </c>
      <c r="F29" s="25" t="s">
        <v>64</v>
      </c>
      <c r="G29" s="26" t="s">
        <v>125</v>
      </c>
      <c r="H29" s="23"/>
    </row>
    <row r="30" spans="2:8" s="18" customFormat="1" ht="115.5" customHeight="1" x14ac:dyDescent="0.25">
      <c r="B30" s="65" t="s">
        <v>132</v>
      </c>
      <c r="C30" s="23">
        <v>50700000</v>
      </c>
      <c r="D30" s="23" t="s">
        <v>13</v>
      </c>
      <c r="E30" s="56">
        <f>1600000-59200</f>
        <v>1540800</v>
      </c>
      <c r="F30" s="23" t="s">
        <v>61</v>
      </c>
      <c r="G30" s="26" t="s">
        <v>125</v>
      </c>
      <c r="H30" s="23" t="s">
        <v>99</v>
      </c>
    </row>
    <row r="31" spans="2:8" s="18" customFormat="1" ht="115.5" customHeight="1" x14ac:dyDescent="0.25">
      <c r="B31" s="65" t="s">
        <v>132</v>
      </c>
      <c r="C31" s="23">
        <v>50700000</v>
      </c>
      <c r="D31" s="23" t="s">
        <v>13</v>
      </c>
      <c r="E31" s="56">
        <f>93000-45000+20000</f>
        <v>68000</v>
      </c>
      <c r="F31" s="23" t="s">
        <v>64</v>
      </c>
      <c r="G31" s="26" t="s">
        <v>125</v>
      </c>
      <c r="H31" s="23"/>
    </row>
    <row r="32" spans="2:8" s="18" customFormat="1" ht="115.5" customHeight="1" x14ac:dyDescent="0.25">
      <c r="B32" s="65" t="s">
        <v>132</v>
      </c>
      <c r="C32" s="78" t="s">
        <v>117</v>
      </c>
      <c r="D32" s="78" t="s">
        <v>118</v>
      </c>
      <c r="E32" s="56">
        <f>120000+68250</f>
        <v>188250</v>
      </c>
      <c r="F32" s="78" t="s">
        <v>64</v>
      </c>
      <c r="G32" s="80" t="s">
        <v>125</v>
      </c>
      <c r="H32" s="78"/>
    </row>
    <row r="33" spans="2:10" s="18" customFormat="1" ht="115.5" customHeight="1" x14ac:dyDescent="0.25">
      <c r="B33" s="65" t="s">
        <v>132</v>
      </c>
      <c r="C33" s="23" t="s">
        <v>111</v>
      </c>
      <c r="D33" s="23" t="s">
        <v>112</v>
      </c>
      <c r="E33" s="56">
        <v>120000</v>
      </c>
      <c r="F33" s="23" t="s">
        <v>64</v>
      </c>
      <c r="G33" s="26" t="s">
        <v>125</v>
      </c>
      <c r="H33" s="23"/>
    </row>
    <row r="34" spans="2:10" s="18" customFormat="1" ht="58.5" customHeight="1" x14ac:dyDescent="0.25">
      <c r="B34" s="65" t="s">
        <v>132</v>
      </c>
      <c r="C34" s="30">
        <v>63700000</v>
      </c>
      <c r="D34" s="23" t="s">
        <v>70</v>
      </c>
      <c r="E34" s="56">
        <v>2000</v>
      </c>
      <c r="F34" s="25" t="s">
        <v>61</v>
      </c>
      <c r="G34" s="26" t="s">
        <v>125</v>
      </c>
      <c r="H34" s="26" t="s">
        <v>85</v>
      </c>
    </row>
    <row r="35" spans="2:10" s="18" customFormat="1" ht="63.75" customHeight="1" x14ac:dyDescent="0.25">
      <c r="B35" s="65" t="s">
        <v>132</v>
      </c>
      <c r="C35" s="23" t="s">
        <v>47</v>
      </c>
      <c r="D35" s="23" t="s">
        <v>48</v>
      </c>
      <c r="E35" s="56">
        <v>6000</v>
      </c>
      <c r="F35" s="25" t="s">
        <v>64</v>
      </c>
      <c r="G35" s="26" t="s">
        <v>125</v>
      </c>
      <c r="H35" s="23"/>
    </row>
    <row r="36" spans="2:10" s="18" customFormat="1" ht="33.75" x14ac:dyDescent="0.25">
      <c r="B36" s="65" t="s">
        <v>132</v>
      </c>
      <c r="C36" s="38" t="s">
        <v>18</v>
      </c>
      <c r="D36" s="23" t="s">
        <v>46</v>
      </c>
      <c r="E36" s="56">
        <v>25000</v>
      </c>
      <c r="F36" s="25" t="s">
        <v>64</v>
      </c>
      <c r="G36" s="26" t="s">
        <v>125</v>
      </c>
      <c r="H36" s="33"/>
    </row>
    <row r="37" spans="2:10" s="18" customFormat="1" ht="56.25" x14ac:dyDescent="0.25">
      <c r="B37" s="65" t="s">
        <v>132</v>
      </c>
      <c r="C37" s="38" t="s">
        <v>18</v>
      </c>
      <c r="D37" s="23" t="s">
        <v>46</v>
      </c>
      <c r="E37" s="56">
        <v>25500</v>
      </c>
      <c r="F37" s="25" t="s">
        <v>61</v>
      </c>
      <c r="G37" s="26" t="s">
        <v>125</v>
      </c>
      <c r="H37" s="26" t="s">
        <v>96</v>
      </c>
    </row>
    <row r="38" spans="2:10" s="18" customFormat="1" ht="33.75" x14ac:dyDescent="0.25">
      <c r="B38" s="65" t="s">
        <v>132</v>
      </c>
      <c r="C38" s="38" t="s">
        <v>18</v>
      </c>
      <c r="D38" s="23" t="s">
        <v>46</v>
      </c>
      <c r="E38" s="56">
        <v>24000</v>
      </c>
      <c r="F38" s="25" t="s">
        <v>60</v>
      </c>
      <c r="G38" s="26" t="s">
        <v>125</v>
      </c>
      <c r="H38" s="33"/>
    </row>
    <row r="39" spans="2:10" s="18" customFormat="1" ht="33.75" x14ac:dyDescent="0.25">
      <c r="B39" s="65" t="s">
        <v>134</v>
      </c>
      <c r="C39" s="38" t="s">
        <v>114</v>
      </c>
      <c r="D39" s="23" t="s">
        <v>113</v>
      </c>
      <c r="E39" s="56">
        <v>30000</v>
      </c>
      <c r="F39" s="25" t="s">
        <v>64</v>
      </c>
      <c r="G39" s="26" t="s">
        <v>125</v>
      </c>
      <c r="H39" s="26"/>
    </row>
    <row r="40" spans="2:10" s="18" customFormat="1" ht="33.75" x14ac:dyDescent="0.25">
      <c r="B40" s="65" t="s">
        <v>132</v>
      </c>
      <c r="C40" s="38" t="s">
        <v>55</v>
      </c>
      <c r="D40" s="23" t="s">
        <v>56</v>
      </c>
      <c r="E40" s="56">
        <v>1680</v>
      </c>
      <c r="F40" s="25" t="s">
        <v>91</v>
      </c>
      <c r="G40" s="26" t="s">
        <v>125</v>
      </c>
      <c r="H40" s="33"/>
    </row>
    <row r="41" spans="2:10" s="18" customFormat="1" ht="57" customHeight="1" x14ac:dyDescent="0.25">
      <c r="B41" s="65" t="s">
        <v>132</v>
      </c>
      <c r="C41" s="77" t="s">
        <v>17</v>
      </c>
      <c r="D41" s="78" t="s">
        <v>16</v>
      </c>
      <c r="E41" s="56">
        <f>90000+34000</f>
        <v>124000</v>
      </c>
      <c r="F41" s="79" t="s">
        <v>61</v>
      </c>
      <c r="G41" s="80" t="s">
        <v>125</v>
      </c>
      <c r="H41" s="80" t="s">
        <v>67</v>
      </c>
    </row>
    <row r="42" spans="2:10" s="18" customFormat="1" ht="65.25" customHeight="1" x14ac:dyDescent="0.25">
      <c r="B42" s="65" t="s">
        <v>132</v>
      </c>
      <c r="C42" s="77" t="s">
        <v>17</v>
      </c>
      <c r="D42" s="78" t="s">
        <v>16</v>
      </c>
      <c r="E42" s="56">
        <f>150+400</f>
        <v>550</v>
      </c>
      <c r="F42" s="79" t="s">
        <v>61</v>
      </c>
      <c r="G42" s="80" t="s">
        <v>125</v>
      </c>
      <c r="H42" s="80"/>
      <c r="J42" s="20"/>
    </row>
    <row r="43" spans="2:10" s="18" customFormat="1" ht="56.25" x14ac:dyDescent="0.25">
      <c r="B43" s="65" t="s">
        <v>132</v>
      </c>
      <c r="C43" s="38" t="s">
        <v>77</v>
      </c>
      <c r="D43" s="23" t="s">
        <v>78</v>
      </c>
      <c r="E43" s="56">
        <v>3000</v>
      </c>
      <c r="F43" s="25" t="s">
        <v>61</v>
      </c>
      <c r="G43" s="26" t="s">
        <v>125</v>
      </c>
      <c r="H43" s="26" t="s">
        <v>79</v>
      </c>
    </row>
    <row r="44" spans="2:10" s="18" customFormat="1" ht="75" customHeight="1" x14ac:dyDescent="0.25">
      <c r="B44" s="65" t="s">
        <v>132</v>
      </c>
      <c r="C44" s="77" t="s">
        <v>25</v>
      </c>
      <c r="D44" s="78" t="s">
        <v>119</v>
      </c>
      <c r="E44" s="56">
        <v>100000</v>
      </c>
      <c r="F44" s="79" t="s">
        <v>64</v>
      </c>
      <c r="G44" s="80" t="s">
        <v>125</v>
      </c>
      <c r="H44" s="80"/>
    </row>
    <row r="45" spans="2:10" s="18" customFormat="1" ht="63.75" customHeight="1" x14ac:dyDescent="0.25">
      <c r="B45" s="67" t="s">
        <v>132</v>
      </c>
      <c r="C45" s="68" t="s">
        <v>45</v>
      </c>
      <c r="D45" s="68" t="s">
        <v>63</v>
      </c>
      <c r="E45" s="69">
        <f>6000+3850</f>
        <v>9850</v>
      </c>
      <c r="F45" s="70" t="s">
        <v>64</v>
      </c>
      <c r="G45" s="71" t="s">
        <v>125</v>
      </c>
      <c r="H45" s="71"/>
    </row>
    <row r="46" spans="2:10" s="18" customFormat="1" ht="63.75" customHeight="1" x14ac:dyDescent="0.25">
      <c r="B46" s="65" t="s">
        <v>132</v>
      </c>
      <c r="C46" s="78" t="s">
        <v>120</v>
      </c>
      <c r="D46" s="78" t="s">
        <v>121</v>
      </c>
      <c r="E46" s="56">
        <v>450</v>
      </c>
      <c r="F46" s="79" t="s">
        <v>61</v>
      </c>
      <c r="G46" s="80" t="s">
        <v>125</v>
      </c>
      <c r="H46" s="80"/>
    </row>
    <row r="47" spans="2:10" s="18" customFormat="1" ht="77.25" customHeight="1" x14ac:dyDescent="0.25">
      <c r="B47" s="65" t="s">
        <v>132</v>
      </c>
      <c r="C47" s="30">
        <v>79700000</v>
      </c>
      <c r="D47" s="23" t="s">
        <v>27</v>
      </c>
      <c r="E47" s="56">
        <v>600000</v>
      </c>
      <c r="F47" s="25" t="s">
        <v>61</v>
      </c>
      <c r="G47" s="26" t="s">
        <v>125</v>
      </c>
      <c r="H47" s="26" t="s">
        <v>80</v>
      </c>
    </row>
    <row r="48" spans="2:10" s="18" customFormat="1" ht="62.25" customHeight="1" x14ac:dyDescent="0.25">
      <c r="B48" s="65" t="s">
        <v>132</v>
      </c>
      <c r="C48" s="30">
        <v>79800000</v>
      </c>
      <c r="D48" s="23" t="s">
        <v>81</v>
      </c>
      <c r="E48" s="56">
        <v>10000</v>
      </c>
      <c r="F48" s="25" t="s">
        <v>64</v>
      </c>
      <c r="G48" s="26" t="s">
        <v>125</v>
      </c>
      <c r="H48" s="26"/>
    </row>
    <row r="49" spans="2:13" s="18" customFormat="1" ht="62.25" customHeight="1" x14ac:dyDescent="0.25">
      <c r="B49" s="65" t="s">
        <v>132</v>
      </c>
      <c r="C49" s="23" t="s">
        <v>53</v>
      </c>
      <c r="D49" s="23" t="s">
        <v>65</v>
      </c>
      <c r="E49" s="56">
        <f>20000+12000</f>
        <v>32000</v>
      </c>
      <c r="F49" s="25" t="s">
        <v>61</v>
      </c>
      <c r="G49" s="26" t="s">
        <v>125</v>
      </c>
      <c r="H49" s="23" t="s">
        <v>68</v>
      </c>
    </row>
    <row r="50" spans="2:13" s="18" customFormat="1" ht="62.25" customHeight="1" x14ac:dyDescent="0.25">
      <c r="B50" s="65" t="s">
        <v>132</v>
      </c>
      <c r="C50" s="38" t="s">
        <v>24</v>
      </c>
      <c r="D50" s="23" t="s">
        <v>71</v>
      </c>
      <c r="E50" s="56">
        <v>12000</v>
      </c>
      <c r="F50" s="25" t="s">
        <v>64</v>
      </c>
      <c r="G50" s="26" t="s">
        <v>125</v>
      </c>
      <c r="H50" s="23"/>
    </row>
    <row r="51" spans="2:13" s="18" customFormat="1" ht="62.25" customHeight="1" x14ac:dyDescent="0.25">
      <c r="B51" s="65" t="s">
        <v>132</v>
      </c>
      <c r="C51" s="38" t="s">
        <v>122</v>
      </c>
      <c r="D51" s="23" t="s">
        <v>123</v>
      </c>
      <c r="E51" s="56">
        <v>1000</v>
      </c>
      <c r="F51" s="25" t="s">
        <v>61</v>
      </c>
      <c r="G51" s="26" t="s">
        <v>125</v>
      </c>
      <c r="H51" s="23"/>
    </row>
    <row r="52" spans="2:13" s="18" customFormat="1" ht="60.75" customHeight="1" x14ac:dyDescent="0.25">
      <c r="B52" s="65" t="s">
        <v>132</v>
      </c>
      <c r="C52" s="23" t="s">
        <v>82</v>
      </c>
      <c r="D52" s="23" t="s">
        <v>83</v>
      </c>
      <c r="E52" s="56">
        <v>20000</v>
      </c>
      <c r="F52" s="25" t="s">
        <v>64</v>
      </c>
      <c r="G52" s="26" t="s">
        <v>125</v>
      </c>
      <c r="H52" s="31"/>
    </row>
    <row r="53" spans="2:13" s="18" customFormat="1" ht="36.75" customHeight="1" x14ac:dyDescent="0.25">
      <c r="B53" s="65" t="s">
        <v>132</v>
      </c>
      <c r="C53" s="78" t="s">
        <v>12</v>
      </c>
      <c r="D53" s="78" t="s">
        <v>19</v>
      </c>
      <c r="E53" s="56">
        <f>80000+110000</f>
        <v>190000</v>
      </c>
      <c r="F53" s="79" t="s">
        <v>64</v>
      </c>
      <c r="G53" s="80" t="s">
        <v>125</v>
      </c>
      <c r="H53" s="81"/>
    </row>
    <row r="54" spans="2:13" s="18" customFormat="1" ht="54.75" customHeight="1" x14ac:dyDescent="0.25">
      <c r="B54" s="65" t="s">
        <v>132</v>
      </c>
      <c r="C54" s="23" t="s">
        <v>115</v>
      </c>
      <c r="D54" s="23" t="s">
        <v>116</v>
      </c>
      <c r="E54" s="56">
        <v>15000</v>
      </c>
      <c r="F54" s="25" t="s">
        <v>61</v>
      </c>
      <c r="G54" s="26" t="s">
        <v>125</v>
      </c>
      <c r="H54" s="26" t="s">
        <v>79</v>
      </c>
    </row>
    <row r="55" spans="2:13" s="1" customFormat="1" ht="75" customHeight="1" x14ac:dyDescent="0.25">
      <c r="B55" s="126" t="s">
        <v>135</v>
      </c>
      <c r="C55" s="127"/>
      <c r="D55" s="127"/>
      <c r="E55" s="16">
        <f>SUM(E56:E59)</f>
        <v>1710000</v>
      </c>
      <c r="F55" s="13"/>
      <c r="G55" s="14"/>
      <c r="H55" s="10"/>
      <c r="I55" s="61"/>
      <c r="J55" s="62"/>
    </row>
    <row r="56" spans="2:13" s="1" customFormat="1" ht="59.25" customHeight="1" x14ac:dyDescent="0.25">
      <c r="B56" s="104" t="s">
        <v>132</v>
      </c>
      <c r="C56" s="23" t="s">
        <v>24</v>
      </c>
      <c r="D56" s="23" t="s">
        <v>71</v>
      </c>
      <c r="E56" s="24">
        <f>1710000-142500-E58-E57</f>
        <v>1314302.3999999999</v>
      </c>
      <c r="F56" s="25" t="s">
        <v>64</v>
      </c>
      <c r="G56" s="26" t="s">
        <v>125</v>
      </c>
      <c r="H56" s="41"/>
      <c r="J56" s="62"/>
    </row>
    <row r="57" spans="2:13" s="1" customFormat="1" ht="67.5" x14ac:dyDescent="0.25">
      <c r="B57" s="104" t="s">
        <v>132</v>
      </c>
      <c r="C57" s="23" t="s">
        <v>103</v>
      </c>
      <c r="D57" s="23" t="s">
        <v>71</v>
      </c>
      <c r="E57" s="24">
        <v>33000</v>
      </c>
      <c r="F57" s="25" t="s">
        <v>61</v>
      </c>
      <c r="G57" s="26" t="s">
        <v>151</v>
      </c>
      <c r="H57" s="48" t="s">
        <v>98</v>
      </c>
      <c r="J57" s="62"/>
    </row>
    <row r="58" spans="2:13" s="1" customFormat="1" ht="67.5" x14ac:dyDescent="0.25">
      <c r="B58" s="104" t="s">
        <v>132</v>
      </c>
      <c r="C58" s="23" t="s">
        <v>103</v>
      </c>
      <c r="D58" s="23" t="s">
        <v>71</v>
      </c>
      <c r="E58" s="24">
        <v>220197.6</v>
      </c>
      <c r="F58" s="25" t="s">
        <v>61</v>
      </c>
      <c r="G58" s="26" t="s">
        <v>150</v>
      </c>
      <c r="H58" s="48" t="s">
        <v>98</v>
      </c>
    </row>
    <row r="59" spans="2:13" s="1" customFormat="1" ht="98.25" customHeight="1" x14ac:dyDescent="0.25">
      <c r="B59" s="104" t="s">
        <v>132</v>
      </c>
      <c r="C59" s="23" t="s">
        <v>24</v>
      </c>
      <c r="D59" s="23" t="s">
        <v>71</v>
      </c>
      <c r="E59" s="24">
        <v>142500</v>
      </c>
      <c r="F59" s="25" t="s">
        <v>61</v>
      </c>
      <c r="G59" s="26" t="s">
        <v>125</v>
      </c>
      <c r="H59" s="48" t="s">
        <v>128</v>
      </c>
      <c r="J59" s="62"/>
    </row>
    <row r="60" spans="2:13" s="1" customFormat="1" ht="31.5" customHeight="1" x14ac:dyDescent="0.25">
      <c r="B60" s="126" t="s">
        <v>136</v>
      </c>
      <c r="C60" s="127"/>
      <c r="D60" s="127"/>
      <c r="E60" s="16">
        <f>SUM(E61:E65)</f>
        <v>22370000</v>
      </c>
      <c r="F60" s="13"/>
      <c r="G60" s="9"/>
      <c r="H60" s="10"/>
      <c r="I60" s="61"/>
      <c r="J60" s="62"/>
    </row>
    <row r="61" spans="2:13" s="1" customFormat="1" ht="75.75" customHeight="1" x14ac:dyDescent="0.25">
      <c r="B61" s="104" t="s">
        <v>132</v>
      </c>
      <c r="C61" s="23" t="s">
        <v>7</v>
      </c>
      <c r="D61" s="23" t="s">
        <v>57</v>
      </c>
      <c r="E61" s="24">
        <f>3750000+400000</f>
        <v>4150000</v>
      </c>
      <c r="F61" s="25" t="s">
        <v>61</v>
      </c>
      <c r="G61" s="26" t="s">
        <v>125</v>
      </c>
      <c r="H61" s="48" t="s">
        <v>97</v>
      </c>
    </row>
    <row r="62" spans="2:13" s="1" customFormat="1" ht="75.75" customHeight="1" x14ac:dyDescent="0.25">
      <c r="B62" s="66" t="s">
        <v>133</v>
      </c>
      <c r="C62" s="23" t="s">
        <v>7</v>
      </c>
      <c r="D62" s="23" t="s">
        <v>57</v>
      </c>
      <c r="E62" s="24">
        <v>100000</v>
      </c>
      <c r="F62" s="25" t="s">
        <v>61</v>
      </c>
      <c r="G62" s="26" t="s">
        <v>125</v>
      </c>
      <c r="H62" s="48" t="s">
        <v>97</v>
      </c>
    </row>
    <row r="63" spans="2:13" s="1" customFormat="1" ht="121.5" customHeight="1" x14ac:dyDescent="0.25">
      <c r="B63" s="67" t="s">
        <v>132</v>
      </c>
      <c r="C63" s="68">
        <v>33600000</v>
      </c>
      <c r="D63" s="68" t="s">
        <v>29</v>
      </c>
      <c r="E63" s="69">
        <f>1440000+270000-22680</f>
        <v>1687320</v>
      </c>
      <c r="F63" s="70" t="s">
        <v>64</v>
      </c>
      <c r="G63" s="71" t="s">
        <v>125</v>
      </c>
      <c r="H63" s="73"/>
      <c r="J63" s="62"/>
      <c r="L63" s="62"/>
      <c r="M63" s="62"/>
    </row>
    <row r="64" spans="2:13" s="1" customFormat="1" ht="121.5" customHeight="1" x14ac:dyDescent="0.25">
      <c r="B64" s="67" t="s">
        <v>132</v>
      </c>
      <c r="C64" s="68" t="s">
        <v>32</v>
      </c>
      <c r="D64" s="68" t="s">
        <v>29</v>
      </c>
      <c r="E64" s="69">
        <v>22680</v>
      </c>
      <c r="F64" s="70" t="s">
        <v>61</v>
      </c>
      <c r="G64" s="71" t="s">
        <v>150</v>
      </c>
      <c r="H64" s="92" t="s">
        <v>157</v>
      </c>
      <c r="J64" s="62"/>
      <c r="L64" s="62"/>
      <c r="M64" s="62"/>
    </row>
    <row r="65" spans="2:11" s="1" customFormat="1" ht="87.75" customHeight="1" x14ac:dyDescent="0.25">
      <c r="B65" s="104" t="s">
        <v>132</v>
      </c>
      <c r="C65" s="23" t="s">
        <v>32</v>
      </c>
      <c r="D65" s="23" t="s">
        <v>29</v>
      </c>
      <c r="E65" s="24">
        <v>16410000</v>
      </c>
      <c r="F65" s="25" t="s">
        <v>61</v>
      </c>
      <c r="G65" s="26" t="s">
        <v>125</v>
      </c>
      <c r="H65" s="48" t="s">
        <v>98</v>
      </c>
      <c r="J65" s="62"/>
      <c r="K65" s="62"/>
    </row>
    <row r="66" spans="2:11" s="1" customFormat="1" ht="60" customHeight="1" x14ac:dyDescent="0.25">
      <c r="B66" s="126" t="s">
        <v>137</v>
      </c>
      <c r="C66" s="127"/>
      <c r="D66" s="127"/>
      <c r="E66" s="16">
        <f>SUM(E67:E71)</f>
        <v>1700000</v>
      </c>
      <c r="F66" s="13"/>
      <c r="G66" s="14"/>
      <c r="H66" s="10"/>
      <c r="I66" s="61"/>
      <c r="J66" s="105" t="s">
        <v>158</v>
      </c>
    </row>
    <row r="67" spans="2:11" s="1" customFormat="1" ht="36.75" customHeight="1" x14ac:dyDescent="0.25">
      <c r="B67" s="104" t="s">
        <v>132</v>
      </c>
      <c r="C67" s="23" t="s">
        <v>7</v>
      </c>
      <c r="D67" s="23" t="s">
        <v>28</v>
      </c>
      <c r="E67" s="24">
        <v>52272.9</v>
      </c>
      <c r="F67" s="25" t="s">
        <v>64</v>
      </c>
      <c r="G67" s="26" t="s">
        <v>125</v>
      </c>
      <c r="H67" s="41"/>
    </row>
    <row r="68" spans="2:11" s="1" customFormat="1" ht="51" customHeight="1" x14ac:dyDescent="0.25">
      <c r="B68" s="104" t="s">
        <v>132</v>
      </c>
      <c r="C68" s="23" t="s">
        <v>32</v>
      </c>
      <c r="D68" s="23" t="s">
        <v>29</v>
      </c>
      <c r="E68" s="24">
        <f>200847.5-132940.36</f>
        <v>67907.140000000014</v>
      </c>
      <c r="F68" s="25" t="s">
        <v>64</v>
      </c>
      <c r="G68" s="26" t="s">
        <v>125</v>
      </c>
      <c r="H68" s="41"/>
      <c r="J68" s="62"/>
    </row>
    <row r="69" spans="2:11" s="1" customFormat="1" ht="45" customHeight="1" x14ac:dyDescent="0.25">
      <c r="B69" s="104" t="s">
        <v>132</v>
      </c>
      <c r="C69" s="23" t="s">
        <v>89</v>
      </c>
      <c r="D69" s="23" t="s">
        <v>90</v>
      </c>
      <c r="E69" s="24">
        <f>816000-200000</f>
        <v>616000</v>
      </c>
      <c r="F69" s="25" t="s">
        <v>64</v>
      </c>
      <c r="G69" s="26" t="s">
        <v>125</v>
      </c>
      <c r="H69" s="48"/>
    </row>
    <row r="70" spans="2:11" s="1" customFormat="1" ht="78.75" x14ac:dyDescent="0.25">
      <c r="B70" s="104" t="s">
        <v>132</v>
      </c>
      <c r="C70" s="23" t="s">
        <v>24</v>
      </c>
      <c r="D70" s="23" t="s">
        <v>71</v>
      </c>
      <c r="E70" s="24">
        <v>69239.960000000006</v>
      </c>
      <c r="F70" s="25" t="s">
        <v>61</v>
      </c>
      <c r="G70" s="26" t="s">
        <v>125</v>
      </c>
      <c r="H70" s="48" t="s">
        <v>129</v>
      </c>
      <c r="J70" s="62"/>
    </row>
    <row r="71" spans="2:11" s="1" customFormat="1" ht="67.5" x14ac:dyDescent="0.25">
      <c r="B71" s="104" t="s">
        <v>132</v>
      </c>
      <c r="C71" s="23" t="s">
        <v>24</v>
      </c>
      <c r="D71" s="23" t="s">
        <v>71</v>
      </c>
      <c r="E71" s="24">
        <f>894580</f>
        <v>894580</v>
      </c>
      <c r="F71" s="25" t="s">
        <v>61</v>
      </c>
      <c r="G71" s="26" t="s">
        <v>152</v>
      </c>
      <c r="H71" s="48" t="s">
        <v>98</v>
      </c>
    </row>
    <row r="72" spans="2:11" s="1" customFormat="1" ht="65.25" customHeight="1" x14ac:dyDescent="0.25">
      <c r="B72" s="126" t="s">
        <v>138</v>
      </c>
      <c r="C72" s="127"/>
      <c r="D72" s="127"/>
      <c r="E72" s="16">
        <f>SUM(E73:E75)</f>
        <v>1753700.5</v>
      </c>
      <c r="F72" s="13"/>
      <c r="G72" s="14"/>
      <c r="H72" s="10"/>
      <c r="I72" s="61"/>
      <c r="J72" s="62"/>
    </row>
    <row r="73" spans="2:11" s="1" customFormat="1" ht="33.75" x14ac:dyDescent="0.25">
      <c r="B73" s="104" t="s">
        <v>132</v>
      </c>
      <c r="C73" s="36" t="s">
        <v>25</v>
      </c>
      <c r="D73" s="36" t="s">
        <v>69</v>
      </c>
      <c r="E73" s="24">
        <v>55000</v>
      </c>
      <c r="F73" s="43" t="s">
        <v>64</v>
      </c>
      <c r="G73" s="26" t="s">
        <v>125</v>
      </c>
      <c r="H73" s="44"/>
    </row>
    <row r="74" spans="2:11" s="1" customFormat="1" ht="78.75" x14ac:dyDescent="0.25">
      <c r="B74" s="104" t="s">
        <v>132</v>
      </c>
      <c r="C74" s="23">
        <v>85100000</v>
      </c>
      <c r="D74" s="23" t="s">
        <v>71</v>
      </c>
      <c r="E74" s="24">
        <v>127500.5</v>
      </c>
      <c r="F74" s="25" t="s">
        <v>61</v>
      </c>
      <c r="G74" s="26" t="s">
        <v>125</v>
      </c>
      <c r="H74" s="45" t="s">
        <v>124</v>
      </c>
    </row>
    <row r="75" spans="2:11" s="1" customFormat="1" ht="60.75" customHeight="1" x14ac:dyDescent="0.25">
      <c r="B75" s="104" t="s">
        <v>132</v>
      </c>
      <c r="C75" s="23">
        <v>85100000</v>
      </c>
      <c r="D75" s="23" t="s">
        <v>71</v>
      </c>
      <c r="E75" s="24">
        <f>1460000+111200</f>
        <v>1571200</v>
      </c>
      <c r="F75" s="25" t="s">
        <v>61</v>
      </c>
      <c r="G75" s="26" t="s">
        <v>125</v>
      </c>
      <c r="H75" s="48" t="s">
        <v>98</v>
      </c>
      <c r="K75" s="62"/>
    </row>
    <row r="76" spans="2:11" s="1" customFormat="1" ht="61.5" customHeight="1" x14ac:dyDescent="0.25">
      <c r="B76" s="126" t="s">
        <v>139</v>
      </c>
      <c r="C76" s="127"/>
      <c r="D76" s="127"/>
      <c r="E76" s="16">
        <f>SUM(E77:E78)</f>
        <v>184166.6</v>
      </c>
      <c r="F76" s="13"/>
      <c r="G76" s="14"/>
      <c r="H76" s="10"/>
      <c r="I76" s="61"/>
      <c r="J76" s="62"/>
    </row>
    <row r="77" spans="2:11" s="18" customFormat="1" ht="70.5" customHeight="1" x14ac:dyDescent="0.25">
      <c r="B77" s="65" t="s">
        <v>132</v>
      </c>
      <c r="C77" s="23" t="s">
        <v>24</v>
      </c>
      <c r="D77" s="23" t="s">
        <v>71</v>
      </c>
      <c r="E77" s="56">
        <v>14166.6</v>
      </c>
      <c r="F77" s="25" t="s">
        <v>61</v>
      </c>
      <c r="G77" s="26" t="s">
        <v>125</v>
      </c>
      <c r="H77" s="48" t="s">
        <v>76</v>
      </c>
    </row>
    <row r="78" spans="2:11" s="1" customFormat="1" ht="75" customHeight="1" x14ac:dyDescent="0.25">
      <c r="B78" s="104" t="s">
        <v>132</v>
      </c>
      <c r="C78" s="23" t="s">
        <v>24</v>
      </c>
      <c r="D78" s="23" t="s">
        <v>71</v>
      </c>
      <c r="E78" s="24">
        <v>170000</v>
      </c>
      <c r="F78" s="25" t="s">
        <v>61</v>
      </c>
      <c r="G78" s="26" t="s">
        <v>125</v>
      </c>
      <c r="H78" s="48" t="s">
        <v>98</v>
      </c>
    </row>
    <row r="79" spans="2:11" s="1" customFormat="1" ht="65.25" customHeight="1" x14ac:dyDescent="0.25">
      <c r="B79" s="121" t="s">
        <v>140</v>
      </c>
      <c r="C79" s="122"/>
      <c r="D79" s="122"/>
      <c r="E79" s="16">
        <f>SUM(E80:E84)</f>
        <v>1350000</v>
      </c>
      <c r="F79" s="13"/>
      <c r="G79" s="14"/>
      <c r="H79" s="60"/>
      <c r="I79" s="61"/>
      <c r="J79" s="62"/>
    </row>
    <row r="80" spans="2:11" s="1" customFormat="1" ht="49.5" customHeight="1" x14ac:dyDescent="0.25">
      <c r="B80" s="104" t="s">
        <v>132</v>
      </c>
      <c r="C80" s="23" t="s">
        <v>14</v>
      </c>
      <c r="D80" s="23" t="s">
        <v>15</v>
      </c>
      <c r="E80" s="24">
        <v>24200</v>
      </c>
      <c r="F80" s="25" t="s">
        <v>60</v>
      </c>
      <c r="G80" s="26" t="s">
        <v>125</v>
      </c>
      <c r="H80" s="41"/>
    </row>
    <row r="81" spans="2:10" s="1" customFormat="1" ht="33.75" x14ac:dyDescent="0.25">
      <c r="B81" s="104" t="s">
        <v>132</v>
      </c>
      <c r="C81" s="28">
        <v>33100000</v>
      </c>
      <c r="D81" s="28" t="s">
        <v>28</v>
      </c>
      <c r="E81" s="24">
        <f>240004-87983</f>
        <v>152021</v>
      </c>
      <c r="F81" s="29" t="s">
        <v>64</v>
      </c>
      <c r="G81" s="26" t="s">
        <v>125</v>
      </c>
      <c r="H81" s="46"/>
    </row>
    <row r="82" spans="2:10" s="1" customFormat="1" ht="60.75" customHeight="1" x14ac:dyDescent="0.25">
      <c r="B82" s="104" t="s">
        <v>132</v>
      </c>
      <c r="C82" s="23" t="s">
        <v>59</v>
      </c>
      <c r="D82" s="23" t="s">
        <v>44</v>
      </c>
      <c r="E82" s="24">
        <v>15000</v>
      </c>
      <c r="F82" s="25" t="s">
        <v>64</v>
      </c>
      <c r="G82" s="26" t="s">
        <v>125</v>
      </c>
      <c r="H82" s="41"/>
    </row>
    <row r="83" spans="2:10" s="1" customFormat="1" ht="75" customHeight="1" x14ac:dyDescent="0.25">
      <c r="B83" s="104" t="s">
        <v>132</v>
      </c>
      <c r="C83" s="23">
        <v>85100000</v>
      </c>
      <c r="D83" s="23" t="s">
        <v>71</v>
      </c>
      <c r="E83" s="24">
        <v>48983</v>
      </c>
      <c r="F83" s="25" t="s">
        <v>61</v>
      </c>
      <c r="G83" s="26" t="s">
        <v>125</v>
      </c>
      <c r="H83" s="48" t="s">
        <v>126</v>
      </c>
      <c r="J83" s="62">
        <f>E79-1350000</f>
        <v>0</v>
      </c>
    </row>
    <row r="84" spans="2:10" s="1" customFormat="1" ht="65.25" customHeight="1" x14ac:dyDescent="0.25">
      <c r="B84" s="104" t="s">
        <v>132</v>
      </c>
      <c r="C84" s="23">
        <v>85100000</v>
      </c>
      <c r="D84" s="23" t="s">
        <v>71</v>
      </c>
      <c r="E84" s="24">
        <f>1071996+37800</f>
        <v>1109796</v>
      </c>
      <c r="F84" s="25" t="s">
        <v>61</v>
      </c>
      <c r="G84" s="26" t="s">
        <v>125</v>
      </c>
      <c r="H84" s="48" t="s">
        <v>98</v>
      </c>
    </row>
    <row r="85" spans="2:10" s="1" customFormat="1" ht="80.25" customHeight="1" x14ac:dyDescent="0.25">
      <c r="B85" s="126" t="s">
        <v>141</v>
      </c>
      <c r="C85" s="127"/>
      <c r="D85" s="127"/>
      <c r="E85" s="16">
        <f>SUM(E86:E86)</f>
        <v>1250000</v>
      </c>
      <c r="F85" s="13"/>
      <c r="G85" s="14"/>
      <c r="H85" s="10"/>
      <c r="I85" s="61"/>
      <c r="J85" s="62"/>
    </row>
    <row r="86" spans="2:10" s="1" customFormat="1" ht="84.75" customHeight="1" x14ac:dyDescent="0.25">
      <c r="B86" s="104" t="s">
        <v>132</v>
      </c>
      <c r="C86" s="23" t="s">
        <v>32</v>
      </c>
      <c r="D86" s="23" t="s">
        <v>29</v>
      </c>
      <c r="E86" s="24">
        <v>1250000</v>
      </c>
      <c r="F86" s="25" t="s">
        <v>61</v>
      </c>
      <c r="G86" s="26" t="s">
        <v>125</v>
      </c>
      <c r="H86" s="48" t="s">
        <v>98</v>
      </c>
    </row>
    <row r="87" spans="2:10" s="1" customFormat="1" ht="57.75" customHeight="1" x14ac:dyDescent="0.25">
      <c r="B87" s="119" t="s">
        <v>142</v>
      </c>
      <c r="C87" s="120"/>
      <c r="D87" s="120"/>
      <c r="E87" s="57">
        <f>SUM(E88:E91)</f>
        <v>4000000</v>
      </c>
      <c r="F87" s="58"/>
      <c r="G87" s="58"/>
      <c r="H87" s="59"/>
      <c r="I87" s="61"/>
      <c r="J87" s="62"/>
    </row>
    <row r="88" spans="2:10" s="18" customFormat="1" ht="29.25" customHeight="1" x14ac:dyDescent="0.25">
      <c r="B88" s="65" t="s">
        <v>132</v>
      </c>
      <c r="C88" s="38">
        <v>33100000</v>
      </c>
      <c r="D88" s="23" t="s">
        <v>8</v>
      </c>
      <c r="E88" s="56">
        <v>124876.2</v>
      </c>
      <c r="F88" s="25" t="s">
        <v>64</v>
      </c>
      <c r="G88" s="26" t="s">
        <v>125</v>
      </c>
      <c r="H88" s="26"/>
    </row>
    <row r="89" spans="2:10" s="1" customFormat="1" ht="33.75" x14ac:dyDescent="0.25">
      <c r="B89" s="104" t="s">
        <v>132</v>
      </c>
      <c r="C89" s="38" t="s">
        <v>32</v>
      </c>
      <c r="D89" s="23" t="s">
        <v>9</v>
      </c>
      <c r="E89" s="24">
        <f>2995349.4-3495.8-99984.41</f>
        <v>2891869.19</v>
      </c>
      <c r="F89" s="25" t="s">
        <v>64</v>
      </c>
      <c r="G89" s="26" t="s">
        <v>125</v>
      </c>
      <c r="H89" s="26"/>
    </row>
    <row r="90" spans="2:10" s="1" customFormat="1" ht="67.5" x14ac:dyDescent="0.25">
      <c r="B90" s="104" t="s">
        <v>132</v>
      </c>
      <c r="C90" s="38" t="s">
        <v>24</v>
      </c>
      <c r="D90" s="23" t="s">
        <v>71</v>
      </c>
      <c r="E90" s="24">
        <v>73605.850000000006</v>
      </c>
      <c r="F90" s="25" t="s">
        <v>61</v>
      </c>
      <c r="G90" s="26" t="s">
        <v>125</v>
      </c>
      <c r="H90" s="45" t="s">
        <v>127</v>
      </c>
    </row>
    <row r="91" spans="2:10" s="1" customFormat="1" ht="83.25" customHeight="1" x14ac:dyDescent="0.25">
      <c r="B91" s="104" t="s">
        <v>132</v>
      </c>
      <c r="C91" s="23" t="s">
        <v>24</v>
      </c>
      <c r="D91" s="23" t="s">
        <v>71</v>
      </c>
      <c r="E91" s="24">
        <v>909648.76</v>
      </c>
      <c r="F91" s="25" t="s">
        <v>61</v>
      </c>
      <c r="G91" s="26" t="s">
        <v>152</v>
      </c>
      <c r="H91" s="32" t="s">
        <v>98</v>
      </c>
    </row>
    <row r="92" spans="2:10" ht="122.25" customHeight="1" x14ac:dyDescent="0.25">
      <c r="B92" s="126" t="s">
        <v>143</v>
      </c>
      <c r="C92" s="127"/>
      <c r="D92" s="127"/>
      <c r="E92" s="16">
        <f>SUM(E93)</f>
        <v>2190000</v>
      </c>
      <c r="F92" s="13"/>
      <c r="G92" s="14"/>
      <c r="H92" s="10"/>
      <c r="I92" s="61"/>
      <c r="J92" s="63">
        <f>E87-4000000</f>
        <v>0</v>
      </c>
    </row>
    <row r="93" spans="2:10" s="1" customFormat="1" ht="117.75" customHeight="1" x14ac:dyDescent="0.25">
      <c r="B93" s="104" t="s">
        <v>132</v>
      </c>
      <c r="C93" s="23" t="s">
        <v>32</v>
      </c>
      <c r="D93" s="23" t="s">
        <v>29</v>
      </c>
      <c r="E93" s="24">
        <v>2190000</v>
      </c>
      <c r="F93" s="25" t="s">
        <v>61</v>
      </c>
      <c r="G93" s="26" t="s">
        <v>152</v>
      </c>
      <c r="H93" s="48" t="s">
        <v>98</v>
      </c>
    </row>
    <row r="94" spans="2:10" s="1" customFormat="1" ht="57" customHeight="1" x14ac:dyDescent="0.25">
      <c r="B94" s="121" t="s">
        <v>144</v>
      </c>
      <c r="C94" s="122"/>
      <c r="D94" s="122"/>
      <c r="E94" s="16">
        <f>SUM(E95:E99)</f>
        <v>474000</v>
      </c>
      <c r="F94" s="13"/>
      <c r="G94" s="60"/>
      <c r="H94" s="60"/>
      <c r="I94" s="61"/>
      <c r="J94" s="62"/>
    </row>
    <row r="95" spans="2:10" s="1" customFormat="1" ht="59.25" customHeight="1" x14ac:dyDescent="0.25">
      <c r="B95" s="104" t="s">
        <v>148</v>
      </c>
      <c r="C95" s="23">
        <v>33100000</v>
      </c>
      <c r="D95" s="23" t="s">
        <v>28</v>
      </c>
      <c r="E95" s="24">
        <f>20000+14559.87+22385.83</f>
        <v>56945.700000000004</v>
      </c>
      <c r="F95" s="25" t="s">
        <v>64</v>
      </c>
      <c r="G95" s="26" t="s">
        <v>125</v>
      </c>
      <c r="H95" s="41"/>
    </row>
    <row r="96" spans="2:10" s="1" customFormat="1" ht="38.25" x14ac:dyDescent="0.25">
      <c r="B96" s="104" t="s">
        <v>148</v>
      </c>
      <c r="C96" s="36">
        <v>33600000</v>
      </c>
      <c r="D96" s="36" t="s">
        <v>29</v>
      </c>
      <c r="E96" s="24">
        <f>266824.3+68000-17770</f>
        <v>317054.3</v>
      </c>
      <c r="F96" s="43" t="s">
        <v>64</v>
      </c>
      <c r="G96" s="26" t="s">
        <v>125</v>
      </c>
      <c r="H96" s="44"/>
    </row>
    <row r="97" spans="2:11" s="1" customFormat="1" ht="78.75" x14ac:dyDescent="0.25">
      <c r="B97" s="104" t="s">
        <v>132</v>
      </c>
      <c r="C97" s="38" t="s">
        <v>103</v>
      </c>
      <c r="D97" s="23" t="s">
        <v>71</v>
      </c>
      <c r="E97" s="24">
        <v>8645.83</v>
      </c>
      <c r="F97" s="25" t="s">
        <v>61</v>
      </c>
      <c r="G97" s="26" t="s">
        <v>125</v>
      </c>
      <c r="H97" s="45" t="s">
        <v>130</v>
      </c>
    </row>
    <row r="98" spans="2:11" s="1" customFormat="1" ht="67.5" x14ac:dyDescent="0.25">
      <c r="B98" s="104" t="s">
        <v>132</v>
      </c>
      <c r="C98" s="38" t="s">
        <v>103</v>
      </c>
      <c r="D98" s="23" t="s">
        <v>71</v>
      </c>
      <c r="E98" s="24">
        <v>13740</v>
      </c>
      <c r="F98" s="25" t="s">
        <v>61</v>
      </c>
      <c r="G98" s="26" t="s">
        <v>152</v>
      </c>
      <c r="H98" s="48" t="s">
        <v>98</v>
      </c>
      <c r="J98" s="62"/>
      <c r="K98" s="62"/>
    </row>
    <row r="99" spans="2:11" s="1" customFormat="1" ht="51" customHeight="1" x14ac:dyDescent="0.25">
      <c r="B99" s="104" t="s">
        <v>132</v>
      </c>
      <c r="C99" s="38" t="s">
        <v>24</v>
      </c>
      <c r="D99" s="23" t="s">
        <v>71</v>
      </c>
      <c r="E99" s="24">
        <v>77614.17</v>
      </c>
      <c r="F99" s="25" t="s">
        <v>64</v>
      </c>
      <c r="G99" s="26" t="s">
        <v>153</v>
      </c>
      <c r="H99" s="45"/>
      <c r="J99" s="62"/>
      <c r="K99" s="62"/>
    </row>
    <row r="100" spans="2:11" ht="59.25" customHeight="1" x14ac:dyDescent="0.25">
      <c r="B100" s="126" t="s">
        <v>145</v>
      </c>
      <c r="C100" s="127"/>
      <c r="D100" s="127"/>
      <c r="E100" s="16">
        <f>SUM(E101:E103)</f>
        <v>2100000</v>
      </c>
      <c r="F100" s="13"/>
      <c r="G100" s="14"/>
      <c r="H100" s="10"/>
      <c r="I100" s="61"/>
      <c r="J100" s="63"/>
    </row>
    <row r="101" spans="2:11" s="18" customFormat="1" ht="42.75" customHeight="1" x14ac:dyDescent="0.25">
      <c r="B101" s="65" t="s">
        <v>132</v>
      </c>
      <c r="C101" s="23" t="s">
        <v>25</v>
      </c>
      <c r="D101" s="23" t="s">
        <v>69</v>
      </c>
      <c r="E101" s="56">
        <f>2100000-115976</f>
        <v>1984024</v>
      </c>
      <c r="F101" s="25" t="s">
        <v>64</v>
      </c>
      <c r="G101" s="26" t="s">
        <v>125</v>
      </c>
      <c r="H101" s="53"/>
    </row>
    <row r="102" spans="2:11" s="18" customFormat="1" ht="42.75" customHeight="1" x14ac:dyDescent="0.25">
      <c r="B102" s="67" t="s">
        <v>132</v>
      </c>
      <c r="C102" s="68" t="s">
        <v>156</v>
      </c>
      <c r="D102" s="68" t="s">
        <v>69</v>
      </c>
      <c r="E102" s="69">
        <f>5976</f>
        <v>5976</v>
      </c>
      <c r="F102" s="70" t="s">
        <v>61</v>
      </c>
      <c r="G102" s="71" t="s">
        <v>152</v>
      </c>
      <c r="H102" s="92" t="s">
        <v>98</v>
      </c>
    </row>
    <row r="103" spans="2:11" s="1" customFormat="1" ht="80.25" customHeight="1" x14ac:dyDescent="0.25">
      <c r="B103" s="67" t="s">
        <v>132</v>
      </c>
      <c r="C103" s="68" t="s">
        <v>154</v>
      </c>
      <c r="D103" s="68" t="s">
        <v>155</v>
      </c>
      <c r="E103" s="69">
        <f>115976-5976</f>
        <v>110000</v>
      </c>
      <c r="F103" s="70" t="s">
        <v>61</v>
      </c>
      <c r="G103" s="71" t="s">
        <v>152</v>
      </c>
      <c r="H103" s="92" t="s">
        <v>98</v>
      </c>
    </row>
    <row r="104" spans="2:11" ht="70.5" customHeight="1" x14ac:dyDescent="0.25">
      <c r="B104" s="126" t="s">
        <v>146</v>
      </c>
      <c r="C104" s="127"/>
      <c r="D104" s="127"/>
      <c r="E104" s="16">
        <f>SUM(E105:E107)</f>
        <v>442800</v>
      </c>
      <c r="F104" s="13"/>
      <c r="G104" s="14"/>
      <c r="H104" s="10"/>
      <c r="I104" s="61"/>
      <c r="J104" s="63"/>
    </row>
    <row r="105" spans="2:11" s="18" customFormat="1" ht="33.75" x14ac:dyDescent="0.25">
      <c r="B105" s="65" t="s">
        <v>132</v>
      </c>
      <c r="C105" s="99" t="s">
        <v>32</v>
      </c>
      <c r="D105" s="99" t="s">
        <v>29</v>
      </c>
      <c r="E105" s="56">
        <f>264000-4020</f>
        <v>259980</v>
      </c>
      <c r="F105" s="100" t="s">
        <v>64</v>
      </c>
      <c r="G105" s="80" t="s">
        <v>125</v>
      </c>
      <c r="H105" s="101"/>
    </row>
    <row r="106" spans="2:11" s="18" customFormat="1" ht="33.75" x14ac:dyDescent="0.25">
      <c r="B106" s="65" t="s">
        <v>132</v>
      </c>
      <c r="C106" s="28" t="s">
        <v>7</v>
      </c>
      <c r="D106" s="28" t="s">
        <v>28</v>
      </c>
      <c r="E106" s="24">
        <v>132000</v>
      </c>
      <c r="F106" s="29" t="s">
        <v>64</v>
      </c>
      <c r="G106" s="26" t="s">
        <v>125</v>
      </c>
      <c r="H106" s="55"/>
    </row>
    <row r="107" spans="2:11" s="1" customFormat="1" ht="33.75" x14ac:dyDescent="0.25">
      <c r="B107" s="104" t="s">
        <v>132</v>
      </c>
      <c r="C107" s="23" t="s">
        <v>14</v>
      </c>
      <c r="D107" s="23" t="s">
        <v>40</v>
      </c>
      <c r="E107" s="24">
        <f>4020+46800</f>
        <v>50820</v>
      </c>
      <c r="F107" s="25" t="s">
        <v>60</v>
      </c>
      <c r="G107" s="26" t="s">
        <v>125</v>
      </c>
      <c r="H107" s="23"/>
    </row>
  </sheetData>
  <autoFilter ref="A8:H107"/>
  <mergeCells count="20">
    <mergeCell ref="B72:D72"/>
    <mergeCell ref="B2:H2"/>
    <mergeCell ref="B3:H3"/>
    <mergeCell ref="B4:E4"/>
    <mergeCell ref="F4:H4"/>
    <mergeCell ref="B5:E5"/>
    <mergeCell ref="F5:H5"/>
    <mergeCell ref="B6:F6"/>
    <mergeCell ref="B9:D9"/>
    <mergeCell ref="B55:D55"/>
    <mergeCell ref="B60:D60"/>
    <mergeCell ref="B66:D66"/>
    <mergeCell ref="B100:D100"/>
    <mergeCell ref="B104:D104"/>
    <mergeCell ref="B76:D76"/>
    <mergeCell ref="B79:D79"/>
    <mergeCell ref="B85:D85"/>
    <mergeCell ref="B87:D87"/>
    <mergeCell ref="B92:D92"/>
    <mergeCell ref="B94:D94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08"/>
  <sheetViews>
    <sheetView topLeftCell="B13" zoomScaleNormal="100" zoomScaleSheetLayoutView="80" workbookViewId="0">
      <selection activeCell="J25" sqref="J25"/>
    </sheetView>
  </sheetViews>
  <sheetFormatPr defaultRowHeight="15" x14ac:dyDescent="0.2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1.5703125" bestFit="1" customWidth="1"/>
    <col min="12" max="12" width="14.28515625" bestFit="1" customWidth="1"/>
    <col min="13" max="13" width="11.5703125" bestFit="1" customWidth="1"/>
  </cols>
  <sheetData>
    <row r="2" spans="2:8" ht="18.75" x14ac:dyDescent="0.25">
      <c r="B2" s="123" t="s">
        <v>41</v>
      </c>
      <c r="C2" s="123"/>
      <c r="D2" s="123"/>
      <c r="E2" s="123"/>
      <c r="F2" s="123"/>
      <c r="G2" s="123"/>
      <c r="H2" s="123"/>
    </row>
    <row r="3" spans="2:8" ht="18.75" x14ac:dyDescent="0.3">
      <c r="B3" s="124" t="s">
        <v>4</v>
      </c>
      <c r="C3" s="124"/>
      <c r="D3" s="124"/>
      <c r="E3" s="124"/>
      <c r="F3" s="124"/>
      <c r="G3" s="124"/>
      <c r="H3" s="124"/>
    </row>
    <row r="4" spans="2:8" x14ac:dyDescent="0.25">
      <c r="B4" s="125" t="s">
        <v>54</v>
      </c>
      <c r="C4" s="125"/>
      <c r="D4" s="125"/>
      <c r="E4" s="125"/>
      <c r="F4" s="125" t="s">
        <v>21</v>
      </c>
      <c r="G4" s="125"/>
      <c r="H4" s="125"/>
    </row>
    <row r="5" spans="2:8" x14ac:dyDescent="0.25">
      <c r="B5" s="125" t="s">
        <v>20</v>
      </c>
      <c r="C5" s="125"/>
      <c r="D5" s="125"/>
      <c r="E5" s="125"/>
      <c r="F5" s="125" t="s">
        <v>10</v>
      </c>
      <c r="G5" s="125"/>
      <c r="H5" s="125"/>
    </row>
    <row r="6" spans="2:8" ht="24.75" customHeight="1" x14ac:dyDescent="0.25">
      <c r="B6" s="115" t="s">
        <v>22</v>
      </c>
      <c r="C6" s="116"/>
      <c r="D6" s="116"/>
      <c r="E6" s="116"/>
      <c r="F6" s="116"/>
      <c r="G6" s="2">
        <f>E9+E56+E61+E67+E73+E77+E80+E86+E88+E93+E95+E101+E105</f>
        <v>43699570.100000001</v>
      </c>
      <c r="H6" s="3" t="s">
        <v>23</v>
      </c>
    </row>
    <row r="7" spans="2:8" ht="25.5" x14ac:dyDescent="0.2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 x14ac:dyDescent="0.25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customHeight="1" x14ac:dyDescent="0.25">
      <c r="B9" s="117" t="s">
        <v>131</v>
      </c>
      <c r="C9" s="118"/>
      <c r="D9" s="118"/>
      <c r="E9" s="15">
        <f>SUM(E10:E55)</f>
        <v>4174903</v>
      </c>
      <c r="F9" s="11"/>
      <c r="G9" s="9"/>
      <c r="H9" s="10"/>
    </row>
    <row r="10" spans="2:8" s="18" customFormat="1" ht="33.75" x14ac:dyDescent="0.2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8" s="18" customFormat="1" ht="33.75" x14ac:dyDescent="0.2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8" s="18" customFormat="1" ht="33.75" x14ac:dyDescent="0.25">
      <c r="B12" s="65" t="s">
        <v>132</v>
      </c>
      <c r="C12" s="23" t="s">
        <v>100</v>
      </c>
      <c r="D12" s="23" t="s">
        <v>101</v>
      </c>
      <c r="E12" s="56">
        <v>500</v>
      </c>
      <c r="F12" s="25" t="s">
        <v>61</v>
      </c>
      <c r="G12" s="26" t="s">
        <v>125</v>
      </c>
      <c r="H12" s="23"/>
    </row>
    <row r="13" spans="2:8" s="19" customFormat="1" ht="33.75" x14ac:dyDescent="0.25">
      <c r="B13" s="65" t="s">
        <v>132</v>
      </c>
      <c r="C13" s="28" t="s">
        <v>50</v>
      </c>
      <c r="D13" s="28" t="s">
        <v>52</v>
      </c>
      <c r="E13" s="56">
        <v>1600</v>
      </c>
      <c r="F13" s="29" t="s">
        <v>61</v>
      </c>
      <c r="G13" s="26" t="s">
        <v>125</v>
      </c>
      <c r="H13" s="28"/>
    </row>
    <row r="14" spans="2:8" s="19" customFormat="1" ht="38.25" customHeight="1" x14ac:dyDescent="0.25">
      <c r="B14" s="67" t="s">
        <v>132</v>
      </c>
      <c r="C14" s="87" t="s">
        <v>159</v>
      </c>
      <c r="D14" s="87" t="s">
        <v>158</v>
      </c>
      <c r="E14" s="69">
        <v>1973</v>
      </c>
      <c r="F14" s="88" t="s">
        <v>61</v>
      </c>
      <c r="G14" s="71" t="s">
        <v>152</v>
      </c>
      <c r="H14" s="87"/>
    </row>
    <row r="15" spans="2:8" s="18" customFormat="1" ht="49.5" customHeight="1" x14ac:dyDescent="0.25">
      <c r="B15" s="65" t="s">
        <v>132</v>
      </c>
      <c r="C15" s="23" t="s">
        <v>39</v>
      </c>
      <c r="D15" s="23" t="s">
        <v>58</v>
      </c>
      <c r="E15" s="56">
        <f>23100</f>
        <v>23100</v>
      </c>
      <c r="F15" s="25" t="s">
        <v>60</v>
      </c>
      <c r="G15" s="26" t="s">
        <v>125</v>
      </c>
      <c r="H15" s="23"/>
    </row>
    <row r="16" spans="2:8" s="18" customFormat="1" ht="49.5" customHeight="1" x14ac:dyDescent="0.25">
      <c r="B16" s="65" t="s">
        <v>132</v>
      </c>
      <c r="C16" s="23" t="s">
        <v>39</v>
      </c>
      <c r="D16" s="23" t="s">
        <v>58</v>
      </c>
      <c r="E16" s="56">
        <f>60000+9000</f>
        <v>69000</v>
      </c>
      <c r="F16" s="25" t="s">
        <v>64</v>
      </c>
      <c r="G16" s="26" t="s">
        <v>125</v>
      </c>
      <c r="H16" s="23"/>
    </row>
    <row r="17" spans="2:8" s="18" customFormat="1" ht="38.25" customHeight="1" x14ac:dyDescent="0.25">
      <c r="B17" s="65" t="s">
        <v>147</v>
      </c>
      <c r="C17" s="30">
        <v>31400000</v>
      </c>
      <c r="D17" s="23" t="s">
        <v>11</v>
      </c>
      <c r="E17" s="56">
        <f>3000+1800</f>
        <v>4800</v>
      </c>
      <c r="F17" s="25" t="s">
        <v>61</v>
      </c>
      <c r="G17" s="26" t="s">
        <v>125</v>
      </c>
      <c r="H17" s="31"/>
    </row>
    <row r="18" spans="2:8" s="18" customFormat="1" ht="38.25" customHeight="1" x14ac:dyDescent="0.25">
      <c r="B18" s="65" t="s">
        <v>147</v>
      </c>
      <c r="C18" s="23" t="s">
        <v>43</v>
      </c>
      <c r="D18" s="23" t="s">
        <v>42</v>
      </c>
      <c r="E18" s="56">
        <v>10000</v>
      </c>
      <c r="F18" s="25" t="s">
        <v>60</v>
      </c>
      <c r="G18" s="26" t="s">
        <v>125</v>
      </c>
      <c r="H18" s="32"/>
    </row>
    <row r="19" spans="2:8" s="18" customFormat="1" ht="33.75" x14ac:dyDescent="0.25">
      <c r="B19" s="65" t="s">
        <v>132</v>
      </c>
      <c r="C19" s="23" t="s">
        <v>92</v>
      </c>
      <c r="D19" s="23" t="s">
        <v>93</v>
      </c>
      <c r="E19" s="56">
        <v>4800</v>
      </c>
      <c r="F19" s="25" t="s">
        <v>91</v>
      </c>
      <c r="G19" s="26" t="s">
        <v>125</v>
      </c>
      <c r="H19" s="31"/>
    </row>
    <row r="20" spans="2:8" s="18" customFormat="1" ht="33.75" x14ac:dyDescent="0.25">
      <c r="B20" s="65" t="s">
        <v>132</v>
      </c>
      <c r="C20" s="23" t="s">
        <v>94</v>
      </c>
      <c r="D20" s="23" t="s">
        <v>95</v>
      </c>
      <c r="E20" s="56">
        <v>4800</v>
      </c>
      <c r="F20" s="25" t="s">
        <v>91</v>
      </c>
      <c r="G20" s="26" t="s">
        <v>125</v>
      </c>
      <c r="H20" s="31"/>
    </row>
    <row r="21" spans="2:8" s="18" customFormat="1" ht="33.75" x14ac:dyDescent="0.25">
      <c r="B21" s="65" t="s">
        <v>132</v>
      </c>
      <c r="C21" s="34">
        <v>39800000</v>
      </c>
      <c r="D21" s="34" t="s">
        <v>84</v>
      </c>
      <c r="E21" s="56">
        <v>4800</v>
      </c>
      <c r="F21" s="25" t="s">
        <v>91</v>
      </c>
      <c r="G21" s="26" t="s">
        <v>125</v>
      </c>
      <c r="H21" s="31"/>
    </row>
    <row r="22" spans="2:8" s="18" customFormat="1" ht="51.75" customHeight="1" x14ac:dyDescent="0.25">
      <c r="B22" s="65" t="s">
        <v>132</v>
      </c>
      <c r="C22" s="84">
        <v>41100000</v>
      </c>
      <c r="D22" s="85" t="s">
        <v>149</v>
      </c>
      <c r="E22" s="56">
        <v>6750</v>
      </c>
      <c r="F22" s="79" t="s">
        <v>64</v>
      </c>
      <c r="G22" s="80" t="s">
        <v>125</v>
      </c>
      <c r="H22" s="81"/>
    </row>
    <row r="23" spans="2:8" s="18" customFormat="1" ht="51.75" customHeight="1" x14ac:dyDescent="0.25">
      <c r="B23" s="65" t="s">
        <v>132</v>
      </c>
      <c r="C23" s="30">
        <v>45400000</v>
      </c>
      <c r="D23" s="34" t="s">
        <v>102</v>
      </c>
      <c r="E23" s="56">
        <v>40000</v>
      </c>
      <c r="F23" s="25" t="s">
        <v>64</v>
      </c>
      <c r="G23" s="26" t="s">
        <v>125</v>
      </c>
      <c r="H23" s="31"/>
    </row>
    <row r="24" spans="2:8" s="18" customFormat="1" ht="37.5" customHeight="1" x14ac:dyDescent="0.25">
      <c r="B24" s="65" t="s">
        <v>133</v>
      </c>
      <c r="C24" s="30">
        <v>48700000</v>
      </c>
      <c r="D24" s="23" t="s">
        <v>104</v>
      </c>
      <c r="E24" s="56">
        <v>30000</v>
      </c>
      <c r="F24" s="25" t="s">
        <v>64</v>
      </c>
      <c r="G24" s="26" t="s">
        <v>125</v>
      </c>
      <c r="H24" s="31"/>
    </row>
    <row r="25" spans="2:8" s="18" customFormat="1" ht="56.25" x14ac:dyDescent="0.25">
      <c r="B25" s="65" t="s">
        <v>132</v>
      </c>
      <c r="C25" s="78">
        <v>50100000</v>
      </c>
      <c r="D25" s="78" t="s">
        <v>44</v>
      </c>
      <c r="E25" s="56">
        <f>10000+30000</f>
        <v>40000</v>
      </c>
      <c r="F25" s="79" t="s">
        <v>61</v>
      </c>
      <c r="G25" s="80" t="s">
        <v>125</v>
      </c>
      <c r="H25" s="102" t="s">
        <v>66</v>
      </c>
    </row>
    <row r="26" spans="2:8" s="18" customFormat="1" ht="92.25" customHeight="1" x14ac:dyDescent="0.25">
      <c r="B26" s="67" t="s">
        <v>132</v>
      </c>
      <c r="C26" s="68" t="s">
        <v>59</v>
      </c>
      <c r="D26" s="68" t="s">
        <v>62</v>
      </c>
      <c r="E26" s="69">
        <f>120000-30000+15000</f>
        <v>105000</v>
      </c>
      <c r="F26" s="70" t="s">
        <v>64</v>
      </c>
      <c r="G26" s="71" t="s">
        <v>125</v>
      </c>
      <c r="H26" s="91"/>
    </row>
    <row r="27" spans="2:8" s="18" customFormat="1" ht="92.25" customHeight="1" x14ac:dyDescent="0.25">
      <c r="B27" s="65" t="s">
        <v>132</v>
      </c>
      <c r="C27" s="23" t="s">
        <v>107</v>
      </c>
      <c r="D27" s="23" t="s">
        <v>108</v>
      </c>
      <c r="E27" s="56">
        <v>50000</v>
      </c>
      <c r="F27" s="25" t="s">
        <v>64</v>
      </c>
      <c r="G27" s="26" t="s">
        <v>125</v>
      </c>
      <c r="H27" s="31"/>
    </row>
    <row r="28" spans="2:8" s="18" customFormat="1" ht="92.25" customHeight="1" x14ac:dyDescent="0.25">
      <c r="B28" s="65" t="s">
        <v>132</v>
      </c>
      <c r="C28" s="23" t="s">
        <v>105</v>
      </c>
      <c r="D28" s="23" t="s">
        <v>106</v>
      </c>
      <c r="E28" s="56">
        <v>310000</v>
      </c>
      <c r="F28" s="25" t="s">
        <v>64</v>
      </c>
      <c r="G28" s="26" t="s">
        <v>125</v>
      </c>
      <c r="H28" s="36"/>
    </row>
    <row r="29" spans="2:8" s="18" customFormat="1" ht="92.25" customHeight="1" x14ac:dyDescent="0.25">
      <c r="B29" s="65" t="s">
        <v>147</v>
      </c>
      <c r="C29" s="23" t="s">
        <v>109</v>
      </c>
      <c r="D29" s="23" t="s">
        <v>110</v>
      </c>
      <c r="E29" s="56">
        <f>60000+45000-20000</f>
        <v>85000</v>
      </c>
      <c r="F29" s="25" t="s">
        <v>64</v>
      </c>
      <c r="G29" s="26" t="s">
        <v>125</v>
      </c>
      <c r="H29" s="36"/>
    </row>
    <row r="30" spans="2:8" s="18" customFormat="1" ht="102.75" customHeight="1" x14ac:dyDescent="0.25">
      <c r="B30" s="65" t="s">
        <v>132</v>
      </c>
      <c r="C30" s="23" t="s">
        <v>86</v>
      </c>
      <c r="D30" s="23" t="s">
        <v>87</v>
      </c>
      <c r="E30" s="56">
        <v>8000</v>
      </c>
      <c r="F30" s="25" t="s">
        <v>64</v>
      </c>
      <c r="G30" s="26" t="s">
        <v>125</v>
      </c>
      <c r="H30" s="23"/>
    </row>
    <row r="31" spans="2:8" s="18" customFormat="1" ht="115.5" customHeight="1" x14ac:dyDescent="0.25">
      <c r="B31" s="65" t="s">
        <v>132</v>
      </c>
      <c r="C31" s="23">
        <v>50700000</v>
      </c>
      <c r="D31" s="23" t="s">
        <v>13</v>
      </c>
      <c r="E31" s="56">
        <f>1600000-59200</f>
        <v>1540800</v>
      </c>
      <c r="F31" s="23" t="s">
        <v>61</v>
      </c>
      <c r="G31" s="26" t="s">
        <v>125</v>
      </c>
      <c r="H31" s="23" t="s">
        <v>99</v>
      </c>
    </row>
    <row r="32" spans="2:8" s="18" customFormat="1" ht="115.5" customHeight="1" x14ac:dyDescent="0.25">
      <c r="B32" s="65" t="s">
        <v>132</v>
      </c>
      <c r="C32" s="23">
        <v>50700000</v>
      </c>
      <c r="D32" s="23" t="s">
        <v>13</v>
      </c>
      <c r="E32" s="56">
        <f>93000-45000+20000</f>
        <v>68000</v>
      </c>
      <c r="F32" s="23" t="s">
        <v>64</v>
      </c>
      <c r="G32" s="26" t="s">
        <v>125</v>
      </c>
      <c r="H32" s="23"/>
    </row>
    <row r="33" spans="2:10" s="18" customFormat="1" ht="115.5" customHeight="1" x14ac:dyDescent="0.25">
      <c r="B33" s="65" t="s">
        <v>132</v>
      </c>
      <c r="C33" s="78" t="s">
        <v>117</v>
      </c>
      <c r="D33" s="78" t="s">
        <v>118</v>
      </c>
      <c r="E33" s="56">
        <f>120000+68250</f>
        <v>188250</v>
      </c>
      <c r="F33" s="78" t="s">
        <v>64</v>
      </c>
      <c r="G33" s="80" t="s">
        <v>125</v>
      </c>
      <c r="H33" s="78"/>
    </row>
    <row r="34" spans="2:10" s="18" customFormat="1" ht="115.5" customHeight="1" x14ac:dyDescent="0.25">
      <c r="B34" s="65" t="s">
        <v>132</v>
      </c>
      <c r="C34" s="23" t="s">
        <v>111</v>
      </c>
      <c r="D34" s="23" t="s">
        <v>112</v>
      </c>
      <c r="E34" s="56">
        <v>120000</v>
      </c>
      <c r="F34" s="23" t="s">
        <v>64</v>
      </c>
      <c r="G34" s="26" t="s">
        <v>125</v>
      </c>
      <c r="H34" s="23"/>
    </row>
    <row r="35" spans="2:10" s="18" customFormat="1" ht="58.5" customHeight="1" x14ac:dyDescent="0.25">
      <c r="B35" s="65" t="s">
        <v>132</v>
      </c>
      <c r="C35" s="30">
        <v>63700000</v>
      </c>
      <c r="D35" s="23" t="s">
        <v>70</v>
      </c>
      <c r="E35" s="56">
        <v>2000</v>
      </c>
      <c r="F35" s="25" t="s">
        <v>61</v>
      </c>
      <c r="G35" s="26" t="s">
        <v>125</v>
      </c>
      <c r="H35" s="26" t="s">
        <v>85</v>
      </c>
    </row>
    <row r="36" spans="2:10" s="18" customFormat="1" ht="63.75" customHeight="1" x14ac:dyDescent="0.25">
      <c r="B36" s="65" t="s">
        <v>132</v>
      </c>
      <c r="C36" s="23" t="s">
        <v>47</v>
      </c>
      <c r="D36" s="23" t="s">
        <v>48</v>
      </c>
      <c r="E36" s="56">
        <v>6000</v>
      </c>
      <c r="F36" s="25" t="s">
        <v>64</v>
      </c>
      <c r="G36" s="26" t="s">
        <v>125</v>
      </c>
      <c r="H36" s="23"/>
    </row>
    <row r="37" spans="2:10" s="18" customFormat="1" ht="33.75" x14ac:dyDescent="0.25">
      <c r="B37" s="65" t="s">
        <v>132</v>
      </c>
      <c r="C37" s="38" t="s">
        <v>18</v>
      </c>
      <c r="D37" s="23" t="s">
        <v>46</v>
      </c>
      <c r="E37" s="56">
        <v>25000</v>
      </c>
      <c r="F37" s="25" t="s">
        <v>64</v>
      </c>
      <c r="G37" s="26" t="s">
        <v>125</v>
      </c>
      <c r="H37" s="33"/>
    </row>
    <row r="38" spans="2:10" s="18" customFormat="1" ht="56.25" x14ac:dyDescent="0.25">
      <c r="B38" s="65" t="s">
        <v>132</v>
      </c>
      <c r="C38" s="38" t="s">
        <v>18</v>
      </c>
      <c r="D38" s="23" t="s">
        <v>46</v>
      </c>
      <c r="E38" s="56">
        <v>25500</v>
      </c>
      <c r="F38" s="25" t="s">
        <v>61</v>
      </c>
      <c r="G38" s="26" t="s">
        <v>125</v>
      </c>
      <c r="H38" s="26" t="s">
        <v>96</v>
      </c>
    </row>
    <row r="39" spans="2:10" s="18" customFormat="1" ht="33.75" x14ac:dyDescent="0.25">
      <c r="B39" s="65" t="s">
        <v>132</v>
      </c>
      <c r="C39" s="38" t="s">
        <v>18</v>
      </c>
      <c r="D39" s="23" t="s">
        <v>46</v>
      </c>
      <c r="E39" s="56">
        <v>24000</v>
      </c>
      <c r="F39" s="25" t="s">
        <v>60</v>
      </c>
      <c r="G39" s="26" t="s">
        <v>125</v>
      </c>
      <c r="H39" s="33"/>
    </row>
    <row r="40" spans="2:10" s="18" customFormat="1" ht="33.75" x14ac:dyDescent="0.25">
      <c r="B40" s="65" t="s">
        <v>134</v>
      </c>
      <c r="C40" s="38" t="s">
        <v>114</v>
      </c>
      <c r="D40" s="23" t="s">
        <v>113</v>
      </c>
      <c r="E40" s="56">
        <v>30000</v>
      </c>
      <c r="F40" s="25" t="s">
        <v>64</v>
      </c>
      <c r="G40" s="26" t="s">
        <v>125</v>
      </c>
      <c r="H40" s="26"/>
    </row>
    <row r="41" spans="2:10" s="18" customFormat="1" ht="33.75" x14ac:dyDescent="0.25">
      <c r="B41" s="65" t="s">
        <v>132</v>
      </c>
      <c r="C41" s="38" t="s">
        <v>55</v>
      </c>
      <c r="D41" s="23" t="s">
        <v>56</v>
      </c>
      <c r="E41" s="56">
        <v>1680</v>
      </c>
      <c r="F41" s="25" t="s">
        <v>91</v>
      </c>
      <c r="G41" s="26" t="s">
        <v>125</v>
      </c>
      <c r="H41" s="33"/>
    </row>
    <row r="42" spans="2:10" s="18" customFormat="1" ht="57" customHeight="1" x14ac:dyDescent="0.25">
      <c r="B42" s="65" t="s">
        <v>132</v>
      </c>
      <c r="C42" s="77" t="s">
        <v>17</v>
      </c>
      <c r="D42" s="78" t="s">
        <v>16</v>
      </c>
      <c r="E42" s="56">
        <f>90000+34000</f>
        <v>124000</v>
      </c>
      <c r="F42" s="79" t="s">
        <v>61</v>
      </c>
      <c r="G42" s="80" t="s">
        <v>125</v>
      </c>
      <c r="H42" s="80" t="s">
        <v>67</v>
      </c>
    </row>
    <row r="43" spans="2:10" s="18" customFormat="1" ht="65.25" customHeight="1" x14ac:dyDescent="0.25">
      <c r="B43" s="65" t="s">
        <v>132</v>
      </c>
      <c r="C43" s="77" t="s">
        <v>17</v>
      </c>
      <c r="D43" s="78" t="s">
        <v>16</v>
      </c>
      <c r="E43" s="56">
        <f>150+400</f>
        <v>550</v>
      </c>
      <c r="F43" s="79" t="s">
        <v>61</v>
      </c>
      <c r="G43" s="80" t="s">
        <v>125</v>
      </c>
      <c r="H43" s="80"/>
      <c r="J43" s="20"/>
    </row>
    <row r="44" spans="2:10" s="18" customFormat="1" ht="56.25" x14ac:dyDescent="0.25">
      <c r="B44" s="65" t="s">
        <v>132</v>
      </c>
      <c r="C44" s="38" t="s">
        <v>77</v>
      </c>
      <c r="D44" s="23" t="s">
        <v>78</v>
      </c>
      <c r="E44" s="56">
        <v>3000</v>
      </c>
      <c r="F44" s="25" t="s">
        <v>61</v>
      </c>
      <c r="G44" s="26" t="s">
        <v>125</v>
      </c>
      <c r="H44" s="26" t="s">
        <v>79</v>
      </c>
    </row>
    <row r="45" spans="2:10" s="18" customFormat="1" ht="75" customHeight="1" x14ac:dyDescent="0.25">
      <c r="B45" s="65" t="s">
        <v>132</v>
      </c>
      <c r="C45" s="77" t="s">
        <v>25</v>
      </c>
      <c r="D45" s="78" t="s">
        <v>119</v>
      </c>
      <c r="E45" s="56">
        <v>100000</v>
      </c>
      <c r="F45" s="79" t="s">
        <v>64</v>
      </c>
      <c r="G45" s="80" t="s">
        <v>125</v>
      </c>
      <c r="H45" s="80"/>
    </row>
    <row r="46" spans="2:10" s="1" customFormat="1" ht="63.75" customHeight="1" x14ac:dyDescent="0.25">
      <c r="B46" s="104" t="s">
        <v>132</v>
      </c>
      <c r="C46" s="23" t="s">
        <v>45</v>
      </c>
      <c r="D46" s="23" t="s">
        <v>63</v>
      </c>
      <c r="E46" s="24">
        <f>6000+3850</f>
        <v>9850</v>
      </c>
      <c r="F46" s="25" t="s">
        <v>64</v>
      </c>
      <c r="G46" s="26" t="s">
        <v>125</v>
      </c>
      <c r="H46" s="26"/>
    </row>
    <row r="47" spans="2:10" s="18" customFormat="1" ht="63.75" customHeight="1" x14ac:dyDescent="0.25">
      <c r="B47" s="65" t="s">
        <v>132</v>
      </c>
      <c r="C47" s="78" t="s">
        <v>120</v>
      </c>
      <c r="D47" s="78" t="s">
        <v>121</v>
      </c>
      <c r="E47" s="56">
        <v>450</v>
      </c>
      <c r="F47" s="79" t="s">
        <v>61</v>
      </c>
      <c r="G47" s="80" t="s">
        <v>125</v>
      </c>
      <c r="H47" s="80"/>
    </row>
    <row r="48" spans="2:10" s="18" customFormat="1" ht="77.25" customHeight="1" x14ac:dyDescent="0.25">
      <c r="B48" s="65" t="s">
        <v>132</v>
      </c>
      <c r="C48" s="30">
        <v>79700000</v>
      </c>
      <c r="D48" s="23" t="s">
        <v>27</v>
      </c>
      <c r="E48" s="56">
        <v>600000</v>
      </c>
      <c r="F48" s="25" t="s">
        <v>61</v>
      </c>
      <c r="G48" s="26" t="s">
        <v>125</v>
      </c>
      <c r="H48" s="26" t="s">
        <v>80</v>
      </c>
    </row>
    <row r="49" spans="2:13" s="18" customFormat="1" ht="62.25" customHeight="1" x14ac:dyDescent="0.25">
      <c r="B49" s="65" t="s">
        <v>132</v>
      </c>
      <c r="C49" s="30">
        <v>79800000</v>
      </c>
      <c r="D49" s="23" t="s">
        <v>81</v>
      </c>
      <c r="E49" s="56">
        <v>10000</v>
      </c>
      <c r="F49" s="25" t="s">
        <v>64</v>
      </c>
      <c r="G49" s="26" t="s">
        <v>125</v>
      </c>
      <c r="H49" s="26"/>
    </row>
    <row r="50" spans="2:13" s="18" customFormat="1" ht="62.25" customHeight="1" x14ac:dyDescent="0.25">
      <c r="B50" s="65" t="s">
        <v>132</v>
      </c>
      <c r="C50" s="23" t="s">
        <v>53</v>
      </c>
      <c r="D50" s="23" t="s">
        <v>65</v>
      </c>
      <c r="E50" s="56">
        <f>20000+12000</f>
        <v>32000</v>
      </c>
      <c r="F50" s="25" t="s">
        <v>61</v>
      </c>
      <c r="G50" s="26" t="s">
        <v>125</v>
      </c>
      <c r="H50" s="23" t="s">
        <v>68</v>
      </c>
    </row>
    <row r="51" spans="2:13" s="18" customFormat="1" ht="62.25" customHeight="1" x14ac:dyDescent="0.25">
      <c r="B51" s="65" t="s">
        <v>132</v>
      </c>
      <c r="C51" s="38" t="s">
        <v>24</v>
      </c>
      <c r="D51" s="23" t="s">
        <v>71</v>
      </c>
      <c r="E51" s="56">
        <v>12000</v>
      </c>
      <c r="F51" s="25" t="s">
        <v>64</v>
      </c>
      <c r="G51" s="26" t="s">
        <v>125</v>
      </c>
      <c r="H51" s="23"/>
    </row>
    <row r="52" spans="2:13" s="18" customFormat="1" ht="62.25" customHeight="1" x14ac:dyDescent="0.25">
      <c r="B52" s="65" t="s">
        <v>132</v>
      </c>
      <c r="C52" s="38" t="s">
        <v>122</v>
      </c>
      <c r="D52" s="23" t="s">
        <v>123</v>
      </c>
      <c r="E52" s="56">
        <v>1000</v>
      </c>
      <c r="F52" s="25" t="s">
        <v>61</v>
      </c>
      <c r="G52" s="26" t="s">
        <v>125</v>
      </c>
      <c r="H52" s="23"/>
    </row>
    <row r="53" spans="2:13" s="18" customFormat="1" ht="60.75" customHeight="1" x14ac:dyDescent="0.25">
      <c r="B53" s="65" t="s">
        <v>132</v>
      </c>
      <c r="C53" s="23" t="s">
        <v>82</v>
      </c>
      <c r="D53" s="23" t="s">
        <v>83</v>
      </c>
      <c r="E53" s="56">
        <v>20000</v>
      </c>
      <c r="F53" s="25" t="s">
        <v>64</v>
      </c>
      <c r="G53" s="26" t="s">
        <v>125</v>
      </c>
      <c r="H53" s="31"/>
    </row>
    <row r="54" spans="2:13" s="18" customFormat="1" ht="36.75" customHeight="1" x14ac:dyDescent="0.25">
      <c r="B54" s="65" t="s">
        <v>132</v>
      </c>
      <c r="C54" s="78" t="s">
        <v>12</v>
      </c>
      <c r="D54" s="78" t="s">
        <v>19</v>
      </c>
      <c r="E54" s="56">
        <f>80000+110000</f>
        <v>190000</v>
      </c>
      <c r="F54" s="79" t="s">
        <v>64</v>
      </c>
      <c r="G54" s="80" t="s">
        <v>125</v>
      </c>
      <c r="H54" s="81"/>
    </row>
    <row r="55" spans="2:13" s="18" customFormat="1" ht="54.75" customHeight="1" x14ac:dyDescent="0.25">
      <c r="B55" s="65" t="s">
        <v>132</v>
      </c>
      <c r="C55" s="23" t="s">
        <v>115</v>
      </c>
      <c r="D55" s="23" t="s">
        <v>116</v>
      </c>
      <c r="E55" s="56">
        <v>15000</v>
      </c>
      <c r="F55" s="25" t="s">
        <v>61</v>
      </c>
      <c r="G55" s="26" t="s">
        <v>125</v>
      </c>
      <c r="H55" s="26" t="s">
        <v>79</v>
      </c>
    </row>
    <row r="56" spans="2:13" s="1" customFormat="1" ht="75" customHeight="1" x14ac:dyDescent="0.25">
      <c r="B56" s="126" t="s">
        <v>135</v>
      </c>
      <c r="C56" s="127"/>
      <c r="D56" s="127"/>
      <c r="E56" s="16">
        <f>SUM(E57:E60)</f>
        <v>1710000</v>
      </c>
      <c r="F56" s="13"/>
      <c r="G56" s="14"/>
      <c r="H56" s="10"/>
      <c r="I56" s="61"/>
      <c r="J56" s="62"/>
    </row>
    <row r="57" spans="2:13" s="1" customFormat="1" ht="59.25" customHeight="1" x14ac:dyDescent="0.25">
      <c r="B57" s="104" t="s">
        <v>132</v>
      </c>
      <c r="C57" s="23" t="s">
        <v>24</v>
      </c>
      <c r="D57" s="23" t="s">
        <v>71</v>
      </c>
      <c r="E57" s="24">
        <f>1710000-142500-E59-E58</f>
        <v>1314302.3999999999</v>
      </c>
      <c r="F57" s="25" t="s">
        <v>64</v>
      </c>
      <c r="G57" s="26" t="s">
        <v>125</v>
      </c>
      <c r="H57" s="41"/>
      <c r="J57" s="62"/>
    </row>
    <row r="58" spans="2:13" s="1" customFormat="1" ht="67.5" x14ac:dyDescent="0.25">
      <c r="B58" s="104" t="s">
        <v>132</v>
      </c>
      <c r="C58" s="23" t="s">
        <v>103</v>
      </c>
      <c r="D58" s="23" t="s">
        <v>71</v>
      </c>
      <c r="E58" s="24">
        <v>33000</v>
      </c>
      <c r="F58" s="25" t="s">
        <v>61</v>
      </c>
      <c r="G58" s="26" t="s">
        <v>151</v>
      </c>
      <c r="H58" s="48" t="s">
        <v>98</v>
      </c>
      <c r="J58" s="62"/>
    </row>
    <row r="59" spans="2:13" s="1" customFormat="1" ht="67.5" x14ac:dyDescent="0.25">
      <c r="B59" s="104" t="s">
        <v>132</v>
      </c>
      <c r="C59" s="23" t="s">
        <v>103</v>
      </c>
      <c r="D59" s="23" t="s">
        <v>71</v>
      </c>
      <c r="E59" s="24">
        <v>220197.6</v>
      </c>
      <c r="F59" s="25" t="s">
        <v>61</v>
      </c>
      <c r="G59" s="26" t="s">
        <v>150</v>
      </c>
      <c r="H59" s="48" t="s">
        <v>98</v>
      </c>
    </row>
    <row r="60" spans="2:13" s="1" customFormat="1" ht="98.25" customHeight="1" x14ac:dyDescent="0.25">
      <c r="B60" s="104" t="s">
        <v>132</v>
      </c>
      <c r="C60" s="23" t="s">
        <v>24</v>
      </c>
      <c r="D60" s="23" t="s">
        <v>71</v>
      </c>
      <c r="E60" s="24">
        <v>142500</v>
      </c>
      <c r="F60" s="25" t="s">
        <v>61</v>
      </c>
      <c r="G60" s="26" t="s">
        <v>125</v>
      </c>
      <c r="H60" s="48" t="s">
        <v>128</v>
      </c>
      <c r="J60" s="62"/>
    </row>
    <row r="61" spans="2:13" s="1" customFormat="1" ht="31.5" customHeight="1" x14ac:dyDescent="0.25">
      <c r="B61" s="126" t="s">
        <v>136</v>
      </c>
      <c r="C61" s="127"/>
      <c r="D61" s="127"/>
      <c r="E61" s="16">
        <f>SUM(E62:E66)</f>
        <v>22370000</v>
      </c>
      <c r="F61" s="13"/>
      <c r="G61" s="9"/>
      <c r="H61" s="10"/>
      <c r="I61" s="61"/>
      <c r="J61" s="62"/>
    </row>
    <row r="62" spans="2:13" s="1" customFormat="1" ht="75.75" customHeight="1" x14ac:dyDescent="0.25">
      <c r="B62" s="104" t="s">
        <v>132</v>
      </c>
      <c r="C62" s="23" t="s">
        <v>7</v>
      </c>
      <c r="D62" s="23" t="s">
        <v>57</v>
      </c>
      <c r="E62" s="24">
        <f>3750000+400000</f>
        <v>4150000</v>
      </c>
      <c r="F62" s="25" t="s">
        <v>61</v>
      </c>
      <c r="G62" s="26" t="s">
        <v>125</v>
      </c>
      <c r="H62" s="48" t="s">
        <v>97</v>
      </c>
    </row>
    <row r="63" spans="2:13" s="1" customFormat="1" ht="75.75" customHeight="1" x14ac:dyDescent="0.25">
      <c r="B63" s="66" t="s">
        <v>133</v>
      </c>
      <c r="C63" s="23" t="s">
        <v>7</v>
      </c>
      <c r="D63" s="23" t="s">
        <v>57</v>
      </c>
      <c r="E63" s="24">
        <v>100000</v>
      </c>
      <c r="F63" s="25" t="s">
        <v>61</v>
      </c>
      <c r="G63" s="26" t="s">
        <v>125</v>
      </c>
      <c r="H63" s="48" t="s">
        <v>97</v>
      </c>
    </row>
    <row r="64" spans="2:13" s="1" customFormat="1" ht="121.5" customHeight="1" x14ac:dyDescent="0.25">
      <c r="B64" s="104" t="s">
        <v>132</v>
      </c>
      <c r="C64" s="23">
        <v>33600000</v>
      </c>
      <c r="D64" s="23" t="s">
        <v>29</v>
      </c>
      <c r="E64" s="24">
        <f>1440000+270000-22680</f>
        <v>1687320</v>
      </c>
      <c r="F64" s="25" t="s">
        <v>64</v>
      </c>
      <c r="G64" s="26" t="s">
        <v>125</v>
      </c>
      <c r="H64" s="41"/>
      <c r="J64" s="62"/>
      <c r="L64" s="62"/>
      <c r="M64" s="62"/>
    </row>
    <row r="65" spans="2:13" s="1" customFormat="1" ht="121.5" customHeight="1" x14ac:dyDescent="0.25">
      <c r="B65" s="104" t="s">
        <v>132</v>
      </c>
      <c r="C65" s="23" t="s">
        <v>32</v>
      </c>
      <c r="D65" s="23" t="s">
        <v>29</v>
      </c>
      <c r="E65" s="24">
        <v>22680</v>
      </c>
      <c r="F65" s="25" t="s">
        <v>61</v>
      </c>
      <c r="G65" s="26" t="s">
        <v>150</v>
      </c>
      <c r="H65" s="48" t="s">
        <v>157</v>
      </c>
      <c r="J65" s="62"/>
      <c r="L65" s="62"/>
      <c r="M65" s="62"/>
    </row>
    <row r="66" spans="2:13" s="1" customFormat="1" ht="87.75" customHeight="1" x14ac:dyDescent="0.25">
      <c r="B66" s="104" t="s">
        <v>132</v>
      </c>
      <c r="C66" s="23" t="s">
        <v>32</v>
      </c>
      <c r="D66" s="23" t="s">
        <v>29</v>
      </c>
      <c r="E66" s="24">
        <v>16410000</v>
      </c>
      <c r="F66" s="25" t="s">
        <v>61</v>
      </c>
      <c r="G66" s="26" t="s">
        <v>125</v>
      </c>
      <c r="H66" s="48" t="s">
        <v>98</v>
      </c>
      <c r="J66" s="62"/>
      <c r="K66" s="62"/>
    </row>
    <row r="67" spans="2:13" s="1" customFormat="1" ht="60" customHeight="1" x14ac:dyDescent="0.25">
      <c r="B67" s="126" t="s">
        <v>137</v>
      </c>
      <c r="C67" s="127"/>
      <c r="D67" s="127"/>
      <c r="E67" s="16">
        <f>SUM(E68:E72)</f>
        <v>1700000</v>
      </c>
      <c r="F67" s="13"/>
      <c r="G67" s="14"/>
      <c r="H67" s="10"/>
      <c r="I67" s="61"/>
      <c r="J67" s="105"/>
    </row>
    <row r="68" spans="2:13" s="1" customFormat="1" ht="36.75" customHeight="1" x14ac:dyDescent="0.25">
      <c r="B68" s="104" t="s">
        <v>132</v>
      </c>
      <c r="C68" s="23" t="s">
        <v>7</v>
      </c>
      <c r="D68" s="23" t="s">
        <v>28</v>
      </c>
      <c r="E68" s="24">
        <v>52272.9</v>
      </c>
      <c r="F68" s="25" t="s">
        <v>64</v>
      </c>
      <c r="G68" s="26" t="s">
        <v>125</v>
      </c>
      <c r="H68" s="41"/>
    </row>
    <row r="69" spans="2:13" s="1" customFormat="1" ht="51" customHeight="1" x14ac:dyDescent="0.25">
      <c r="B69" s="104" t="s">
        <v>132</v>
      </c>
      <c r="C69" s="23" t="s">
        <v>32</v>
      </c>
      <c r="D69" s="23" t="s">
        <v>29</v>
      </c>
      <c r="E69" s="24">
        <f>200847.5-132940.36</f>
        <v>67907.140000000014</v>
      </c>
      <c r="F69" s="25" t="s">
        <v>64</v>
      </c>
      <c r="G69" s="26" t="s">
        <v>125</v>
      </c>
      <c r="H69" s="41"/>
      <c r="J69" s="62"/>
    </row>
    <row r="70" spans="2:13" s="1" customFormat="1" ht="45" customHeight="1" x14ac:dyDescent="0.25">
      <c r="B70" s="104" t="s">
        <v>132</v>
      </c>
      <c r="C70" s="23" t="s">
        <v>89</v>
      </c>
      <c r="D70" s="23" t="s">
        <v>90</v>
      </c>
      <c r="E70" s="24">
        <f>816000-200000</f>
        <v>616000</v>
      </c>
      <c r="F70" s="25" t="s">
        <v>64</v>
      </c>
      <c r="G70" s="26" t="s">
        <v>125</v>
      </c>
      <c r="H70" s="48"/>
    </row>
    <row r="71" spans="2:13" s="1" customFormat="1" ht="78.75" x14ac:dyDescent="0.25">
      <c r="B71" s="104" t="s">
        <v>132</v>
      </c>
      <c r="C71" s="23" t="s">
        <v>24</v>
      </c>
      <c r="D71" s="23" t="s">
        <v>71</v>
      </c>
      <c r="E71" s="24">
        <v>69239.960000000006</v>
      </c>
      <c r="F71" s="25" t="s">
        <v>61</v>
      </c>
      <c r="G71" s="26" t="s">
        <v>125</v>
      </c>
      <c r="H71" s="48" t="s">
        <v>129</v>
      </c>
      <c r="J71" s="62"/>
    </row>
    <row r="72" spans="2:13" s="1" customFormat="1" ht="67.5" x14ac:dyDescent="0.25">
      <c r="B72" s="104" t="s">
        <v>132</v>
      </c>
      <c r="C72" s="23" t="s">
        <v>24</v>
      </c>
      <c r="D72" s="23" t="s">
        <v>71</v>
      </c>
      <c r="E72" s="24">
        <f>894580</f>
        <v>894580</v>
      </c>
      <c r="F72" s="25" t="s">
        <v>61</v>
      </c>
      <c r="G72" s="26" t="s">
        <v>152</v>
      </c>
      <c r="H72" s="48" t="s">
        <v>98</v>
      </c>
    </row>
    <row r="73" spans="2:13" s="1" customFormat="1" ht="65.25" customHeight="1" x14ac:dyDescent="0.25">
      <c r="B73" s="126" t="s">
        <v>138</v>
      </c>
      <c r="C73" s="127"/>
      <c r="D73" s="127"/>
      <c r="E73" s="16">
        <f>SUM(E74:E76)</f>
        <v>1753700.5</v>
      </c>
      <c r="F73" s="13"/>
      <c r="G73" s="14"/>
      <c r="H73" s="10"/>
      <c r="I73" s="61"/>
      <c r="J73" s="62"/>
    </row>
    <row r="74" spans="2:13" s="1" customFormat="1" ht="33.75" x14ac:dyDescent="0.25">
      <c r="B74" s="104" t="s">
        <v>132</v>
      </c>
      <c r="C74" s="36" t="s">
        <v>25</v>
      </c>
      <c r="D74" s="36" t="s">
        <v>69</v>
      </c>
      <c r="E74" s="24">
        <v>55000</v>
      </c>
      <c r="F74" s="43" t="s">
        <v>64</v>
      </c>
      <c r="G74" s="26" t="s">
        <v>125</v>
      </c>
      <c r="H74" s="44"/>
    </row>
    <row r="75" spans="2:13" s="1" customFormat="1" ht="78.75" x14ac:dyDescent="0.25">
      <c r="B75" s="104" t="s">
        <v>132</v>
      </c>
      <c r="C75" s="23">
        <v>85100000</v>
      </c>
      <c r="D75" s="23" t="s">
        <v>71</v>
      </c>
      <c r="E75" s="24">
        <v>127500.5</v>
      </c>
      <c r="F75" s="25" t="s">
        <v>61</v>
      </c>
      <c r="G75" s="26" t="s">
        <v>125</v>
      </c>
      <c r="H75" s="45" t="s">
        <v>124</v>
      </c>
    </row>
    <row r="76" spans="2:13" s="1" customFormat="1" ht="60.75" customHeight="1" x14ac:dyDescent="0.25">
      <c r="B76" s="104" t="s">
        <v>132</v>
      </c>
      <c r="C76" s="23">
        <v>85100000</v>
      </c>
      <c r="D76" s="23" t="s">
        <v>71</v>
      </c>
      <c r="E76" s="24">
        <f>1460000+111200</f>
        <v>1571200</v>
      </c>
      <c r="F76" s="25" t="s">
        <v>61</v>
      </c>
      <c r="G76" s="26" t="s">
        <v>125</v>
      </c>
      <c r="H76" s="48" t="s">
        <v>98</v>
      </c>
      <c r="K76" s="62"/>
    </row>
    <row r="77" spans="2:13" s="1" customFormat="1" ht="61.5" customHeight="1" x14ac:dyDescent="0.25">
      <c r="B77" s="126" t="s">
        <v>139</v>
      </c>
      <c r="C77" s="127"/>
      <c r="D77" s="127"/>
      <c r="E77" s="16">
        <f>SUM(E78:E79)</f>
        <v>184166.6</v>
      </c>
      <c r="F77" s="13"/>
      <c r="G77" s="14"/>
      <c r="H77" s="10"/>
      <c r="I77" s="61"/>
      <c r="J77" s="62"/>
    </row>
    <row r="78" spans="2:13" s="18" customFormat="1" ht="70.5" customHeight="1" x14ac:dyDescent="0.25">
      <c r="B78" s="65" t="s">
        <v>132</v>
      </c>
      <c r="C78" s="23" t="s">
        <v>24</v>
      </c>
      <c r="D78" s="23" t="s">
        <v>71</v>
      </c>
      <c r="E78" s="56">
        <v>14166.6</v>
      </c>
      <c r="F78" s="25" t="s">
        <v>61</v>
      </c>
      <c r="G78" s="26" t="s">
        <v>125</v>
      </c>
      <c r="H78" s="48" t="s">
        <v>76</v>
      </c>
    </row>
    <row r="79" spans="2:13" s="1" customFormat="1" ht="75" customHeight="1" x14ac:dyDescent="0.25">
      <c r="B79" s="104" t="s">
        <v>132</v>
      </c>
      <c r="C79" s="23" t="s">
        <v>24</v>
      </c>
      <c r="D79" s="23" t="s">
        <v>71</v>
      </c>
      <c r="E79" s="24">
        <v>170000</v>
      </c>
      <c r="F79" s="25" t="s">
        <v>61</v>
      </c>
      <c r="G79" s="26" t="s">
        <v>125</v>
      </c>
      <c r="H79" s="48" t="s">
        <v>98</v>
      </c>
    </row>
    <row r="80" spans="2:13" s="1" customFormat="1" ht="65.25" customHeight="1" x14ac:dyDescent="0.25">
      <c r="B80" s="121" t="s">
        <v>140</v>
      </c>
      <c r="C80" s="122"/>
      <c r="D80" s="122"/>
      <c r="E80" s="16">
        <f>SUM(E81:E85)</f>
        <v>1350000</v>
      </c>
      <c r="F80" s="13"/>
      <c r="G80" s="14"/>
      <c r="H80" s="60"/>
      <c r="I80" s="61"/>
      <c r="J80" s="62"/>
    </row>
    <row r="81" spans="2:10" s="1" customFormat="1" ht="49.5" customHeight="1" x14ac:dyDescent="0.25">
      <c r="B81" s="104" t="s">
        <v>132</v>
      </c>
      <c r="C81" s="23" t="s">
        <v>14</v>
      </c>
      <c r="D81" s="23" t="s">
        <v>15</v>
      </c>
      <c r="E81" s="24">
        <v>24200</v>
      </c>
      <c r="F81" s="25" t="s">
        <v>60</v>
      </c>
      <c r="G81" s="26" t="s">
        <v>125</v>
      </c>
      <c r="H81" s="41"/>
    </row>
    <row r="82" spans="2:10" s="1" customFormat="1" ht="33.75" x14ac:dyDescent="0.25">
      <c r="B82" s="104" t="s">
        <v>132</v>
      </c>
      <c r="C82" s="28">
        <v>33100000</v>
      </c>
      <c r="D82" s="28" t="s">
        <v>28</v>
      </c>
      <c r="E82" s="24">
        <f>240004-87983</f>
        <v>152021</v>
      </c>
      <c r="F82" s="29" t="s">
        <v>64</v>
      </c>
      <c r="G82" s="26" t="s">
        <v>125</v>
      </c>
      <c r="H82" s="46"/>
    </row>
    <row r="83" spans="2:10" s="1" customFormat="1" ht="60.75" customHeight="1" x14ac:dyDescent="0.25">
      <c r="B83" s="104" t="s">
        <v>132</v>
      </c>
      <c r="C83" s="23" t="s">
        <v>59</v>
      </c>
      <c r="D83" s="23" t="s">
        <v>44</v>
      </c>
      <c r="E83" s="24">
        <v>15000</v>
      </c>
      <c r="F83" s="25" t="s">
        <v>64</v>
      </c>
      <c r="G83" s="26" t="s">
        <v>125</v>
      </c>
      <c r="H83" s="41"/>
    </row>
    <row r="84" spans="2:10" s="1" customFormat="1" ht="75" customHeight="1" x14ac:dyDescent="0.25">
      <c r="B84" s="104" t="s">
        <v>132</v>
      </c>
      <c r="C84" s="23">
        <v>85100000</v>
      </c>
      <c r="D84" s="23" t="s">
        <v>71</v>
      </c>
      <c r="E84" s="24">
        <v>48983</v>
      </c>
      <c r="F84" s="25" t="s">
        <v>61</v>
      </c>
      <c r="G84" s="26" t="s">
        <v>125</v>
      </c>
      <c r="H84" s="48" t="s">
        <v>126</v>
      </c>
      <c r="J84" s="62">
        <f>E80-1350000</f>
        <v>0</v>
      </c>
    </row>
    <row r="85" spans="2:10" s="1" customFormat="1" ht="65.25" customHeight="1" x14ac:dyDescent="0.25">
      <c r="B85" s="104" t="s">
        <v>132</v>
      </c>
      <c r="C85" s="23">
        <v>85100000</v>
      </c>
      <c r="D85" s="23" t="s">
        <v>71</v>
      </c>
      <c r="E85" s="24">
        <f>1071996+37800</f>
        <v>1109796</v>
      </c>
      <c r="F85" s="25" t="s">
        <v>61</v>
      </c>
      <c r="G85" s="26" t="s">
        <v>125</v>
      </c>
      <c r="H85" s="48" t="s">
        <v>98</v>
      </c>
    </row>
    <row r="86" spans="2:10" s="1" customFormat="1" ht="80.25" customHeight="1" x14ac:dyDescent="0.25">
      <c r="B86" s="126" t="s">
        <v>141</v>
      </c>
      <c r="C86" s="127"/>
      <c r="D86" s="127"/>
      <c r="E86" s="16">
        <f>SUM(E87:E87)</f>
        <v>1250000</v>
      </c>
      <c r="F86" s="13"/>
      <c r="G86" s="14"/>
      <c r="H86" s="10"/>
      <c r="I86" s="61"/>
      <c r="J86" s="62"/>
    </row>
    <row r="87" spans="2:10" s="1" customFormat="1" ht="84.75" customHeight="1" x14ac:dyDescent="0.25">
      <c r="B87" s="104" t="s">
        <v>132</v>
      </c>
      <c r="C87" s="23" t="s">
        <v>32</v>
      </c>
      <c r="D87" s="23" t="s">
        <v>29</v>
      </c>
      <c r="E87" s="24">
        <v>1250000</v>
      </c>
      <c r="F87" s="25" t="s">
        <v>61</v>
      </c>
      <c r="G87" s="26" t="s">
        <v>125</v>
      </c>
      <c r="H87" s="48" t="s">
        <v>98</v>
      </c>
    </row>
    <row r="88" spans="2:10" s="1" customFormat="1" ht="57.75" customHeight="1" x14ac:dyDescent="0.25">
      <c r="B88" s="119" t="s">
        <v>142</v>
      </c>
      <c r="C88" s="120"/>
      <c r="D88" s="120"/>
      <c r="E88" s="57">
        <f>SUM(E89:E92)</f>
        <v>4000000</v>
      </c>
      <c r="F88" s="58"/>
      <c r="G88" s="58"/>
      <c r="H88" s="59"/>
      <c r="I88" s="61"/>
      <c r="J88" s="62"/>
    </row>
    <row r="89" spans="2:10" s="18" customFormat="1" ht="29.25" customHeight="1" x14ac:dyDescent="0.25">
      <c r="B89" s="65" t="s">
        <v>132</v>
      </c>
      <c r="C89" s="38">
        <v>33100000</v>
      </c>
      <c r="D89" s="23" t="s">
        <v>8</v>
      </c>
      <c r="E89" s="56">
        <v>124876.2</v>
      </c>
      <c r="F89" s="25" t="s">
        <v>64</v>
      </c>
      <c r="G89" s="26" t="s">
        <v>125</v>
      </c>
      <c r="H89" s="26"/>
    </row>
    <row r="90" spans="2:10" s="1" customFormat="1" ht="33.75" x14ac:dyDescent="0.25">
      <c r="B90" s="104" t="s">
        <v>132</v>
      </c>
      <c r="C90" s="38" t="s">
        <v>32</v>
      </c>
      <c r="D90" s="23" t="s">
        <v>9</v>
      </c>
      <c r="E90" s="24">
        <f>2995349.4-3495.8-99984.41</f>
        <v>2891869.19</v>
      </c>
      <c r="F90" s="25" t="s">
        <v>64</v>
      </c>
      <c r="G90" s="26" t="s">
        <v>125</v>
      </c>
      <c r="H90" s="26"/>
    </row>
    <row r="91" spans="2:10" s="1" customFormat="1" ht="67.5" x14ac:dyDescent="0.25">
      <c r="B91" s="104" t="s">
        <v>132</v>
      </c>
      <c r="C91" s="38" t="s">
        <v>24</v>
      </c>
      <c r="D91" s="23" t="s">
        <v>71</v>
      </c>
      <c r="E91" s="24">
        <v>73605.850000000006</v>
      </c>
      <c r="F91" s="25" t="s">
        <v>61</v>
      </c>
      <c r="G91" s="26" t="s">
        <v>125</v>
      </c>
      <c r="H91" s="45" t="s">
        <v>127</v>
      </c>
    </row>
    <row r="92" spans="2:10" s="1" customFormat="1" ht="83.25" customHeight="1" x14ac:dyDescent="0.25">
      <c r="B92" s="104" t="s">
        <v>132</v>
      </c>
      <c r="C92" s="23" t="s">
        <v>24</v>
      </c>
      <c r="D92" s="23" t="s">
        <v>71</v>
      </c>
      <c r="E92" s="24">
        <v>909648.76</v>
      </c>
      <c r="F92" s="25" t="s">
        <v>61</v>
      </c>
      <c r="G92" s="26" t="s">
        <v>152</v>
      </c>
      <c r="H92" s="32" t="s">
        <v>98</v>
      </c>
    </row>
    <row r="93" spans="2:10" ht="122.25" customHeight="1" x14ac:dyDescent="0.25">
      <c r="B93" s="126" t="s">
        <v>143</v>
      </c>
      <c r="C93" s="127"/>
      <c r="D93" s="127"/>
      <c r="E93" s="16">
        <f>SUM(E94)</f>
        <v>2190000</v>
      </c>
      <c r="F93" s="13"/>
      <c r="G93" s="14"/>
      <c r="H93" s="10"/>
      <c r="I93" s="61"/>
      <c r="J93" s="63">
        <f>E88-4000000</f>
        <v>0</v>
      </c>
    </row>
    <row r="94" spans="2:10" s="1" customFormat="1" ht="117.75" customHeight="1" x14ac:dyDescent="0.25">
      <c r="B94" s="104" t="s">
        <v>132</v>
      </c>
      <c r="C94" s="23" t="s">
        <v>32</v>
      </c>
      <c r="D94" s="23" t="s">
        <v>29</v>
      </c>
      <c r="E94" s="24">
        <v>2190000</v>
      </c>
      <c r="F94" s="25" t="s">
        <v>61</v>
      </c>
      <c r="G94" s="26" t="s">
        <v>152</v>
      </c>
      <c r="H94" s="48" t="s">
        <v>98</v>
      </c>
    </row>
    <row r="95" spans="2:10" s="1" customFormat="1" ht="57" customHeight="1" x14ac:dyDescent="0.25">
      <c r="B95" s="121" t="s">
        <v>144</v>
      </c>
      <c r="C95" s="122"/>
      <c r="D95" s="122"/>
      <c r="E95" s="16">
        <f>SUM(E96:E100)</f>
        <v>474000</v>
      </c>
      <c r="F95" s="13"/>
      <c r="G95" s="60"/>
      <c r="H95" s="60"/>
      <c r="I95" s="61"/>
      <c r="J95" s="62"/>
    </row>
    <row r="96" spans="2:10" s="1" customFormat="1" ht="59.25" customHeight="1" x14ac:dyDescent="0.25">
      <c r="B96" s="104" t="s">
        <v>148</v>
      </c>
      <c r="C96" s="23">
        <v>33100000</v>
      </c>
      <c r="D96" s="23" t="s">
        <v>28</v>
      </c>
      <c r="E96" s="24">
        <f>20000+14559.87+22385.83</f>
        <v>56945.700000000004</v>
      </c>
      <c r="F96" s="25" t="s">
        <v>64</v>
      </c>
      <c r="G96" s="26" t="s">
        <v>125</v>
      </c>
      <c r="H96" s="41"/>
    </row>
    <row r="97" spans="2:11" s="1" customFormat="1" ht="38.25" x14ac:dyDescent="0.25">
      <c r="B97" s="104" t="s">
        <v>148</v>
      </c>
      <c r="C97" s="36">
        <v>33600000</v>
      </c>
      <c r="D97" s="36" t="s">
        <v>29</v>
      </c>
      <c r="E97" s="24">
        <f>266824.3+68000-17770</f>
        <v>317054.3</v>
      </c>
      <c r="F97" s="43" t="s">
        <v>64</v>
      </c>
      <c r="G97" s="26" t="s">
        <v>125</v>
      </c>
      <c r="H97" s="44"/>
    </row>
    <row r="98" spans="2:11" s="1" customFormat="1" ht="78.75" x14ac:dyDescent="0.25">
      <c r="B98" s="104" t="s">
        <v>132</v>
      </c>
      <c r="C98" s="38" t="s">
        <v>103</v>
      </c>
      <c r="D98" s="23" t="s">
        <v>71</v>
      </c>
      <c r="E98" s="24">
        <v>8645.83</v>
      </c>
      <c r="F98" s="25" t="s">
        <v>61</v>
      </c>
      <c r="G98" s="26" t="s">
        <v>125</v>
      </c>
      <c r="H98" s="45" t="s">
        <v>130</v>
      </c>
    </row>
    <row r="99" spans="2:11" s="1" customFormat="1" ht="67.5" x14ac:dyDescent="0.25">
      <c r="B99" s="104" t="s">
        <v>132</v>
      </c>
      <c r="C99" s="38" t="s">
        <v>103</v>
      </c>
      <c r="D99" s="23" t="s">
        <v>71</v>
      </c>
      <c r="E99" s="24">
        <v>13740</v>
      </c>
      <c r="F99" s="25" t="s">
        <v>61</v>
      </c>
      <c r="G99" s="26" t="s">
        <v>152</v>
      </c>
      <c r="H99" s="48" t="s">
        <v>98</v>
      </c>
      <c r="J99" s="62"/>
      <c r="K99" s="62"/>
    </row>
    <row r="100" spans="2:11" s="1" customFormat="1" ht="51" customHeight="1" x14ac:dyDescent="0.25">
      <c r="B100" s="104" t="s">
        <v>132</v>
      </c>
      <c r="C100" s="38" t="s">
        <v>24</v>
      </c>
      <c r="D100" s="23" t="s">
        <v>71</v>
      </c>
      <c r="E100" s="24">
        <v>77614.17</v>
      </c>
      <c r="F100" s="25" t="s">
        <v>64</v>
      </c>
      <c r="G100" s="26" t="s">
        <v>153</v>
      </c>
      <c r="H100" s="45"/>
      <c r="J100" s="62"/>
      <c r="K100" s="62"/>
    </row>
    <row r="101" spans="2:11" ht="59.25" customHeight="1" x14ac:dyDescent="0.25">
      <c r="B101" s="126" t="s">
        <v>145</v>
      </c>
      <c r="C101" s="127"/>
      <c r="D101" s="127"/>
      <c r="E101" s="16">
        <f>SUM(E102:E104)</f>
        <v>2100000</v>
      </c>
      <c r="F101" s="13"/>
      <c r="G101" s="14"/>
      <c r="H101" s="10"/>
      <c r="I101" s="61"/>
      <c r="J101" s="63"/>
    </row>
    <row r="102" spans="2:11" s="18" customFormat="1" ht="42.75" customHeight="1" x14ac:dyDescent="0.25">
      <c r="B102" s="65" t="s">
        <v>132</v>
      </c>
      <c r="C102" s="23" t="s">
        <v>25</v>
      </c>
      <c r="D102" s="23" t="s">
        <v>69</v>
      </c>
      <c r="E102" s="56">
        <f>2100000-115976</f>
        <v>1984024</v>
      </c>
      <c r="F102" s="25" t="s">
        <v>64</v>
      </c>
      <c r="G102" s="26" t="s">
        <v>125</v>
      </c>
      <c r="H102" s="53"/>
    </row>
    <row r="103" spans="2:11" s="18" customFormat="1" ht="42.75" customHeight="1" x14ac:dyDescent="0.25">
      <c r="B103" s="67" t="s">
        <v>132</v>
      </c>
      <c r="C103" s="68" t="s">
        <v>156</v>
      </c>
      <c r="D103" s="68" t="s">
        <v>69</v>
      </c>
      <c r="E103" s="69">
        <f>5976</f>
        <v>5976</v>
      </c>
      <c r="F103" s="70" t="s">
        <v>61</v>
      </c>
      <c r="G103" s="71" t="s">
        <v>152</v>
      </c>
      <c r="H103" s="92" t="s">
        <v>98</v>
      </c>
    </row>
    <row r="104" spans="2:11" s="1" customFormat="1" ht="80.25" customHeight="1" x14ac:dyDescent="0.25">
      <c r="B104" s="67" t="s">
        <v>132</v>
      </c>
      <c r="C104" s="68" t="s">
        <v>154</v>
      </c>
      <c r="D104" s="68" t="s">
        <v>155</v>
      </c>
      <c r="E104" s="69">
        <f>115976-5976</f>
        <v>110000</v>
      </c>
      <c r="F104" s="70" t="s">
        <v>61</v>
      </c>
      <c r="G104" s="71" t="s">
        <v>152</v>
      </c>
      <c r="H104" s="92" t="s">
        <v>98</v>
      </c>
    </row>
    <row r="105" spans="2:11" ht="70.5" customHeight="1" x14ac:dyDescent="0.25">
      <c r="B105" s="126" t="s">
        <v>146</v>
      </c>
      <c r="C105" s="127"/>
      <c r="D105" s="127"/>
      <c r="E105" s="16">
        <f>SUM(E106:E108)</f>
        <v>442800</v>
      </c>
      <c r="F105" s="13"/>
      <c r="G105" s="14"/>
      <c r="H105" s="10"/>
      <c r="I105" s="61"/>
      <c r="J105" s="63"/>
    </row>
    <row r="106" spans="2:11" s="18" customFormat="1" ht="33.75" x14ac:dyDescent="0.25">
      <c r="B106" s="65" t="s">
        <v>132</v>
      </c>
      <c r="C106" s="99" t="s">
        <v>32</v>
      </c>
      <c r="D106" s="99" t="s">
        <v>29</v>
      </c>
      <c r="E106" s="56">
        <f>264000-4020</f>
        <v>259980</v>
      </c>
      <c r="F106" s="100" t="s">
        <v>64</v>
      </c>
      <c r="G106" s="80" t="s">
        <v>125</v>
      </c>
      <c r="H106" s="101"/>
    </row>
    <row r="107" spans="2:11" s="18" customFormat="1" ht="33.75" x14ac:dyDescent="0.25">
      <c r="B107" s="65" t="s">
        <v>132</v>
      </c>
      <c r="C107" s="28" t="s">
        <v>7</v>
      </c>
      <c r="D107" s="28" t="s">
        <v>28</v>
      </c>
      <c r="E107" s="24">
        <v>132000</v>
      </c>
      <c r="F107" s="29" t="s">
        <v>64</v>
      </c>
      <c r="G107" s="26" t="s">
        <v>125</v>
      </c>
      <c r="H107" s="55"/>
    </row>
    <row r="108" spans="2:11" s="1" customFormat="1" ht="33.75" x14ac:dyDescent="0.25">
      <c r="B108" s="104" t="s">
        <v>132</v>
      </c>
      <c r="C108" s="23" t="s">
        <v>14</v>
      </c>
      <c r="D108" s="23" t="s">
        <v>40</v>
      </c>
      <c r="E108" s="24">
        <f>4020+46800</f>
        <v>50820</v>
      </c>
      <c r="F108" s="25" t="s">
        <v>60</v>
      </c>
      <c r="G108" s="26" t="s">
        <v>125</v>
      </c>
      <c r="H108" s="23"/>
    </row>
  </sheetData>
  <autoFilter ref="A8:H108"/>
  <mergeCells count="20">
    <mergeCell ref="B101:D101"/>
    <mergeCell ref="B105:D105"/>
    <mergeCell ref="B77:D77"/>
    <mergeCell ref="B80:D80"/>
    <mergeCell ref="B86:D86"/>
    <mergeCell ref="B88:D88"/>
    <mergeCell ref="B93:D93"/>
    <mergeCell ref="B95:D95"/>
    <mergeCell ref="B73:D73"/>
    <mergeCell ref="B2:H2"/>
    <mergeCell ref="B3:H3"/>
    <mergeCell ref="B4:E4"/>
    <mergeCell ref="F4:H4"/>
    <mergeCell ref="B5:E5"/>
    <mergeCell ref="F5:H5"/>
    <mergeCell ref="B6:F6"/>
    <mergeCell ref="B9:D9"/>
    <mergeCell ref="B56:D56"/>
    <mergeCell ref="B61:D61"/>
    <mergeCell ref="B67:D67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09"/>
  <sheetViews>
    <sheetView topLeftCell="B49" zoomScaleNormal="100" zoomScaleSheetLayoutView="80" workbookViewId="0">
      <selection activeCell="E45" sqref="E45"/>
    </sheetView>
  </sheetViews>
  <sheetFormatPr defaultRowHeight="15" x14ac:dyDescent="0.2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1.5703125" bestFit="1" customWidth="1"/>
    <col min="12" max="12" width="14.28515625" bestFit="1" customWidth="1"/>
    <col min="13" max="13" width="11.5703125" bestFit="1" customWidth="1"/>
  </cols>
  <sheetData>
    <row r="2" spans="2:8" ht="18.75" x14ac:dyDescent="0.25">
      <c r="B2" s="123" t="s">
        <v>41</v>
      </c>
      <c r="C2" s="123"/>
      <c r="D2" s="123"/>
      <c r="E2" s="123"/>
      <c r="F2" s="123"/>
      <c r="G2" s="123"/>
      <c r="H2" s="123"/>
    </row>
    <row r="3" spans="2:8" ht="18.75" x14ac:dyDescent="0.3">
      <c r="B3" s="124" t="s">
        <v>4</v>
      </c>
      <c r="C3" s="124"/>
      <c r="D3" s="124"/>
      <c r="E3" s="124"/>
      <c r="F3" s="124"/>
      <c r="G3" s="124"/>
      <c r="H3" s="124"/>
    </row>
    <row r="4" spans="2:8" x14ac:dyDescent="0.25">
      <c r="B4" s="125" t="s">
        <v>54</v>
      </c>
      <c r="C4" s="125"/>
      <c r="D4" s="125"/>
      <c r="E4" s="125"/>
      <c r="F4" s="125" t="s">
        <v>21</v>
      </c>
      <c r="G4" s="125"/>
      <c r="H4" s="125"/>
    </row>
    <row r="5" spans="2:8" x14ac:dyDescent="0.25">
      <c r="B5" s="125" t="s">
        <v>20</v>
      </c>
      <c r="C5" s="125"/>
      <c r="D5" s="125"/>
      <c r="E5" s="125"/>
      <c r="F5" s="125" t="s">
        <v>10</v>
      </c>
      <c r="G5" s="125"/>
      <c r="H5" s="125"/>
    </row>
    <row r="6" spans="2:8" ht="24.75" customHeight="1" x14ac:dyDescent="0.25">
      <c r="B6" s="115" t="s">
        <v>22</v>
      </c>
      <c r="C6" s="116"/>
      <c r="D6" s="116"/>
      <c r="E6" s="116"/>
      <c r="F6" s="116"/>
      <c r="G6" s="2">
        <f>E9+E57+E62+E68+E74+E78+E81+E87+E89+E94+E96+E102+E106</f>
        <v>43701916.100000001</v>
      </c>
      <c r="H6" s="3" t="s">
        <v>23</v>
      </c>
    </row>
    <row r="7" spans="2:8" ht="25.5" x14ac:dyDescent="0.2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 x14ac:dyDescent="0.25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customHeight="1" x14ac:dyDescent="0.25">
      <c r="B9" s="117" t="s">
        <v>131</v>
      </c>
      <c r="C9" s="118"/>
      <c r="D9" s="118"/>
      <c r="E9" s="15">
        <f>SUM(E10:E56)</f>
        <v>4177249</v>
      </c>
      <c r="F9" s="11"/>
      <c r="G9" s="9"/>
      <c r="H9" s="10"/>
    </row>
    <row r="10" spans="2:8" s="18" customFormat="1" ht="33.75" x14ac:dyDescent="0.2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8" s="18" customFormat="1" ht="33.75" x14ac:dyDescent="0.2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8" s="18" customFormat="1" ht="33.75" x14ac:dyDescent="0.25">
      <c r="B12" s="65" t="s">
        <v>132</v>
      </c>
      <c r="C12" s="23" t="s">
        <v>100</v>
      </c>
      <c r="D12" s="23" t="s">
        <v>101</v>
      </c>
      <c r="E12" s="56">
        <v>500</v>
      </c>
      <c r="F12" s="25" t="s">
        <v>61</v>
      </c>
      <c r="G12" s="26" t="s">
        <v>125</v>
      </c>
      <c r="H12" s="23"/>
    </row>
    <row r="13" spans="2:8" s="19" customFormat="1" ht="33.75" x14ac:dyDescent="0.25">
      <c r="B13" s="65" t="s">
        <v>132</v>
      </c>
      <c r="C13" s="28" t="s">
        <v>50</v>
      </c>
      <c r="D13" s="28" t="s">
        <v>52</v>
      </c>
      <c r="E13" s="56">
        <v>1600</v>
      </c>
      <c r="F13" s="29" t="s">
        <v>61</v>
      </c>
      <c r="G13" s="26" t="s">
        <v>125</v>
      </c>
      <c r="H13" s="28"/>
    </row>
    <row r="14" spans="2:8" s="106" customFormat="1" ht="38.25" customHeight="1" x14ac:dyDescent="0.25">
      <c r="B14" s="104" t="s">
        <v>132</v>
      </c>
      <c r="C14" s="28" t="s">
        <v>159</v>
      </c>
      <c r="D14" s="28" t="s">
        <v>158</v>
      </c>
      <c r="E14" s="24">
        <v>1973</v>
      </c>
      <c r="F14" s="29" t="s">
        <v>61</v>
      </c>
      <c r="G14" s="26" t="s">
        <v>152</v>
      </c>
      <c r="H14" s="28"/>
    </row>
    <row r="15" spans="2:8" s="18" customFormat="1" ht="49.5" customHeight="1" x14ac:dyDescent="0.25">
      <c r="B15" s="65" t="s">
        <v>132</v>
      </c>
      <c r="C15" s="23" t="s">
        <v>39</v>
      </c>
      <c r="D15" s="23" t="s">
        <v>58</v>
      </c>
      <c r="E15" s="56">
        <f>23100</f>
        <v>23100</v>
      </c>
      <c r="F15" s="25" t="s">
        <v>60</v>
      </c>
      <c r="G15" s="26" t="s">
        <v>125</v>
      </c>
      <c r="H15" s="23"/>
    </row>
    <row r="16" spans="2:8" s="18" customFormat="1" ht="49.5" customHeight="1" x14ac:dyDescent="0.25">
      <c r="B16" s="65" t="s">
        <v>132</v>
      </c>
      <c r="C16" s="23" t="s">
        <v>39</v>
      </c>
      <c r="D16" s="23" t="s">
        <v>58</v>
      </c>
      <c r="E16" s="56">
        <f>60000+9000</f>
        <v>69000</v>
      </c>
      <c r="F16" s="25" t="s">
        <v>64</v>
      </c>
      <c r="G16" s="26" t="s">
        <v>125</v>
      </c>
      <c r="H16" s="23"/>
    </row>
    <row r="17" spans="2:8" s="18" customFormat="1" ht="38.25" customHeight="1" x14ac:dyDescent="0.25">
      <c r="B17" s="65" t="s">
        <v>147</v>
      </c>
      <c r="C17" s="30">
        <v>31400000</v>
      </c>
      <c r="D17" s="23" t="s">
        <v>11</v>
      </c>
      <c r="E17" s="56">
        <f>3000+1800</f>
        <v>4800</v>
      </c>
      <c r="F17" s="25" t="s">
        <v>61</v>
      </c>
      <c r="G17" s="26" t="s">
        <v>125</v>
      </c>
      <c r="H17" s="31"/>
    </row>
    <row r="18" spans="2:8" s="18" customFormat="1" ht="38.25" customHeight="1" x14ac:dyDescent="0.25">
      <c r="B18" s="65" t="s">
        <v>147</v>
      </c>
      <c r="C18" s="23" t="s">
        <v>43</v>
      </c>
      <c r="D18" s="23" t="s">
        <v>42</v>
      </c>
      <c r="E18" s="56">
        <v>10000</v>
      </c>
      <c r="F18" s="25" t="s">
        <v>60</v>
      </c>
      <c r="G18" s="26" t="s">
        <v>125</v>
      </c>
      <c r="H18" s="32"/>
    </row>
    <row r="19" spans="2:8" s="18" customFormat="1" ht="33.75" x14ac:dyDescent="0.25">
      <c r="B19" s="65" t="s">
        <v>132</v>
      </c>
      <c r="C19" s="23" t="s">
        <v>92</v>
      </c>
      <c r="D19" s="23" t="s">
        <v>93</v>
      </c>
      <c r="E19" s="56">
        <v>4800</v>
      </c>
      <c r="F19" s="25" t="s">
        <v>91</v>
      </c>
      <c r="G19" s="26" t="s">
        <v>125</v>
      </c>
      <c r="H19" s="31"/>
    </row>
    <row r="20" spans="2:8" s="18" customFormat="1" ht="33.75" x14ac:dyDescent="0.25">
      <c r="B20" s="65" t="s">
        <v>132</v>
      </c>
      <c r="C20" s="23" t="s">
        <v>94</v>
      </c>
      <c r="D20" s="23" t="s">
        <v>95</v>
      </c>
      <c r="E20" s="56">
        <v>4800</v>
      </c>
      <c r="F20" s="25" t="s">
        <v>91</v>
      </c>
      <c r="G20" s="26" t="s">
        <v>125</v>
      </c>
      <c r="H20" s="31"/>
    </row>
    <row r="21" spans="2:8" s="18" customFormat="1" ht="33.75" x14ac:dyDescent="0.25">
      <c r="B21" s="65" t="s">
        <v>132</v>
      </c>
      <c r="C21" s="34">
        <v>39800000</v>
      </c>
      <c r="D21" s="34" t="s">
        <v>84</v>
      </c>
      <c r="E21" s="56">
        <v>4800</v>
      </c>
      <c r="F21" s="25" t="s">
        <v>91</v>
      </c>
      <c r="G21" s="26" t="s">
        <v>125</v>
      </c>
      <c r="H21" s="31"/>
    </row>
    <row r="22" spans="2:8" s="18" customFormat="1" ht="51.75" customHeight="1" x14ac:dyDescent="0.25">
      <c r="B22" s="65" t="s">
        <v>132</v>
      </c>
      <c r="C22" s="84">
        <v>41100000</v>
      </c>
      <c r="D22" s="85" t="s">
        <v>149</v>
      </c>
      <c r="E22" s="56">
        <v>6750</v>
      </c>
      <c r="F22" s="79" t="s">
        <v>64</v>
      </c>
      <c r="G22" s="80" t="s">
        <v>125</v>
      </c>
      <c r="H22" s="81"/>
    </row>
    <row r="23" spans="2:8" s="18" customFormat="1" ht="51.75" customHeight="1" x14ac:dyDescent="0.25">
      <c r="B23" s="65" t="s">
        <v>132</v>
      </c>
      <c r="C23" s="30">
        <v>45400000</v>
      </c>
      <c r="D23" s="34" t="s">
        <v>102</v>
      </c>
      <c r="E23" s="56">
        <v>40000</v>
      </c>
      <c r="F23" s="25" t="s">
        <v>64</v>
      </c>
      <c r="G23" s="26" t="s">
        <v>125</v>
      </c>
      <c r="H23" s="31"/>
    </row>
    <row r="24" spans="2:8" s="18" customFormat="1" ht="37.5" customHeight="1" x14ac:dyDescent="0.25">
      <c r="B24" s="65" t="s">
        <v>133</v>
      </c>
      <c r="C24" s="30">
        <v>48700000</v>
      </c>
      <c r="D24" s="23" t="s">
        <v>104</v>
      </c>
      <c r="E24" s="56">
        <v>30000</v>
      </c>
      <c r="F24" s="25" t="s">
        <v>64</v>
      </c>
      <c r="G24" s="26" t="s">
        <v>125</v>
      </c>
      <c r="H24" s="31"/>
    </row>
    <row r="25" spans="2:8" s="18" customFormat="1" ht="56.25" x14ac:dyDescent="0.25">
      <c r="B25" s="65" t="s">
        <v>132</v>
      </c>
      <c r="C25" s="78">
        <v>50100000</v>
      </c>
      <c r="D25" s="78" t="s">
        <v>44</v>
      </c>
      <c r="E25" s="56">
        <f>10000+30000</f>
        <v>40000</v>
      </c>
      <c r="F25" s="79" t="s">
        <v>61</v>
      </c>
      <c r="G25" s="80" t="s">
        <v>125</v>
      </c>
      <c r="H25" s="102" t="s">
        <v>66</v>
      </c>
    </row>
    <row r="26" spans="2:8" s="1" customFormat="1" ht="92.25" customHeight="1" x14ac:dyDescent="0.25">
      <c r="B26" s="104" t="s">
        <v>132</v>
      </c>
      <c r="C26" s="23" t="s">
        <v>59</v>
      </c>
      <c r="D26" s="23" t="s">
        <v>62</v>
      </c>
      <c r="E26" s="24">
        <f>120000-30000+15000</f>
        <v>105000</v>
      </c>
      <c r="F26" s="25" t="s">
        <v>64</v>
      </c>
      <c r="G26" s="26" t="s">
        <v>125</v>
      </c>
      <c r="H26" s="36"/>
    </row>
    <row r="27" spans="2:8" s="18" customFormat="1" ht="56.25" x14ac:dyDescent="0.25">
      <c r="B27" s="67" t="s">
        <v>132</v>
      </c>
      <c r="C27" s="68">
        <v>50100000</v>
      </c>
      <c r="D27" s="68" t="s">
        <v>44</v>
      </c>
      <c r="E27" s="69">
        <v>2080</v>
      </c>
      <c r="F27" s="70" t="s">
        <v>61</v>
      </c>
      <c r="G27" s="71" t="s">
        <v>160</v>
      </c>
      <c r="H27" s="90" t="s">
        <v>85</v>
      </c>
    </row>
    <row r="28" spans="2:8" s="18" customFormat="1" ht="92.25" customHeight="1" x14ac:dyDescent="0.25">
      <c r="B28" s="65" t="s">
        <v>132</v>
      </c>
      <c r="C28" s="23" t="s">
        <v>107</v>
      </c>
      <c r="D28" s="23" t="s">
        <v>108</v>
      </c>
      <c r="E28" s="56">
        <v>50000</v>
      </c>
      <c r="F28" s="25" t="s">
        <v>64</v>
      </c>
      <c r="G28" s="26" t="s">
        <v>125</v>
      </c>
      <c r="H28" s="31"/>
    </row>
    <row r="29" spans="2:8" s="18" customFormat="1" ht="92.25" customHeight="1" x14ac:dyDescent="0.25">
      <c r="B29" s="65" t="s">
        <v>132</v>
      </c>
      <c r="C29" s="23" t="s">
        <v>105</v>
      </c>
      <c r="D29" s="23" t="s">
        <v>106</v>
      </c>
      <c r="E29" s="56">
        <v>310000</v>
      </c>
      <c r="F29" s="25" t="s">
        <v>64</v>
      </c>
      <c r="G29" s="26" t="s">
        <v>125</v>
      </c>
      <c r="H29" s="36"/>
    </row>
    <row r="30" spans="2:8" s="18" customFormat="1" ht="92.25" customHeight="1" x14ac:dyDescent="0.25">
      <c r="B30" s="65" t="s">
        <v>147</v>
      </c>
      <c r="C30" s="23" t="s">
        <v>109</v>
      </c>
      <c r="D30" s="23" t="s">
        <v>110</v>
      </c>
      <c r="E30" s="56">
        <f>60000+45000-20000</f>
        <v>85000</v>
      </c>
      <c r="F30" s="25" t="s">
        <v>64</v>
      </c>
      <c r="G30" s="26" t="s">
        <v>125</v>
      </c>
      <c r="H30" s="36"/>
    </row>
    <row r="31" spans="2:8" s="18" customFormat="1" ht="102.75" customHeight="1" x14ac:dyDescent="0.25">
      <c r="B31" s="65" t="s">
        <v>132</v>
      </c>
      <c r="C31" s="23" t="s">
        <v>86</v>
      </c>
      <c r="D31" s="23" t="s">
        <v>87</v>
      </c>
      <c r="E31" s="56">
        <v>8000</v>
      </c>
      <c r="F31" s="25" t="s">
        <v>64</v>
      </c>
      <c r="G31" s="26" t="s">
        <v>125</v>
      </c>
      <c r="H31" s="23"/>
    </row>
    <row r="32" spans="2:8" s="18" customFormat="1" ht="115.5" customHeight="1" x14ac:dyDescent="0.25">
      <c r="B32" s="65" t="s">
        <v>132</v>
      </c>
      <c r="C32" s="23">
        <v>50700000</v>
      </c>
      <c r="D32" s="23" t="s">
        <v>13</v>
      </c>
      <c r="E32" s="56">
        <f>1600000-59200</f>
        <v>1540800</v>
      </c>
      <c r="F32" s="23" t="s">
        <v>61</v>
      </c>
      <c r="G32" s="26" t="s">
        <v>125</v>
      </c>
      <c r="H32" s="23" t="s">
        <v>99</v>
      </c>
    </row>
    <row r="33" spans="2:10" s="18" customFormat="1" ht="115.5" customHeight="1" x14ac:dyDescent="0.25">
      <c r="B33" s="65" t="s">
        <v>132</v>
      </c>
      <c r="C33" s="23">
        <v>50700000</v>
      </c>
      <c r="D33" s="23" t="s">
        <v>13</v>
      </c>
      <c r="E33" s="56">
        <f>93000-45000+20000</f>
        <v>68000</v>
      </c>
      <c r="F33" s="23" t="s">
        <v>64</v>
      </c>
      <c r="G33" s="26" t="s">
        <v>125</v>
      </c>
      <c r="H33" s="23"/>
    </row>
    <row r="34" spans="2:10" s="18" customFormat="1" ht="115.5" customHeight="1" x14ac:dyDescent="0.25">
      <c r="B34" s="65" t="s">
        <v>132</v>
      </c>
      <c r="C34" s="78" t="s">
        <v>117</v>
      </c>
      <c r="D34" s="78" t="s">
        <v>118</v>
      </c>
      <c r="E34" s="56">
        <f>120000+68250</f>
        <v>188250</v>
      </c>
      <c r="F34" s="78" t="s">
        <v>64</v>
      </c>
      <c r="G34" s="80" t="s">
        <v>125</v>
      </c>
      <c r="H34" s="78"/>
    </row>
    <row r="35" spans="2:10" s="18" customFormat="1" ht="115.5" customHeight="1" x14ac:dyDescent="0.25">
      <c r="B35" s="65" t="s">
        <v>132</v>
      </c>
      <c r="C35" s="23" t="s">
        <v>111</v>
      </c>
      <c r="D35" s="23" t="s">
        <v>112</v>
      </c>
      <c r="E35" s="56">
        <v>120000</v>
      </c>
      <c r="F35" s="23" t="s">
        <v>64</v>
      </c>
      <c r="G35" s="26" t="s">
        <v>125</v>
      </c>
      <c r="H35" s="23"/>
    </row>
    <row r="36" spans="2:10" s="18" customFormat="1" ht="58.5" customHeight="1" x14ac:dyDescent="0.25">
      <c r="B36" s="65" t="s">
        <v>132</v>
      </c>
      <c r="C36" s="30">
        <v>63700000</v>
      </c>
      <c r="D36" s="23" t="s">
        <v>70</v>
      </c>
      <c r="E36" s="56">
        <v>2000</v>
      </c>
      <c r="F36" s="25" t="s">
        <v>61</v>
      </c>
      <c r="G36" s="26" t="s">
        <v>125</v>
      </c>
      <c r="H36" s="26" t="s">
        <v>85</v>
      </c>
    </row>
    <row r="37" spans="2:10" s="18" customFormat="1" ht="63.75" customHeight="1" x14ac:dyDescent="0.25">
      <c r="B37" s="65" t="s">
        <v>132</v>
      </c>
      <c r="C37" s="23" t="s">
        <v>47</v>
      </c>
      <c r="D37" s="23" t="s">
        <v>48</v>
      </c>
      <c r="E37" s="56">
        <v>6000</v>
      </c>
      <c r="F37" s="25" t="s">
        <v>64</v>
      </c>
      <c r="G37" s="26" t="s">
        <v>125</v>
      </c>
      <c r="H37" s="23"/>
    </row>
    <row r="38" spans="2:10" s="18" customFormat="1" ht="33.75" x14ac:dyDescent="0.25">
      <c r="B38" s="65" t="s">
        <v>132</v>
      </c>
      <c r="C38" s="38" t="s">
        <v>18</v>
      </c>
      <c r="D38" s="23" t="s">
        <v>46</v>
      </c>
      <c r="E38" s="56">
        <v>25000</v>
      </c>
      <c r="F38" s="25" t="s">
        <v>64</v>
      </c>
      <c r="G38" s="26" t="s">
        <v>125</v>
      </c>
      <c r="H38" s="33"/>
    </row>
    <row r="39" spans="2:10" s="18" customFormat="1" ht="56.25" x14ac:dyDescent="0.25">
      <c r="B39" s="65" t="s">
        <v>132</v>
      </c>
      <c r="C39" s="38" t="s">
        <v>18</v>
      </c>
      <c r="D39" s="23" t="s">
        <v>46</v>
      </c>
      <c r="E39" s="56">
        <v>25500</v>
      </c>
      <c r="F39" s="25" t="s">
        <v>61</v>
      </c>
      <c r="G39" s="26" t="s">
        <v>125</v>
      </c>
      <c r="H39" s="26" t="s">
        <v>96</v>
      </c>
    </row>
    <row r="40" spans="2:10" s="18" customFormat="1" ht="33.75" x14ac:dyDescent="0.25">
      <c r="B40" s="65" t="s">
        <v>132</v>
      </c>
      <c r="C40" s="38" t="s">
        <v>18</v>
      </c>
      <c r="D40" s="23" t="s">
        <v>46</v>
      </c>
      <c r="E40" s="56">
        <v>24000</v>
      </c>
      <c r="F40" s="25" t="s">
        <v>60</v>
      </c>
      <c r="G40" s="26" t="s">
        <v>125</v>
      </c>
      <c r="H40" s="33"/>
    </row>
    <row r="41" spans="2:10" s="18" customFormat="1" ht="33.75" x14ac:dyDescent="0.25">
      <c r="B41" s="65" t="s">
        <v>134</v>
      </c>
      <c r="C41" s="38" t="s">
        <v>114</v>
      </c>
      <c r="D41" s="23" t="s">
        <v>113</v>
      </c>
      <c r="E41" s="56">
        <v>30000</v>
      </c>
      <c r="F41" s="25" t="s">
        <v>64</v>
      </c>
      <c r="G41" s="26" t="s">
        <v>125</v>
      </c>
      <c r="H41" s="26"/>
    </row>
    <row r="42" spans="2:10" s="18" customFormat="1" ht="33.75" x14ac:dyDescent="0.25">
      <c r="B42" s="65" t="s">
        <v>132</v>
      </c>
      <c r="C42" s="38" t="s">
        <v>55</v>
      </c>
      <c r="D42" s="23" t="s">
        <v>56</v>
      </c>
      <c r="E42" s="56">
        <v>1680</v>
      </c>
      <c r="F42" s="25" t="s">
        <v>91</v>
      </c>
      <c r="G42" s="26" t="s">
        <v>125</v>
      </c>
      <c r="H42" s="33"/>
    </row>
    <row r="43" spans="2:10" s="18" customFormat="1" ht="57" customHeight="1" x14ac:dyDescent="0.25">
      <c r="B43" s="65" t="s">
        <v>132</v>
      </c>
      <c r="C43" s="77" t="s">
        <v>17</v>
      </c>
      <c r="D43" s="78" t="s">
        <v>16</v>
      </c>
      <c r="E43" s="56">
        <f>90000+34000</f>
        <v>124000</v>
      </c>
      <c r="F43" s="79" t="s">
        <v>61</v>
      </c>
      <c r="G43" s="80" t="s">
        <v>125</v>
      </c>
      <c r="H43" s="80" t="s">
        <v>67</v>
      </c>
    </row>
    <row r="44" spans="2:10" s="18" customFormat="1" ht="65.25" customHeight="1" x14ac:dyDescent="0.25">
      <c r="B44" s="67" t="s">
        <v>132</v>
      </c>
      <c r="C44" s="76" t="s">
        <v>17</v>
      </c>
      <c r="D44" s="68" t="s">
        <v>16</v>
      </c>
      <c r="E44" s="69">
        <f>150+400+266</f>
        <v>816</v>
      </c>
      <c r="F44" s="70" t="s">
        <v>61</v>
      </c>
      <c r="G44" s="71" t="s">
        <v>125</v>
      </c>
      <c r="H44" s="71"/>
      <c r="J44" s="20"/>
    </row>
    <row r="45" spans="2:10" s="18" customFormat="1" ht="56.25" x14ac:dyDescent="0.25">
      <c r="B45" s="65" t="s">
        <v>132</v>
      </c>
      <c r="C45" s="38" t="s">
        <v>77</v>
      </c>
      <c r="D45" s="23" t="s">
        <v>78</v>
      </c>
      <c r="E45" s="56">
        <v>3000</v>
      </c>
      <c r="F45" s="25" t="s">
        <v>61</v>
      </c>
      <c r="G45" s="26" t="s">
        <v>125</v>
      </c>
      <c r="H45" s="26" t="s">
        <v>79</v>
      </c>
    </row>
    <row r="46" spans="2:10" s="18" customFormat="1" ht="75" customHeight="1" x14ac:dyDescent="0.25">
      <c r="B46" s="65" t="s">
        <v>132</v>
      </c>
      <c r="C46" s="77" t="s">
        <v>25</v>
      </c>
      <c r="D46" s="78" t="s">
        <v>119</v>
      </c>
      <c r="E46" s="56">
        <v>100000</v>
      </c>
      <c r="F46" s="79" t="s">
        <v>64</v>
      </c>
      <c r="G46" s="80" t="s">
        <v>125</v>
      </c>
      <c r="H46" s="80"/>
    </row>
    <row r="47" spans="2:10" s="1" customFormat="1" ht="63.75" customHeight="1" x14ac:dyDescent="0.25">
      <c r="B47" s="104" t="s">
        <v>132</v>
      </c>
      <c r="C47" s="23" t="s">
        <v>45</v>
      </c>
      <c r="D47" s="23" t="s">
        <v>63</v>
      </c>
      <c r="E47" s="24">
        <f>6000+3850</f>
        <v>9850</v>
      </c>
      <c r="F47" s="25" t="s">
        <v>64</v>
      </c>
      <c r="G47" s="26" t="s">
        <v>125</v>
      </c>
      <c r="H47" s="26"/>
    </row>
    <row r="48" spans="2:10" s="18" customFormat="1" ht="63.75" customHeight="1" x14ac:dyDescent="0.25">
      <c r="B48" s="65" t="s">
        <v>132</v>
      </c>
      <c r="C48" s="78" t="s">
        <v>120</v>
      </c>
      <c r="D48" s="78" t="s">
        <v>121</v>
      </c>
      <c r="E48" s="56">
        <v>450</v>
      </c>
      <c r="F48" s="79" t="s">
        <v>61</v>
      </c>
      <c r="G48" s="80" t="s">
        <v>125</v>
      </c>
      <c r="H48" s="80"/>
    </row>
    <row r="49" spans="2:10" s="18" customFormat="1" ht="77.25" customHeight="1" x14ac:dyDescent="0.25">
      <c r="B49" s="65" t="s">
        <v>132</v>
      </c>
      <c r="C49" s="30">
        <v>79700000</v>
      </c>
      <c r="D49" s="23" t="s">
        <v>27</v>
      </c>
      <c r="E49" s="56">
        <v>600000</v>
      </c>
      <c r="F49" s="25" t="s">
        <v>61</v>
      </c>
      <c r="G49" s="26" t="s">
        <v>125</v>
      </c>
      <c r="H49" s="26" t="s">
        <v>80</v>
      </c>
    </row>
    <row r="50" spans="2:10" s="18" customFormat="1" ht="62.25" customHeight="1" x14ac:dyDescent="0.25">
      <c r="B50" s="65" t="s">
        <v>132</v>
      </c>
      <c r="C50" s="30">
        <v>79800000</v>
      </c>
      <c r="D50" s="23" t="s">
        <v>81</v>
      </c>
      <c r="E50" s="56">
        <v>10000</v>
      </c>
      <c r="F50" s="25" t="s">
        <v>64</v>
      </c>
      <c r="G50" s="26" t="s">
        <v>125</v>
      </c>
      <c r="H50" s="26"/>
    </row>
    <row r="51" spans="2:10" s="18" customFormat="1" ht="62.25" customHeight="1" x14ac:dyDescent="0.25">
      <c r="B51" s="65" t="s">
        <v>132</v>
      </c>
      <c r="C51" s="23" t="s">
        <v>53</v>
      </c>
      <c r="D51" s="23" t="s">
        <v>65</v>
      </c>
      <c r="E51" s="56">
        <f>20000+12000</f>
        <v>32000</v>
      </c>
      <c r="F51" s="25" t="s">
        <v>61</v>
      </c>
      <c r="G51" s="26" t="s">
        <v>125</v>
      </c>
      <c r="H51" s="23" t="s">
        <v>68</v>
      </c>
    </row>
    <row r="52" spans="2:10" s="18" customFormat="1" ht="62.25" customHeight="1" x14ac:dyDescent="0.25">
      <c r="B52" s="65" t="s">
        <v>132</v>
      </c>
      <c r="C52" s="38" t="s">
        <v>24</v>
      </c>
      <c r="D52" s="23" t="s">
        <v>71</v>
      </c>
      <c r="E52" s="56">
        <v>12000</v>
      </c>
      <c r="F52" s="25" t="s">
        <v>64</v>
      </c>
      <c r="G52" s="26" t="s">
        <v>125</v>
      </c>
      <c r="H52" s="23"/>
    </row>
    <row r="53" spans="2:10" s="18" customFormat="1" ht="62.25" customHeight="1" x14ac:dyDescent="0.25">
      <c r="B53" s="65" t="s">
        <v>132</v>
      </c>
      <c r="C53" s="38" t="s">
        <v>122</v>
      </c>
      <c r="D53" s="23" t="s">
        <v>123</v>
      </c>
      <c r="E53" s="56">
        <v>1000</v>
      </c>
      <c r="F53" s="25" t="s">
        <v>61</v>
      </c>
      <c r="G53" s="26" t="s">
        <v>125</v>
      </c>
      <c r="H53" s="23"/>
    </row>
    <row r="54" spans="2:10" s="18" customFormat="1" ht="60.75" customHeight="1" x14ac:dyDescent="0.25">
      <c r="B54" s="65" t="s">
        <v>132</v>
      </c>
      <c r="C54" s="23" t="s">
        <v>82</v>
      </c>
      <c r="D54" s="23" t="s">
        <v>83</v>
      </c>
      <c r="E54" s="56">
        <v>20000</v>
      </c>
      <c r="F54" s="25" t="s">
        <v>64</v>
      </c>
      <c r="G54" s="26" t="s">
        <v>125</v>
      </c>
      <c r="H54" s="31"/>
    </row>
    <row r="55" spans="2:10" s="18" customFormat="1" ht="36.75" customHeight="1" x14ac:dyDescent="0.25">
      <c r="B55" s="65" t="s">
        <v>132</v>
      </c>
      <c r="C55" s="78" t="s">
        <v>12</v>
      </c>
      <c r="D55" s="78" t="s">
        <v>19</v>
      </c>
      <c r="E55" s="56">
        <f>80000+110000</f>
        <v>190000</v>
      </c>
      <c r="F55" s="79" t="s">
        <v>64</v>
      </c>
      <c r="G55" s="80" t="s">
        <v>125</v>
      </c>
      <c r="H55" s="81"/>
    </row>
    <row r="56" spans="2:10" s="18" customFormat="1" ht="54.75" customHeight="1" x14ac:dyDescent="0.25">
      <c r="B56" s="65" t="s">
        <v>132</v>
      </c>
      <c r="C56" s="23" t="s">
        <v>115</v>
      </c>
      <c r="D56" s="23" t="s">
        <v>116</v>
      </c>
      <c r="E56" s="56">
        <v>15000</v>
      </c>
      <c r="F56" s="25" t="s">
        <v>61</v>
      </c>
      <c r="G56" s="26" t="s">
        <v>125</v>
      </c>
      <c r="H56" s="26" t="s">
        <v>79</v>
      </c>
    </row>
    <row r="57" spans="2:10" s="1" customFormat="1" ht="75" customHeight="1" x14ac:dyDescent="0.25">
      <c r="B57" s="126" t="s">
        <v>135</v>
      </c>
      <c r="C57" s="127"/>
      <c r="D57" s="127"/>
      <c r="E57" s="16">
        <f>SUM(E58:E61)</f>
        <v>1710000</v>
      </c>
      <c r="F57" s="13"/>
      <c r="G57" s="14"/>
      <c r="H57" s="10"/>
      <c r="I57" s="61"/>
      <c r="J57" s="62"/>
    </row>
    <row r="58" spans="2:10" s="1" customFormat="1" ht="59.25" customHeight="1" x14ac:dyDescent="0.25">
      <c r="B58" s="104" t="s">
        <v>132</v>
      </c>
      <c r="C58" s="23" t="s">
        <v>24</v>
      </c>
      <c r="D58" s="23" t="s">
        <v>71</v>
      </c>
      <c r="E58" s="24">
        <f>1710000-142500-E60-E59</f>
        <v>1314302.3999999999</v>
      </c>
      <c r="F58" s="25" t="s">
        <v>64</v>
      </c>
      <c r="G58" s="26" t="s">
        <v>125</v>
      </c>
      <c r="H58" s="41"/>
      <c r="J58" s="62"/>
    </row>
    <row r="59" spans="2:10" s="1" customFormat="1" ht="67.5" x14ac:dyDescent="0.25">
      <c r="B59" s="104" t="s">
        <v>132</v>
      </c>
      <c r="C59" s="23" t="s">
        <v>103</v>
      </c>
      <c r="D59" s="23" t="s">
        <v>71</v>
      </c>
      <c r="E59" s="24">
        <v>33000</v>
      </c>
      <c r="F59" s="25" t="s">
        <v>61</v>
      </c>
      <c r="G59" s="26" t="s">
        <v>151</v>
      </c>
      <c r="H59" s="48" t="s">
        <v>98</v>
      </c>
      <c r="J59" s="62"/>
    </row>
    <row r="60" spans="2:10" s="1" customFormat="1" ht="67.5" x14ac:dyDescent="0.25">
      <c r="B60" s="104" t="s">
        <v>132</v>
      </c>
      <c r="C60" s="23" t="s">
        <v>103</v>
      </c>
      <c r="D60" s="23" t="s">
        <v>71</v>
      </c>
      <c r="E60" s="24">
        <v>220197.6</v>
      </c>
      <c r="F60" s="25" t="s">
        <v>61</v>
      </c>
      <c r="G60" s="26" t="s">
        <v>150</v>
      </c>
      <c r="H60" s="48" t="s">
        <v>98</v>
      </c>
    </row>
    <row r="61" spans="2:10" s="1" customFormat="1" ht="98.25" customHeight="1" x14ac:dyDescent="0.25">
      <c r="B61" s="104" t="s">
        <v>132</v>
      </c>
      <c r="C61" s="23" t="s">
        <v>24</v>
      </c>
      <c r="D61" s="23" t="s">
        <v>71</v>
      </c>
      <c r="E61" s="24">
        <v>142500</v>
      </c>
      <c r="F61" s="25" t="s">
        <v>61</v>
      </c>
      <c r="G61" s="26" t="s">
        <v>125</v>
      </c>
      <c r="H61" s="48" t="s">
        <v>128</v>
      </c>
      <c r="J61" s="62"/>
    </row>
    <row r="62" spans="2:10" s="1" customFormat="1" ht="31.5" customHeight="1" x14ac:dyDescent="0.25">
      <c r="B62" s="126" t="s">
        <v>136</v>
      </c>
      <c r="C62" s="127"/>
      <c r="D62" s="127"/>
      <c r="E62" s="16">
        <f>SUM(E63:E67)</f>
        <v>22370000</v>
      </c>
      <c r="F62" s="13"/>
      <c r="G62" s="9"/>
      <c r="H62" s="10"/>
      <c r="I62" s="61"/>
      <c r="J62" s="62"/>
    </row>
    <row r="63" spans="2:10" s="1" customFormat="1" ht="75.75" customHeight="1" x14ac:dyDescent="0.25">
      <c r="B63" s="104" t="s">
        <v>132</v>
      </c>
      <c r="C63" s="23" t="s">
        <v>7</v>
      </c>
      <c r="D63" s="23" t="s">
        <v>57</v>
      </c>
      <c r="E63" s="24">
        <f>3750000+400000</f>
        <v>4150000</v>
      </c>
      <c r="F63" s="25" t="s">
        <v>61</v>
      </c>
      <c r="G63" s="26" t="s">
        <v>125</v>
      </c>
      <c r="H63" s="48" t="s">
        <v>97</v>
      </c>
    </row>
    <row r="64" spans="2:10" s="1" customFormat="1" ht="75.75" customHeight="1" x14ac:dyDescent="0.25">
      <c r="B64" s="66" t="s">
        <v>133</v>
      </c>
      <c r="C64" s="23" t="s">
        <v>7</v>
      </c>
      <c r="D64" s="23" t="s">
        <v>57</v>
      </c>
      <c r="E64" s="24">
        <v>100000</v>
      </c>
      <c r="F64" s="25" t="s">
        <v>61</v>
      </c>
      <c r="G64" s="26" t="s">
        <v>125</v>
      </c>
      <c r="H64" s="48" t="s">
        <v>97</v>
      </c>
    </row>
    <row r="65" spans="2:13" s="1" customFormat="1" ht="121.5" customHeight="1" x14ac:dyDescent="0.25">
      <c r="B65" s="104" t="s">
        <v>132</v>
      </c>
      <c r="C65" s="23">
        <v>33600000</v>
      </c>
      <c r="D65" s="23" t="s">
        <v>29</v>
      </c>
      <c r="E65" s="24">
        <f>1440000+270000-22680</f>
        <v>1687320</v>
      </c>
      <c r="F65" s="25" t="s">
        <v>64</v>
      </c>
      <c r="G65" s="26" t="s">
        <v>125</v>
      </c>
      <c r="H65" s="41"/>
      <c r="J65" s="62"/>
      <c r="L65" s="62"/>
      <c r="M65" s="62"/>
    </row>
    <row r="66" spans="2:13" s="1" customFormat="1" ht="121.5" customHeight="1" x14ac:dyDescent="0.25">
      <c r="B66" s="104" t="s">
        <v>132</v>
      </c>
      <c r="C66" s="23" t="s">
        <v>32</v>
      </c>
      <c r="D66" s="23" t="s">
        <v>29</v>
      </c>
      <c r="E66" s="24">
        <v>22680</v>
      </c>
      <c r="F66" s="25" t="s">
        <v>61</v>
      </c>
      <c r="G66" s="26" t="s">
        <v>150</v>
      </c>
      <c r="H66" s="48" t="s">
        <v>157</v>
      </c>
      <c r="J66" s="62"/>
      <c r="L66" s="62"/>
      <c r="M66" s="62"/>
    </row>
    <row r="67" spans="2:13" s="1" customFormat="1" ht="87.75" customHeight="1" x14ac:dyDescent="0.25">
      <c r="B67" s="104" t="s">
        <v>132</v>
      </c>
      <c r="C67" s="23" t="s">
        <v>32</v>
      </c>
      <c r="D67" s="23" t="s">
        <v>29</v>
      </c>
      <c r="E67" s="24">
        <v>16410000</v>
      </c>
      <c r="F67" s="25" t="s">
        <v>61</v>
      </c>
      <c r="G67" s="26" t="s">
        <v>125</v>
      </c>
      <c r="H67" s="48" t="s">
        <v>98</v>
      </c>
      <c r="J67" s="62"/>
      <c r="K67" s="62"/>
    </row>
    <row r="68" spans="2:13" s="1" customFormat="1" ht="60" customHeight="1" x14ac:dyDescent="0.25">
      <c r="B68" s="126" t="s">
        <v>137</v>
      </c>
      <c r="C68" s="127"/>
      <c r="D68" s="127"/>
      <c r="E68" s="16">
        <f>SUM(E69:E73)</f>
        <v>1700000</v>
      </c>
      <c r="F68" s="13"/>
      <c r="G68" s="14"/>
      <c r="H68" s="10"/>
      <c r="I68" s="61"/>
      <c r="J68" s="105"/>
    </row>
    <row r="69" spans="2:13" s="1" customFormat="1" ht="36.75" customHeight="1" x14ac:dyDescent="0.25">
      <c r="B69" s="104" t="s">
        <v>132</v>
      </c>
      <c r="C69" s="23" t="s">
        <v>7</v>
      </c>
      <c r="D69" s="23" t="s">
        <v>28</v>
      </c>
      <c r="E69" s="24">
        <v>52272.9</v>
      </c>
      <c r="F69" s="25" t="s">
        <v>64</v>
      </c>
      <c r="G69" s="26" t="s">
        <v>125</v>
      </c>
      <c r="H69" s="41"/>
    </row>
    <row r="70" spans="2:13" s="1" customFormat="1" ht="51" customHeight="1" x14ac:dyDescent="0.25">
      <c r="B70" s="104" t="s">
        <v>132</v>
      </c>
      <c r="C70" s="23" t="s">
        <v>32</v>
      </c>
      <c r="D70" s="23" t="s">
        <v>29</v>
      </c>
      <c r="E70" s="24">
        <f>200847.5-132940.36</f>
        <v>67907.140000000014</v>
      </c>
      <c r="F70" s="25" t="s">
        <v>64</v>
      </c>
      <c r="G70" s="26" t="s">
        <v>125</v>
      </c>
      <c r="H70" s="41"/>
      <c r="J70" s="62"/>
    </row>
    <row r="71" spans="2:13" s="1" customFormat="1" ht="45" customHeight="1" x14ac:dyDescent="0.25">
      <c r="B71" s="104" t="s">
        <v>132</v>
      </c>
      <c r="C71" s="23" t="s">
        <v>89</v>
      </c>
      <c r="D71" s="23" t="s">
        <v>90</v>
      </c>
      <c r="E71" s="24">
        <f>816000-200000</f>
        <v>616000</v>
      </c>
      <c r="F71" s="25" t="s">
        <v>64</v>
      </c>
      <c r="G71" s="26" t="s">
        <v>125</v>
      </c>
      <c r="H71" s="48"/>
    </row>
    <row r="72" spans="2:13" s="1" customFormat="1" ht="78.75" x14ac:dyDescent="0.25">
      <c r="B72" s="104" t="s">
        <v>132</v>
      </c>
      <c r="C72" s="23" t="s">
        <v>24</v>
      </c>
      <c r="D72" s="23" t="s">
        <v>71</v>
      </c>
      <c r="E72" s="24">
        <v>69239.960000000006</v>
      </c>
      <c r="F72" s="25" t="s">
        <v>61</v>
      </c>
      <c r="G72" s="26" t="s">
        <v>125</v>
      </c>
      <c r="H72" s="48" t="s">
        <v>129</v>
      </c>
      <c r="J72" s="62"/>
    </row>
    <row r="73" spans="2:13" s="1" customFormat="1" ht="67.5" x14ac:dyDescent="0.25">
      <c r="B73" s="104" t="s">
        <v>132</v>
      </c>
      <c r="C73" s="23" t="s">
        <v>24</v>
      </c>
      <c r="D73" s="23" t="s">
        <v>71</v>
      </c>
      <c r="E73" s="24">
        <f>894580</f>
        <v>894580</v>
      </c>
      <c r="F73" s="25" t="s">
        <v>61</v>
      </c>
      <c r="G73" s="26" t="s">
        <v>152</v>
      </c>
      <c r="H73" s="48" t="s">
        <v>98</v>
      </c>
    </row>
    <row r="74" spans="2:13" s="1" customFormat="1" ht="65.25" customHeight="1" x14ac:dyDescent="0.25">
      <c r="B74" s="126" t="s">
        <v>138</v>
      </c>
      <c r="C74" s="127"/>
      <c r="D74" s="127"/>
      <c r="E74" s="16">
        <f>SUM(E75:E77)</f>
        <v>1753700.5</v>
      </c>
      <c r="F74" s="13"/>
      <c r="G74" s="14"/>
      <c r="H74" s="10"/>
      <c r="I74" s="61"/>
      <c r="J74" s="62"/>
    </row>
    <row r="75" spans="2:13" s="1" customFormat="1" ht="33.75" x14ac:dyDescent="0.25">
      <c r="B75" s="104" t="s">
        <v>132</v>
      </c>
      <c r="C75" s="36" t="s">
        <v>25</v>
      </c>
      <c r="D75" s="36" t="s">
        <v>69</v>
      </c>
      <c r="E75" s="24">
        <v>55000</v>
      </c>
      <c r="F75" s="43" t="s">
        <v>64</v>
      </c>
      <c r="G75" s="26" t="s">
        <v>125</v>
      </c>
      <c r="H75" s="44"/>
    </row>
    <row r="76" spans="2:13" s="1" customFormat="1" ht="78.75" x14ac:dyDescent="0.25">
      <c r="B76" s="104" t="s">
        <v>132</v>
      </c>
      <c r="C76" s="23">
        <v>85100000</v>
      </c>
      <c r="D76" s="23" t="s">
        <v>71</v>
      </c>
      <c r="E76" s="24">
        <v>127500.5</v>
      </c>
      <c r="F76" s="25" t="s">
        <v>61</v>
      </c>
      <c r="G76" s="26" t="s">
        <v>125</v>
      </c>
      <c r="H76" s="45" t="s">
        <v>124</v>
      </c>
    </row>
    <row r="77" spans="2:13" s="1" customFormat="1" ht="60.75" customHeight="1" x14ac:dyDescent="0.25">
      <c r="B77" s="104" t="s">
        <v>132</v>
      </c>
      <c r="C77" s="23">
        <v>85100000</v>
      </c>
      <c r="D77" s="23" t="s">
        <v>71</v>
      </c>
      <c r="E77" s="24">
        <f>1460000+111200</f>
        <v>1571200</v>
      </c>
      <c r="F77" s="25" t="s">
        <v>61</v>
      </c>
      <c r="G77" s="26" t="s">
        <v>125</v>
      </c>
      <c r="H77" s="48" t="s">
        <v>98</v>
      </c>
      <c r="K77" s="62"/>
    </row>
    <row r="78" spans="2:13" s="1" customFormat="1" ht="61.5" customHeight="1" x14ac:dyDescent="0.25">
      <c r="B78" s="126" t="s">
        <v>139</v>
      </c>
      <c r="C78" s="127"/>
      <c r="D78" s="127"/>
      <c r="E78" s="16">
        <f>SUM(E79:E80)</f>
        <v>184166.6</v>
      </c>
      <c r="F78" s="13"/>
      <c r="G78" s="14"/>
      <c r="H78" s="10"/>
      <c r="I78" s="61"/>
      <c r="J78" s="62"/>
    </row>
    <row r="79" spans="2:13" s="18" customFormat="1" ht="70.5" customHeight="1" x14ac:dyDescent="0.25">
      <c r="B79" s="65" t="s">
        <v>132</v>
      </c>
      <c r="C79" s="23" t="s">
        <v>24</v>
      </c>
      <c r="D79" s="23" t="s">
        <v>71</v>
      </c>
      <c r="E79" s="56">
        <v>14166.6</v>
      </c>
      <c r="F79" s="25" t="s">
        <v>61</v>
      </c>
      <c r="G79" s="26" t="s">
        <v>125</v>
      </c>
      <c r="H79" s="48" t="s">
        <v>76</v>
      </c>
    </row>
    <row r="80" spans="2:13" s="1" customFormat="1" ht="75" customHeight="1" x14ac:dyDescent="0.25">
      <c r="B80" s="104" t="s">
        <v>132</v>
      </c>
      <c r="C80" s="23" t="s">
        <v>24</v>
      </c>
      <c r="D80" s="23" t="s">
        <v>71</v>
      </c>
      <c r="E80" s="24">
        <v>170000</v>
      </c>
      <c r="F80" s="25" t="s">
        <v>61</v>
      </c>
      <c r="G80" s="26" t="s">
        <v>125</v>
      </c>
      <c r="H80" s="48" t="s">
        <v>98</v>
      </c>
    </row>
    <row r="81" spans="2:10" s="1" customFormat="1" ht="65.25" customHeight="1" x14ac:dyDescent="0.25">
      <c r="B81" s="121" t="s">
        <v>140</v>
      </c>
      <c r="C81" s="122"/>
      <c r="D81" s="122"/>
      <c r="E81" s="16">
        <f>SUM(E82:E86)</f>
        <v>1350000</v>
      </c>
      <c r="F81" s="13"/>
      <c r="G81" s="14"/>
      <c r="H81" s="60"/>
      <c r="I81" s="61"/>
      <c r="J81" s="62"/>
    </row>
    <row r="82" spans="2:10" s="1" customFormat="1" ht="49.5" customHeight="1" x14ac:dyDescent="0.25">
      <c r="B82" s="104" t="s">
        <v>132</v>
      </c>
      <c r="C82" s="23" t="s">
        <v>14</v>
      </c>
      <c r="D82" s="23" t="s">
        <v>15</v>
      </c>
      <c r="E82" s="24">
        <v>24200</v>
      </c>
      <c r="F82" s="25" t="s">
        <v>60</v>
      </c>
      <c r="G82" s="26" t="s">
        <v>125</v>
      </c>
      <c r="H82" s="41"/>
    </row>
    <row r="83" spans="2:10" s="1" customFormat="1" ht="33.75" x14ac:dyDescent="0.25">
      <c r="B83" s="104" t="s">
        <v>132</v>
      </c>
      <c r="C83" s="28">
        <v>33100000</v>
      </c>
      <c r="D83" s="28" t="s">
        <v>28</v>
      </c>
      <c r="E83" s="24">
        <f>240004-87983</f>
        <v>152021</v>
      </c>
      <c r="F83" s="29" t="s">
        <v>64</v>
      </c>
      <c r="G83" s="26" t="s">
        <v>125</v>
      </c>
      <c r="H83" s="46"/>
    </row>
    <row r="84" spans="2:10" s="1" customFormat="1" ht="60.75" customHeight="1" x14ac:dyDescent="0.25">
      <c r="B84" s="104" t="s">
        <v>132</v>
      </c>
      <c r="C84" s="23" t="s">
        <v>59</v>
      </c>
      <c r="D84" s="23" t="s">
        <v>44</v>
      </c>
      <c r="E84" s="24">
        <v>15000</v>
      </c>
      <c r="F84" s="25" t="s">
        <v>64</v>
      </c>
      <c r="G84" s="26" t="s">
        <v>125</v>
      </c>
      <c r="H84" s="41"/>
    </row>
    <row r="85" spans="2:10" s="1" customFormat="1" ht="75" customHeight="1" x14ac:dyDescent="0.25">
      <c r="B85" s="104" t="s">
        <v>132</v>
      </c>
      <c r="C85" s="23">
        <v>85100000</v>
      </c>
      <c r="D85" s="23" t="s">
        <v>71</v>
      </c>
      <c r="E85" s="24">
        <v>48983</v>
      </c>
      <c r="F85" s="25" t="s">
        <v>61</v>
      </c>
      <c r="G85" s="26" t="s">
        <v>125</v>
      </c>
      <c r="H85" s="48" t="s">
        <v>126</v>
      </c>
      <c r="J85" s="62">
        <f>E81-1350000</f>
        <v>0</v>
      </c>
    </row>
    <row r="86" spans="2:10" s="1" customFormat="1" ht="65.25" customHeight="1" x14ac:dyDescent="0.25">
      <c r="B86" s="104" t="s">
        <v>132</v>
      </c>
      <c r="C86" s="23">
        <v>85100000</v>
      </c>
      <c r="D86" s="23" t="s">
        <v>71</v>
      </c>
      <c r="E86" s="24">
        <f>1071996+37800</f>
        <v>1109796</v>
      </c>
      <c r="F86" s="25" t="s">
        <v>61</v>
      </c>
      <c r="G86" s="26" t="s">
        <v>125</v>
      </c>
      <c r="H86" s="48" t="s">
        <v>98</v>
      </c>
    </row>
    <row r="87" spans="2:10" s="1" customFormat="1" ht="80.25" customHeight="1" x14ac:dyDescent="0.25">
      <c r="B87" s="126" t="s">
        <v>141</v>
      </c>
      <c r="C87" s="127"/>
      <c r="D87" s="127"/>
      <c r="E87" s="16">
        <f>SUM(E88:E88)</f>
        <v>1250000</v>
      </c>
      <c r="F87" s="13"/>
      <c r="G87" s="14"/>
      <c r="H87" s="10"/>
      <c r="I87" s="61"/>
      <c r="J87" s="62"/>
    </row>
    <row r="88" spans="2:10" s="1" customFormat="1" ht="84.75" customHeight="1" x14ac:dyDescent="0.25">
      <c r="B88" s="104" t="s">
        <v>132</v>
      </c>
      <c r="C88" s="23" t="s">
        <v>32</v>
      </c>
      <c r="D88" s="23" t="s">
        <v>29</v>
      </c>
      <c r="E88" s="24">
        <v>1250000</v>
      </c>
      <c r="F88" s="25" t="s">
        <v>61</v>
      </c>
      <c r="G88" s="26" t="s">
        <v>125</v>
      </c>
      <c r="H88" s="48" t="s">
        <v>98</v>
      </c>
    </row>
    <row r="89" spans="2:10" s="1" customFormat="1" ht="57.75" customHeight="1" x14ac:dyDescent="0.25">
      <c r="B89" s="119" t="s">
        <v>142</v>
      </c>
      <c r="C89" s="120"/>
      <c r="D89" s="120"/>
      <c r="E89" s="57">
        <f>SUM(E90:E93)</f>
        <v>4000000</v>
      </c>
      <c r="F89" s="58"/>
      <c r="G89" s="58"/>
      <c r="H89" s="59"/>
      <c r="I89" s="61"/>
      <c r="J89" s="62"/>
    </row>
    <row r="90" spans="2:10" s="18" customFormat="1" ht="29.25" customHeight="1" x14ac:dyDescent="0.25">
      <c r="B90" s="65" t="s">
        <v>132</v>
      </c>
      <c r="C90" s="38">
        <v>33100000</v>
      </c>
      <c r="D90" s="23" t="s">
        <v>8</v>
      </c>
      <c r="E90" s="56">
        <v>124876.2</v>
      </c>
      <c r="F90" s="25" t="s">
        <v>64</v>
      </c>
      <c r="G90" s="26" t="s">
        <v>125</v>
      </c>
      <c r="H90" s="26"/>
    </row>
    <row r="91" spans="2:10" s="1" customFormat="1" ht="33.75" x14ac:dyDescent="0.25">
      <c r="B91" s="104" t="s">
        <v>132</v>
      </c>
      <c r="C91" s="38" t="s">
        <v>32</v>
      </c>
      <c r="D91" s="23" t="s">
        <v>9</v>
      </c>
      <c r="E91" s="24">
        <f>2995349.4-3495.8-99984.41</f>
        <v>2891869.19</v>
      </c>
      <c r="F91" s="25" t="s">
        <v>64</v>
      </c>
      <c r="G91" s="26" t="s">
        <v>125</v>
      </c>
      <c r="H91" s="26"/>
    </row>
    <row r="92" spans="2:10" s="1" customFormat="1" ht="67.5" x14ac:dyDescent="0.25">
      <c r="B92" s="104" t="s">
        <v>132</v>
      </c>
      <c r="C92" s="38" t="s">
        <v>24</v>
      </c>
      <c r="D92" s="23" t="s">
        <v>71</v>
      </c>
      <c r="E92" s="24">
        <v>73605.850000000006</v>
      </c>
      <c r="F92" s="25" t="s">
        <v>61</v>
      </c>
      <c r="G92" s="26" t="s">
        <v>125</v>
      </c>
      <c r="H92" s="45" t="s">
        <v>127</v>
      </c>
    </row>
    <row r="93" spans="2:10" s="1" customFormat="1" ht="83.25" customHeight="1" x14ac:dyDescent="0.25">
      <c r="B93" s="104" t="s">
        <v>132</v>
      </c>
      <c r="C93" s="23" t="s">
        <v>24</v>
      </c>
      <c r="D93" s="23" t="s">
        <v>71</v>
      </c>
      <c r="E93" s="24">
        <v>909648.76</v>
      </c>
      <c r="F93" s="25" t="s">
        <v>61</v>
      </c>
      <c r="G93" s="26" t="s">
        <v>152</v>
      </c>
      <c r="H93" s="32" t="s">
        <v>98</v>
      </c>
    </row>
    <row r="94" spans="2:10" ht="122.25" customHeight="1" x14ac:dyDescent="0.25">
      <c r="B94" s="126" t="s">
        <v>143</v>
      </c>
      <c r="C94" s="127"/>
      <c r="D94" s="127"/>
      <c r="E94" s="16">
        <f>SUM(E95)</f>
        <v>2190000</v>
      </c>
      <c r="F94" s="13"/>
      <c r="G94" s="14"/>
      <c r="H94" s="10"/>
      <c r="I94" s="61"/>
      <c r="J94" s="63">
        <f>E89-4000000</f>
        <v>0</v>
      </c>
    </row>
    <row r="95" spans="2:10" s="1" customFormat="1" ht="117.75" customHeight="1" x14ac:dyDescent="0.25">
      <c r="B95" s="104" t="s">
        <v>132</v>
      </c>
      <c r="C95" s="23" t="s">
        <v>32</v>
      </c>
      <c r="D95" s="23" t="s">
        <v>29</v>
      </c>
      <c r="E95" s="24">
        <v>2190000</v>
      </c>
      <c r="F95" s="25" t="s">
        <v>61</v>
      </c>
      <c r="G95" s="26" t="s">
        <v>152</v>
      </c>
      <c r="H95" s="48" t="s">
        <v>98</v>
      </c>
    </row>
    <row r="96" spans="2:10" s="1" customFormat="1" ht="57" customHeight="1" x14ac:dyDescent="0.25">
      <c r="B96" s="121" t="s">
        <v>144</v>
      </c>
      <c r="C96" s="122"/>
      <c r="D96" s="122"/>
      <c r="E96" s="16">
        <f>SUM(E97:E101)</f>
        <v>474000</v>
      </c>
      <c r="F96" s="13"/>
      <c r="G96" s="60"/>
      <c r="H96" s="60"/>
      <c r="I96" s="61"/>
      <c r="J96" s="62"/>
    </row>
    <row r="97" spans="2:11" s="1" customFormat="1" ht="59.25" customHeight="1" x14ac:dyDescent="0.25">
      <c r="B97" s="104" t="s">
        <v>148</v>
      </c>
      <c r="C97" s="23">
        <v>33100000</v>
      </c>
      <c r="D97" s="23" t="s">
        <v>28</v>
      </c>
      <c r="E97" s="24">
        <f>20000+14559.87+22385.83</f>
        <v>56945.700000000004</v>
      </c>
      <c r="F97" s="25" t="s">
        <v>64</v>
      </c>
      <c r="G97" s="26" t="s">
        <v>125</v>
      </c>
      <c r="H97" s="41"/>
    </row>
    <row r="98" spans="2:11" s="1" customFormat="1" ht="38.25" x14ac:dyDescent="0.25">
      <c r="B98" s="104" t="s">
        <v>148</v>
      </c>
      <c r="C98" s="36">
        <v>33600000</v>
      </c>
      <c r="D98" s="36" t="s">
        <v>29</v>
      </c>
      <c r="E98" s="24">
        <f>266824.3+68000-17770</f>
        <v>317054.3</v>
      </c>
      <c r="F98" s="43" t="s">
        <v>64</v>
      </c>
      <c r="G98" s="26" t="s">
        <v>125</v>
      </c>
      <c r="H98" s="44"/>
    </row>
    <row r="99" spans="2:11" s="1" customFormat="1" ht="78.75" x14ac:dyDescent="0.25">
      <c r="B99" s="104" t="s">
        <v>132</v>
      </c>
      <c r="C99" s="38" t="s">
        <v>103</v>
      </c>
      <c r="D99" s="23" t="s">
        <v>71</v>
      </c>
      <c r="E99" s="24">
        <v>8645.83</v>
      </c>
      <c r="F99" s="25" t="s">
        <v>61</v>
      </c>
      <c r="G99" s="26" t="s">
        <v>125</v>
      </c>
      <c r="H99" s="45" t="s">
        <v>130</v>
      </c>
    </row>
    <row r="100" spans="2:11" s="1" customFormat="1" ht="67.5" x14ac:dyDescent="0.25">
      <c r="B100" s="104" t="s">
        <v>132</v>
      </c>
      <c r="C100" s="38" t="s">
        <v>103</v>
      </c>
      <c r="D100" s="23" t="s">
        <v>71</v>
      </c>
      <c r="E100" s="24">
        <v>13740</v>
      </c>
      <c r="F100" s="25" t="s">
        <v>61</v>
      </c>
      <c r="G100" s="26" t="s">
        <v>152</v>
      </c>
      <c r="H100" s="48" t="s">
        <v>98</v>
      </c>
      <c r="J100" s="62"/>
      <c r="K100" s="62"/>
    </row>
    <row r="101" spans="2:11" s="1" customFormat="1" ht="51" customHeight="1" x14ac:dyDescent="0.25">
      <c r="B101" s="104" t="s">
        <v>132</v>
      </c>
      <c r="C101" s="38" t="s">
        <v>24</v>
      </c>
      <c r="D101" s="23" t="s">
        <v>71</v>
      </c>
      <c r="E101" s="24">
        <v>77614.17</v>
      </c>
      <c r="F101" s="25" t="s">
        <v>64</v>
      </c>
      <c r="G101" s="26" t="s">
        <v>153</v>
      </c>
      <c r="H101" s="45"/>
      <c r="J101" s="62"/>
      <c r="K101" s="62"/>
    </row>
    <row r="102" spans="2:11" ht="59.25" customHeight="1" x14ac:dyDescent="0.25">
      <c r="B102" s="126" t="s">
        <v>145</v>
      </c>
      <c r="C102" s="127"/>
      <c r="D102" s="127"/>
      <c r="E102" s="16">
        <f>SUM(E103:E105)</f>
        <v>2100000</v>
      </c>
      <c r="F102" s="13"/>
      <c r="G102" s="14"/>
      <c r="H102" s="10"/>
      <c r="I102" s="61"/>
      <c r="J102" s="63"/>
    </row>
    <row r="103" spans="2:11" s="18" customFormat="1" ht="42.75" customHeight="1" x14ac:dyDescent="0.25">
      <c r="B103" s="65" t="s">
        <v>132</v>
      </c>
      <c r="C103" s="23" t="s">
        <v>25</v>
      </c>
      <c r="D103" s="23" t="s">
        <v>69</v>
      </c>
      <c r="E103" s="56">
        <f>2100000-115976</f>
        <v>1984024</v>
      </c>
      <c r="F103" s="25" t="s">
        <v>64</v>
      </c>
      <c r="G103" s="26" t="s">
        <v>125</v>
      </c>
      <c r="H103" s="53"/>
    </row>
    <row r="104" spans="2:11" s="18" customFormat="1" ht="42.75" customHeight="1" x14ac:dyDescent="0.25">
      <c r="B104" s="67" t="s">
        <v>132</v>
      </c>
      <c r="C104" s="68" t="s">
        <v>156</v>
      </c>
      <c r="D104" s="68" t="s">
        <v>69</v>
      </c>
      <c r="E104" s="69">
        <f>5976</f>
        <v>5976</v>
      </c>
      <c r="F104" s="70" t="s">
        <v>61</v>
      </c>
      <c r="G104" s="71" t="s">
        <v>152</v>
      </c>
      <c r="H104" s="92" t="s">
        <v>98</v>
      </c>
    </row>
    <row r="105" spans="2:11" s="1" customFormat="1" ht="80.25" customHeight="1" x14ac:dyDescent="0.25">
      <c r="B105" s="67" t="s">
        <v>132</v>
      </c>
      <c r="C105" s="68" t="s">
        <v>154</v>
      </c>
      <c r="D105" s="68" t="s">
        <v>155</v>
      </c>
      <c r="E105" s="69">
        <f>115976-5976</f>
        <v>110000</v>
      </c>
      <c r="F105" s="70" t="s">
        <v>61</v>
      </c>
      <c r="G105" s="71" t="s">
        <v>152</v>
      </c>
      <c r="H105" s="92" t="s">
        <v>98</v>
      </c>
    </row>
    <row r="106" spans="2:11" ht="70.5" customHeight="1" x14ac:dyDescent="0.25">
      <c r="B106" s="126" t="s">
        <v>146</v>
      </c>
      <c r="C106" s="127"/>
      <c r="D106" s="127"/>
      <c r="E106" s="16">
        <f>SUM(E107:E109)</f>
        <v>442800</v>
      </c>
      <c r="F106" s="13"/>
      <c r="G106" s="14"/>
      <c r="H106" s="10"/>
      <c r="I106" s="61"/>
      <c r="J106" s="63"/>
    </row>
    <row r="107" spans="2:11" s="18" customFormat="1" ht="33.75" x14ac:dyDescent="0.25">
      <c r="B107" s="65" t="s">
        <v>132</v>
      </c>
      <c r="C107" s="99" t="s">
        <v>32</v>
      </c>
      <c r="D107" s="99" t="s">
        <v>29</v>
      </c>
      <c r="E107" s="56">
        <f>264000-4020</f>
        <v>259980</v>
      </c>
      <c r="F107" s="100" t="s">
        <v>64</v>
      </c>
      <c r="G107" s="80" t="s">
        <v>125</v>
      </c>
      <c r="H107" s="101"/>
    </row>
    <row r="108" spans="2:11" s="18" customFormat="1" ht="33.75" x14ac:dyDescent="0.25">
      <c r="B108" s="65" t="s">
        <v>132</v>
      </c>
      <c r="C108" s="28" t="s">
        <v>7</v>
      </c>
      <c r="D108" s="28" t="s">
        <v>28</v>
      </c>
      <c r="E108" s="24">
        <v>132000</v>
      </c>
      <c r="F108" s="29" t="s">
        <v>64</v>
      </c>
      <c r="G108" s="26" t="s">
        <v>125</v>
      </c>
      <c r="H108" s="55"/>
    </row>
    <row r="109" spans="2:11" s="1" customFormat="1" ht="33.75" x14ac:dyDescent="0.25">
      <c r="B109" s="104" t="s">
        <v>132</v>
      </c>
      <c r="C109" s="23" t="s">
        <v>14</v>
      </c>
      <c r="D109" s="23" t="s">
        <v>40</v>
      </c>
      <c r="E109" s="24">
        <f>4020+46800</f>
        <v>50820</v>
      </c>
      <c r="F109" s="25" t="s">
        <v>60</v>
      </c>
      <c r="G109" s="26" t="s">
        <v>125</v>
      </c>
      <c r="H109" s="23"/>
    </row>
  </sheetData>
  <autoFilter ref="A8:H109"/>
  <mergeCells count="20">
    <mergeCell ref="B74:D74"/>
    <mergeCell ref="B2:H2"/>
    <mergeCell ref="B3:H3"/>
    <mergeCell ref="B4:E4"/>
    <mergeCell ref="F4:H4"/>
    <mergeCell ref="B5:E5"/>
    <mergeCell ref="F5:H5"/>
    <mergeCell ref="B6:F6"/>
    <mergeCell ref="B9:D9"/>
    <mergeCell ref="B57:D57"/>
    <mergeCell ref="B62:D62"/>
    <mergeCell ref="B68:D68"/>
    <mergeCell ref="B102:D102"/>
    <mergeCell ref="B106:D106"/>
    <mergeCell ref="B78:D78"/>
    <mergeCell ref="B81:D81"/>
    <mergeCell ref="B87:D87"/>
    <mergeCell ref="B89:D89"/>
    <mergeCell ref="B94:D94"/>
    <mergeCell ref="B96:D96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20</vt:i4>
      </vt:variant>
    </vt:vector>
  </HeadingPairs>
  <TitlesOfParts>
    <vt:vector size="40" baseType="lpstr">
      <vt:lpstr>14.11.2018...</vt:lpstr>
      <vt:lpstr>05.12.2018...</vt:lpstr>
      <vt:lpstr>25.12.2018....</vt:lpstr>
      <vt:lpstr>27.12.2018...</vt:lpstr>
      <vt:lpstr>4.01.2019..</vt:lpstr>
      <vt:lpstr>11.01.2019...</vt:lpstr>
      <vt:lpstr>15.01.2019...</vt:lpstr>
      <vt:lpstr>21.01.2019...</vt:lpstr>
      <vt:lpstr>28.01.2019...</vt:lpstr>
      <vt:lpstr>04.02.2019..</vt:lpstr>
      <vt:lpstr>15.02.2019...</vt:lpstr>
      <vt:lpstr>22.02.2019..</vt:lpstr>
      <vt:lpstr>27.03.2019</vt:lpstr>
      <vt:lpstr>28.03.2019...</vt:lpstr>
      <vt:lpstr>03.04.2019...</vt:lpstr>
      <vt:lpstr>04.04.2019...</vt:lpstr>
      <vt:lpstr>08.04.2019..</vt:lpstr>
      <vt:lpstr>11.04.2019..</vt:lpstr>
      <vt:lpstr>15.04.2019</vt:lpstr>
      <vt:lpstr>17.04.2019 </vt:lpstr>
      <vt:lpstr>'03.04.2019...'!Print_Area</vt:lpstr>
      <vt:lpstr>'04.02.2019..'!Print_Area</vt:lpstr>
      <vt:lpstr>'04.04.2019...'!Print_Area</vt:lpstr>
      <vt:lpstr>'05.12.2018...'!Print_Area</vt:lpstr>
      <vt:lpstr>'08.04.2019..'!Print_Area</vt:lpstr>
      <vt:lpstr>'11.01.2019...'!Print_Area</vt:lpstr>
      <vt:lpstr>'11.04.2019..'!Print_Area</vt:lpstr>
      <vt:lpstr>'14.11.2018...'!Print_Area</vt:lpstr>
      <vt:lpstr>'15.01.2019...'!Print_Area</vt:lpstr>
      <vt:lpstr>'15.02.2019...'!Print_Area</vt:lpstr>
      <vt:lpstr>'15.04.2019'!Print_Area</vt:lpstr>
      <vt:lpstr>'17.04.2019 '!Print_Area</vt:lpstr>
      <vt:lpstr>'21.01.2019...'!Print_Area</vt:lpstr>
      <vt:lpstr>'22.02.2019..'!Print_Area</vt:lpstr>
      <vt:lpstr>'25.12.2018....'!Print_Area</vt:lpstr>
      <vt:lpstr>'27.03.2019'!Print_Area</vt:lpstr>
      <vt:lpstr>'27.12.2018...'!Print_Area</vt:lpstr>
      <vt:lpstr>'28.01.2019...'!Print_Area</vt:lpstr>
      <vt:lpstr>'28.03.2019...'!Print_Area</vt:lpstr>
      <vt:lpstr>'4.01.2019..'!Print_Area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spa</dc:creator>
  <cp:lastModifiedBy>Shorena Chilashvili</cp:lastModifiedBy>
  <cp:lastPrinted>2018-11-14T07:16:33Z</cp:lastPrinted>
  <dcterms:created xsi:type="dcterms:W3CDTF">2011-04-12T10:50:13Z</dcterms:created>
  <dcterms:modified xsi:type="dcterms:W3CDTF">2019-04-17T10:15:05Z</dcterms:modified>
</cp:coreProperties>
</file>