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\კორონო\მსოფლიო ბანკი\PIU\"/>
    </mc:Choice>
  </mc:AlternateContent>
  <bookViews>
    <workbookView xWindow="0" yWindow="0" windowWidth="23040" windowHeight="8505" tabRatio="633"/>
  </bookViews>
  <sheets>
    <sheet name="Total geo" sheetId="27" r:id="rId1"/>
    <sheet name="საბიუჯეტო" sheetId="29" r:id="rId2"/>
    <sheet name="soci" sheetId="30" state="hidden" r:id="rId3"/>
    <sheet name="TOTAL " sheetId="24" r:id="rId4"/>
    <sheet name=" WORKS I" sheetId="21" r:id="rId5"/>
    <sheet name=" GOODS I" sheetId="22" r:id="rId6"/>
    <sheet name=" CS I " sheetId="23" r:id="rId7"/>
    <sheet name="CS COMP.III" sheetId="15" r:id="rId8"/>
    <sheet name="signed contracts" sheetId="25" r:id="rId9"/>
  </sheets>
  <definedNames>
    <definedName name="_xlnm._FilterDatabase" localSheetId="0" hidden="1">'Total geo'!$B$6:$K$32</definedName>
    <definedName name="_xlnm.Print_Area" localSheetId="5">' GOODS I'!$A$1:$P$74</definedName>
    <definedName name="_xlnm.Print_Area" localSheetId="4">' WORKS I'!$A$1:$O$7</definedName>
    <definedName name="_xlnm.Print_Area" localSheetId="3">'TOTAL '!$A$1:$I$36</definedName>
    <definedName name="_xlnm.Print_Area" localSheetId="0">'Total geo'!$A$1:$J$36</definedName>
  </definedNames>
  <calcPr calcId="162913"/>
</workbook>
</file>

<file path=xl/calcChain.xml><?xml version="1.0" encoding="utf-8"?>
<calcChain xmlns="http://schemas.openxmlformats.org/spreadsheetml/2006/main">
  <c r="F15" i="29" l="1"/>
  <c r="E9" i="29"/>
  <c r="K18" i="25"/>
  <c r="E20" i="29"/>
  <c r="F8" i="29"/>
  <c r="F4" i="29"/>
  <c r="F3" i="29"/>
  <c r="F9" i="29" s="1"/>
  <c r="D20" i="29"/>
  <c r="D9" i="29"/>
  <c r="F2" i="30" l="1"/>
  <c r="E2" i="30"/>
  <c r="D2" i="30"/>
  <c r="C2" i="30"/>
  <c r="D26" i="27" l="1"/>
  <c r="D24" i="27"/>
  <c r="D20" i="27"/>
  <c r="E14" i="27"/>
  <c r="D12" i="27"/>
  <c r="D11" i="27"/>
  <c r="D8" i="27"/>
  <c r="D16" i="27" l="1"/>
  <c r="D36" i="27" s="1"/>
  <c r="F14" i="27"/>
  <c r="F22" i="22" l="1"/>
  <c r="F4" i="22"/>
  <c r="F7" i="22"/>
  <c r="F8" i="22"/>
  <c r="D8" i="24" l="1"/>
  <c r="D11" i="24"/>
  <c r="K9" i="25" l="1"/>
  <c r="K3" i="25"/>
  <c r="K2" i="25"/>
  <c r="F47" i="22" l="1"/>
  <c r="F13" i="22" l="1"/>
  <c r="F24" i="22" s="1"/>
  <c r="I8" i="27" s="1"/>
  <c r="F57" i="22" l="1"/>
  <c r="H12" i="24" l="1"/>
  <c r="I12" i="27"/>
  <c r="D26" i="24"/>
  <c r="P52" i="22" l="1"/>
  <c r="F45" i="22"/>
  <c r="D12" i="24" l="1"/>
  <c r="F46" i="22" l="1"/>
  <c r="F53" i="22" s="1"/>
  <c r="I11" i="27" s="1"/>
  <c r="P47" i="22"/>
  <c r="P50" i="22"/>
  <c r="P57" i="22" l="1"/>
  <c r="E12" i="24" l="1"/>
  <c r="E12" i="27"/>
  <c r="F12" i="24"/>
  <c r="G12" i="24"/>
  <c r="P37" i="22"/>
  <c r="P20" i="22"/>
  <c r="P24" i="22" s="1"/>
  <c r="E8" i="24" l="1"/>
  <c r="E8" i="27"/>
  <c r="H12" i="27"/>
  <c r="F12" i="27"/>
  <c r="E10" i="15"/>
  <c r="K8" i="15"/>
  <c r="K7" i="15"/>
  <c r="K6" i="15"/>
  <c r="K5" i="15"/>
  <c r="K4" i="15"/>
  <c r="K3" i="15"/>
  <c r="E2" i="15"/>
  <c r="D24" i="24"/>
  <c r="G6" i="23"/>
  <c r="I23" i="27" s="1"/>
  <c r="I24" i="27" s="1"/>
  <c r="P6" i="23"/>
  <c r="E23" i="27" s="1"/>
  <c r="G2" i="23"/>
  <c r="F3" i="21"/>
  <c r="O7" i="21"/>
  <c r="F7" i="21"/>
  <c r="H23" i="27" l="1"/>
  <c r="H24" i="27" s="1"/>
  <c r="F23" i="27"/>
  <c r="F24" i="27" s="1"/>
  <c r="E24" i="27"/>
  <c r="E19" i="24"/>
  <c r="F19" i="24" s="1"/>
  <c r="E19" i="27"/>
  <c r="E23" i="24"/>
  <c r="E24" i="24" s="1"/>
  <c r="H19" i="24"/>
  <c r="I19" i="27"/>
  <c r="I20" i="27" s="1"/>
  <c r="H23" i="24"/>
  <c r="F8" i="27"/>
  <c r="H8" i="27"/>
  <c r="H30" i="24"/>
  <c r="H31" i="24" s="1"/>
  <c r="I30" i="27"/>
  <c r="I31" i="27" s="1"/>
  <c r="G23" i="24"/>
  <c r="G24" i="24" s="1"/>
  <c r="K10" i="15"/>
  <c r="H24" i="24"/>
  <c r="H8" i="24"/>
  <c r="P45" i="22"/>
  <c r="P53" i="22" s="1"/>
  <c r="E11" i="27" s="1"/>
  <c r="P46" i="22"/>
  <c r="F72" i="22"/>
  <c r="P72" i="22"/>
  <c r="D16" i="24"/>
  <c r="F68" i="22"/>
  <c r="P63" i="22"/>
  <c r="F67" i="22"/>
  <c r="P67" i="22"/>
  <c r="F64" i="22"/>
  <c r="F58" i="22"/>
  <c r="F54" i="22"/>
  <c r="F31" i="22"/>
  <c r="F28" i="22"/>
  <c r="F25" i="22"/>
  <c r="F12" i="22"/>
  <c r="F2" i="22"/>
  <c r="F29" i="22"/>
  <c r="F30" i="22" s="1"/>
  <c r="P30" i="22"/>
  <c r="E14" i="24"/>
  <c r="P27" i="22"/>
  <c r="F26" i="22"/>
  <c r="F27" i="22" s="1"/>
  <c r="H11" i="27" l="1"/>
  <c r="F11" i="27"/>
  <c r="H9" i="24"/>
  <c r="I9" i="27"/>
  <c r="E9" i="24"/>
  <c r="E9" i="27"/>
  <c r="E30" i="24"/>
  <c r="G30" i="24" s="1"/>
  <c r="G31" i="24" s="1"/>
  <c r="E30" i="27"/>
  <c r="H10" i="24"/>
  <c r="I10" i="27"/>
  <c r="I15" i="27"/>
  <c r="H15" i="24"/>
  <c r="E13" i="24"/>
  <c r="I13" i="24" s="1"/>
  <c r="E13" i="27"/>
  <c r="E10" i="24"/>
  <c r="E10" i="27"/>
  <c r="H14" i="24"/>
  <c r="I14" i="27"/>
  <c r="H14" i="27" s="1"/>
  <c r="E15" i="27"/>
  <c r="E15" i="24"/>
  <c r="G15" i="24" s="1"/>
  <c r="E20" i="27"/>
  <c r="F19" i="27"/>
  <c r="E11" i="24"/>
  <c r="G8" i="24"/>
  <c r="H11" i="24"/>
  <c r="G14" i="24"/>
  <c r="G9" i="24"/>
  <c r="H30" i="27" l="1"/>
  <c r="H31" i="27" s="1"/>
  <c r="F30" i="27"/>
  <c r="F31" i="27" s="1"/>
  <c r="E31" i="27"/>
  <c r="F15" i="24"/>
  <c r="H15" i="27"/>
  <c r="F15" i="27"/>
  <c r="F9" i="27"/>
  <c r="H9" i="27"/>
  <c r="F10" i="27"/>
  <c r="H10" i="27"/>
  <c r="F20" i="27"/>
  <c r="H19" i="27"/>
  <c r="H20" i="27" s="1"/>
  <c r="J13" i="27"/>
  <c r="F13" i="27"/>
  <c r="G11" i="24"/>
  <c r="F11" i="24"/>
  <c r="F11" i="22" l="1"/>
  <c r="P3" i="22"/>
  <c r="P11" i="22" s="1"/>
  <c r="E7" i="24" l="1"/>
  <c r="E16" i="24" s="1"/>
  <c r="E7" i="27"/>
  <c r="H7" i="24"/>
  <c r="G7" i="24" s="1"/>
  <c r="I7" i="27"/>
  <c r="H7" i="27" l="1"/>
  <c r="F7" i="27"/>
  <c r="F16" i="27" s="1"/>
  <c r="F36" i="27" s="1"/>
  <c r="E3" i="27" s="1"/>
  <c r="E16" i="27"/>
  <c r="E36" i="27" s="1"/>
  <c r="D31" i="24"/>
  <c r="E31" i="24"/>
  <c r="F23" i="24"/>
  <c r="F24" i="24" s="1"/>
  <c r="D20" i="24"/>
  <c r="E20" i="24"/>
  <c r="E36" i="24" l="1"/>
  <c r="D36" i="24"/>
  <c r="F30" i="24"/>
  <c r="F31" i="24" s="1"/>
  <c r="F20" i="24"/>
  <c r="H20" i="24"/>
  <c r="G19" i="24" l="1"/>
  <c r="G20" i="24" s="1"/>
  <c r="F10" i="24" l="1"/>
  <c r="G10" i="24"/>
  <c r="F63" i="22"/>
  <c r="F9" i="24"/>
  <c r="F13" i="24"/>
  <c r="F14" i="24"/>
  <c r="H13" i="24" l="1"/>
  <c r="G13" i="24" s="1"/>
  <c r="I13" i="27"/>
  <c r="F7" i="24"/>
  <c r="H13" i="27" l="1"/>
  <c r="H16" i="27" s="1"/>
  <c r="I16" i="27"/>
  <c r="F8" i="24"/>
  <c r="F16" i="24" l="1"/>
  <c r="H16" i="24"/>
  <c r="G16" i="24"/>
  <c r="F36" i="24" l="1"/>
  <c r="E3" i="24" s="1"/>
</calcChain>
</file>

<file path=xl/sharedStrings.xml><?xml version="1.0" encoding="utf-8"?>
<sst xmlns="http://schemas.openxmlformats.org/spreadsheetml/2006/main" count="621" uniqueCount="313">
  <si>
    <t>Activity  Reference No. / Description:</t>
  </si>
  <si>
    <t>Direct</t>
  </si>
  <si>
    <t>Limited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</si>
  <si>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</si>
  <si>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</si>
  <si>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</si>
  <si>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</si>
  <si>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</si>
  <si>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</si>
  <si>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</si>
  <si>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</si>
  <si>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</si>
  <si>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</si>
  <si>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</si>
  <si>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</si>
  <si>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</si>
  <si>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</si>
  <si>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</si>
  <si>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</si>
  <si>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</si>
  <si>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</si>
  <si>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</si>
  <si>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</si>
  <si>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</si>
  <si>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</si>
  <si>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</si>
  <si>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</si>
  <si>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</si>
  <si>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</si>
  <si>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</si>
  <si>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</si>
  <si>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</si>
  <si>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</si>
  <si>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</si>
  <si>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</si>
  <si>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</si>
  <si>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</si>
  <si>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</si>
  <si>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</si>
  <si>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</si>
  <si>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</si>
  <si>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</si>
  <si>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</si>
  <si>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</si>
  <si>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</si>
  <si>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</si>
  <si>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</si>
  <si>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</si>
  <si>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</si>
  <si>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</si>
  <si>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</si>
  <si>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</si>
  <si>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</si>
  <si>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</si>
  <si>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>retroactive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</si>
  <si>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</si>
  <si>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</si>
  <si>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</si>
  <si>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</si>
  <si>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</si>
  <si>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</si>
  <si>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</si>
  <si>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</si>
  <si>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</si>
  <si>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</si>
  <si>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</si>
  <si>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</si>
  <si>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</si>
  <si>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</si>
  <si>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</si>
  <si>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</si>
  <si>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</si>
  <si>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</si>
  <si>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</si>
  <si>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</si>
  <si>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</si>
  <si>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</si>
  <si>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</si>
  <si>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</si>
  <si>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</si>
  <si>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</si>
  <si>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</si>
  <si>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</si>
  <si>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</si>
  <si>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</si>
  <si>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</si>
  <si>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</si>
  <si>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</si>
  <si>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</si>
  <si>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</si>
  <si>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</si>
  <si>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</si>
  <si>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</si>
  <si>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</si>
  <si>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</si>
  <si>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</si>
  <si>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</si>
  <si>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</si>
  <si>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</si>
  <si>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</si>
  <si>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</si>
  <si>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</si>
  <si>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</si>
  <si>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</si>
  <si>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  RESPIRATOR, mask, FFP2/N95, type IIR, s.u., unvalued, nose clip</t>
  </si>
  <si>
    <t>Tbilisi Infectious Disease Hospital</t>
  </si>
  <si>
    <t xml:space="preserve">Chkhobadze medical center in Kutaisi </t>
  </si>
  <si>
    <t xml:space="preserve">ICU of the university hospital </t>
  </si>
  <si>
    <t xml:space="preserve">DNA Genetic </t>
  </si>
  <si>
    <t>Radio systems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</si>
  <si>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</si>
  <si>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</si>
  <si>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</si>
  <si>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</si>
  <si>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</si>
  <si>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</si>
  <si>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</si>
  <si>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</si>
  <si>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</si>
  <si>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</si>
  <si>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</si>
  <si>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</si>
  <si>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</si>
  <si>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</si>
  <si>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</si>
  <si>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</si>
  <si>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</si>
  <si>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</si>
  <si>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</si>
  <si>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</si>
  <si>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</si>
  <si>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</si>
  <si>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</si>
  <si>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</si>
  <si>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</si>
  <si>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</si>
  <si>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</si>
  <si>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</si>
  <si>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</si>
  <si>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</si>
  <si>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</si>
  <si>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</si>
  <si>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</si>
  <si>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</si>
  <si>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</si>
  <si>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</si>
  <si>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</si>
  <si>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</si>
  <si>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</si>
  <si>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>DNA genotek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</si>
  <si>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</si>
  <si>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</si>
  <si>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</si>
  <si>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</si>
  <si>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</si>
  <si>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</si>
  <si>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</si>
  <si>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</si>
  <si>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</si>
  <si>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</si>
  <si>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</si>
  <si>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</si>
  <si>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</si>
  <si>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</si>
  <si>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</si>
  <si>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</si>
  <si>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</si>
  <si>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</si>
  <si>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</si>
  <si>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</si>
  <si>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</si>
  <si>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125,000 (1250 Kits)</t>
  </si>
  <si>
    <t>October</t>
  </si>
  <si>
    <t xml:space="preserve">Biosensor </t>
  </si>
  <si>
    <t xml:space="preserve">Prima medi </t>
  </si>
  <si>
    <t xml:space="preserve">MATRIX Viral RNA/DNA
Purification Kit </t>
  </si>
  <si>
    <t xml:space="preserve">extraction </t>
  </si>
  <si>
    <t xml:space="preserve">Quarantine, Preparedness,  Cost of case 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</si>
  <si>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</si>
  <si>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</si>
  <si>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</si>
  <si>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</si>
  <si>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</si>
  <si>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</si>
  <si>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</si>
  <si>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 Equipment 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</si>
  <si>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</si>
  <si>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</si>
  <si>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</si>
  <si>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</si>
  <si>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</si>
  <si>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</si>
  <si>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</si>
  <si>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</si>
  <si>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2. COVID19/G/DC-06 / Procurement of Hospital Equipment for dedicated COVID-19 clinics: Rukhi, Batumi, Tbilisi Infectious, Tbilisi University, Kutaisi Regional, and Sachkhere Regional</t>
  </si>
  <si>
    <t>COVID19/G/DC-15/ 07/09/2020</t>
  </si>
  <si>
    <t>Germany</t>
  </si>
  <si>
    <t>DDP Within one month after contract signature</t>
  </si>
  <si>
    <t xml:space="preserve">     3 200 GEL</t>
  </si>
  <si>
    <t xml:space="preserve">   1 600 000 GEL</t>
  </si>
  <si>
    <t>500 Packs, 125 000 extraction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</si>
  <si>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</si>
  <si>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</si>
  <si>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</si>
  <si>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</si>
  <si>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</si>
  <si>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</si>
  <si>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</si>
  <si>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</si>
  <si>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</si>
  <si>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</si>
  <si>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r>
      <t>COVID19/G/DC</t>
    </r>
    <r>
      <rPr>
        <sz val="11"/>
        <rFont val="Calibri"/>
        <family val="2"/>
      </rPr>
      <t xml:space="preserve"> </t>
    </r>
    <r>
      <rPr>
        <sz val="11"/>
        <rFont val="Times New Roman"/>
        <family val="1"/>
      </rPr>
      <t xml:space="preserve">- 08 </t>
    </r>
  </si>
  <si>
    <t xml:space="preserve">Roche Diagnostics Turkey A.Ş. </t>
  </si>
  <si>
    <t>Switzerland / CH</t>
  </si>
  <si>
    <t xml:space="preserve">25 days </t>
  </si>
  <si>
    <t>Sino Venture</t>
  </si>
  <si>
    <t xml:space="preserve">dializis </t>
  </si>
  <si>
    <t>Tbilisi medic</t>
  </si>
  <si>
    <t>JV LLC KIA motors Georgia and LLC GI TI Motors</t>
  </si>
  <si>
    <t>100 DDP</t>
  </si>
  <si>
    <t xml:space="preserve">15 Unit </t>
  </si>
  <si>
    <t>30.09.2020</t>
  </si>
  <si>
    <t xml:space="preserve">დავაკორექტირო </t>
  </si>
  <si>
    <t xml:space="preserve">5 ოქტომბერი </t>
  </si>
  <si>
    <t xml:space="preserve"> რა გვაქვს ნაყიდი, ასევე გეგმა </t>
  </si>
  <si>
    <t>1. პერსონალური დაცვის საშუალებები COVID19/G/DC-05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</si>
  <si>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COVID19/G/DC-06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</si>
  <si>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</si>
  <si>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</si>
  <si>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</si>
  <si>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</si>
  <si>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</si>
  <si>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8.  ავტოსატრანსპორტო საშუალებები მარეგულირებელი სააგენტოსათვის COVID19/G/RFQ-04 / </t>
  </si>
  <si>
    <t>9. პირველადი ჯანდაცვის აღჭურვა (100 ამბულატორია)</t>
  </si>
  <si>
    <t>ჯამი</t>
  </si>
  <si>
    <t xml:space="preserve">სავარაუდო ხარჯი   (USD) </t>
  </si>
  <si>
    <t xml:space="preserve">გაფორმებული კონტრაქტები </t>
  </si>
  <si>
    <t>მომავალი / სავარაუდო კონტრაქტები</t>
  </si>
  <si>
    <t>უკვე დაგეგმილი კონტრაქტები</t>
  </si>
  <si>
    <t>რესურსი</t>
  </si>
  <si>
    <t>საქონელი</t>
  </si>
  <si>
    <t>რეაბილიტაცია</t>
  </si>
  <si>
    <t>საკონსულტაციო მომსახურება</t>
  </si>
  <si>
    <t>საქართველო - COVID-19-ზე რეაგირების საგანგებო ღონისძიებების პროექტი</t>
  </si>
  <si>
    <t xml:space="preserve">დარჩენილი თანხა (USD) </t>
  </si>
  <si>
    <t>საბიუჯეტო რესურსი</t>
  </si>
  <si>
    <t>კარანტინი, მზაობა, ქეისების მართვა</t>
  </si>
  <si>
    <t xml:space="preserve">კომპონენტი 3. პროექტის მართვა და მონიტორინგი </t>
  </si>
  <si>
    <t xml:space="preserve">COVID19/CW/RFB-01 / ჯანდაცის საწესებულებებისთვის სარეაბლიტაციო სამუშაოაები </t>
  </si>
  <si>
    <t>27 03 03 11 01</t>
  </si>
  <si>
    <t>27 04 03</t>
  </si>
  <si>
    <t>27 03 03 11 04</t>
  </si>
  <si>
    <t>პროგრამული კოდები</t>
  </si>
  <si>
    <t>27 03 03 11 02</t>
  </si>
  <si>
    <t>PIU თანამშრომელთა შრომის ანაზღაურება (ლარი)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</si>
  <si>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</si>
  <si>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</si>
  <si>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>27 03 03 11 03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</si>
  <si>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</si>
  <si>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მართვა (WB)</t>
  </si>
  <si>
    <t>პროგრამული კოდი</t>
  </si>
  <si>
    <t>დასახელება</t>
  </si>
  <si>
    <t>ს უ ლ</t>
  </si>
  <si>
    <t>27 03 03 11 05</t>
  </si>
  <si>
    <t xml:space="preserve">პროგრამული
 კოდი   </t>
  </si>
  <si>
    <t>დ ა ს ა ხ ე ლ ე ბ ა</t>
  </si>
  <si>
    <t>გეგმა</t>
  </si>
  <si>
    <t xml:space="preserve">ვალდებულება </t>
  </si>
  <si>
    <t>გადახდა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</si>
  <si>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</si>
  <si>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</si>
  <si>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</si>
  <si>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</si>
  <si>
    <t>27 02 06 02</t>
  </si>
  <si>
    <t>ახალი კორონავირუსით (SARS-COV-2) გამოწვეული ინფექციის (COVID-19) შედეგად მიყენებული ზიანის შემსუბუქება (მოწყვლადი ჯგუფებისათვის ფულადი დახმარება/კომპენსაცია)</t>
  </si>
  <si>
    <t>27 02 06 02 01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</si>
  <si>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</si>
  <si>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სოციალურად დაუცველი ოჯახების მონაცემთა ერთიან ბაზაში რეგისტრირებული ოჯახები (სარეიტინგო ქულა მეტია 65 000-ზე და ნაკლებია 100 001-ზე ოჯახის წევრთა რაოდენობის შესაბამისად)</t>
  </si>
  <si>
    <t xml:space="preserve"> ოჯახის წევრთა რაოდნეობის შესაბამისად, თითოეულ წევრზე 35 ლარი </t>
  </si>
  <si>
    <t>6 თვე</t>
  </si>
  <si>
    <t xml:space="preserve">      სოციალური დახმარებაერთი წევრისგან შემდგარი ოჯახი </t>
  </si>
  <si>
    <t xml:space="preserve">   ორი წევრი</t>
  </si>
  <si>
    <t xml:space="preserve">გ) მონაცემთა ბაზაში რეგისტრირებული 100 001-მე სარეიტინგო ქულის ოჯახები, რომელთაც ჰყავთ 3 ან 3-ზე მეტი 0-დან 16 წლის ასაკის ჩათვლით ბავშვი </t>
  </si>
  <si>
    <t>27 02 06 02 02</t>
  </si>
  <si>
    <t>ახალი კორონავირუსით (SARS-COV-2) გამოწვეული ინფექციის (COVID-19) შედეგად მიყენებული ზიანის შემსუბუქება (შშმ პირებისათვის ფულადი დახმარება/კომპენსაცია)</t>
  </si>
  <si>
    <t>მკვეთრად გამოხატული შეზღუდული შესაძლებლობის მქონე პირს, ასევე შეზღუდული შესაძლებლობის მქონე ბავშვს</t>
  </si>
  <si>
    <t>100 ლარი</t>
  </si>
  <si>
    <t>სოციალური პაკეტის მიმღები</t>
  </si>
  <si>
    <t>სახელმწიფო კომპენსაციის მიმღები</t>
  </si>
  <si>
    <t>27 02 06 03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</si>
  <si>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</si>
  <si>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27 02 06 03 01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</si>
  <si>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</si>
  <si>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</t>
  </si>
  <si>
    <t>დაქირავებულს, თუ იღებდა 1 მაისამდე ხელფასს და საგანგებო მდგომარეობის დროს შეუწყდა/შეუჩერდა შრომითი ურთიერთობა დამქირავებელთან ან  არ იღებს მისგან ხელფასს</t>
  </si>
  <si>
    <t xml:space="preserve">200 ლარი </t>
  </si>
  <si>
    <t xml:space="preserve"> 6 თვე</t>
  </si>
  <si>
    <t>27 02 06 03 02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</si>
  <si>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ინდ.მეწარმეებისა და გადასახადის გადამხდელი ფიზიკური პირებისათვის)</t>
  </si>
  <si>
    <t>ინდ. მეწარმეებს, მცირე ბიზნესის სტატუსის მქონე მეწარმე ფიზიკურ პირებს და ფიქს.გადასახადის გადამხელ ფიზ. პირებს, რომელთაც მიმდინარე წლის პირველ კვარტალში უფიქსირდებათ ეკონომიკური აქტივობა ან/და შემოსავლები ეკონომიკური საქმიანობიდან, ასევე მიკრო ბიზნესის სტატუსი მქონე ფიზიკურ პირებს, რომელთაც ეს სტატუსი მიენიჭათ 1 აპრილა მდე და არ იღებენ დაფინანსებას ბიუჯეტიდან</t>
  </si>
  <si>
    <t>ერთჯერადი</t>
  </si>
  <si>
    <t>2.7</t>
  </si>
  <si>
    <t>ვ) ნებისმიერ ფიზიკურ პირს, რომელიც საქართველოში გადასახადის გადამხდელად რეგისტრირებული პირისაგან (გარდა არამეწარმე ფიზ.პირებისა) წარადგენს დამადასტ.დოკუმენტს, რომ პირველ კვარტალში ეწეოდა ეკონომიკურ საქმიანობა ან/და ქონდა შემოსავალი</t>
  </si>
  <si>
    <t>27 02 06 04</t>
  </si>
  <si>
    <t>ახალი კორონავირუსით (SARS-COV-2) გამოწვეული ინფექციის (COVID-19) შედეგად მიყენებული ზიანის შემსუბუქება (18 წლამდე ბავშვთა ერთჯერადი სოციალური დახმარება)</t>
  </si>
  <si>
    <t>რესურსი - საბიუჯეტო</t>
  </si>
  <si>
    <t>რესურსი - WB</t>
  </si>
  <si>
    <t>საკასო ხარჯი</t>
  </si>
  <si>
    <t xml:space="preserve">კომპონენტი 1 </t>
  </si>
  <si>
    <t>COVID-19 ვაქცინის ხელმისაწვდომობა</t>
  </si>
  <si>
    <t xml:space="preserve">27 04 03 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</si>
  <si>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</si>
  <si>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კომპონენტი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</si>
</sst>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  <numFmt numFmtId="170" formatCode="_([$$-409]* #,##0.00_);_([$$-409]* \(#,##0.00\);_([$$-409]* &quot;-&quot;??_);_(@_)"/>
    <numFmt numFmtId="171" formatCode="_-* #,##0.00\ [$CHF-100C]_-;\-* #,##0.00\ [$CHF-100C]_-;_-* &quot;-&quot;??\ [$CHF-100C]_-;_-@_-"/>
    <numFmt numFmtId="172" formatCode="#,##0.0"/>
    <numFmt numFmtId="173" formatCode="[$-10409]#,##0.00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rgb="FF000000"/>
      <name val="Sylfaen"/>
      <family val="1"/>
    </font>
    <font>
      <sz val="11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FF0000"/>
      <name val="Times New Roman"/>
      <family val="1"/>
      <charset val="204"/>
    </font>
    <font>
      <sz val="22"/>
      <name val="Times New Roman"/>
      <family val="1"/>
    </font>
    <font>
      <b/>
      <sz val="22"/>
      <color rgb="FFFF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Sylfaen"/>
      <family val="2"/>
    </font>
    <font>
      <b/>
      <sz val="8"/>
      <color indexed="8"/>
      <name val="Sylfaen"/>
      <family val="1"/>
    </font>
    <font>
      <b/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12"/>
      <color indexed="8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  <charset val="204"/>
    </font>
    <font>
      <b/>
      <u val="singleAccounting"/>
      <sz val="12"/>
      <color rgb="FFFF0000"/>
      <name val="Times New Roman"/>
      <family val="1"/>
    </font>
    <font>
      <b/>
      <sz val="12"/>
      <color rgb="FFFF0000"/>
      <name val="Arial"/>
      <family val="2"/>
      <charset val="204"/>
    </font>
    <font>
      <b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36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46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1" fillId="27" borderId="13" xfId="0" applyFont="1" applyFill="1" applyBorder="1"/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3" fillId="0" borderId="0" xfId="0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0" fontId="21" fillId="27" borderId="13" xfId="0" applyFont="1" applyFill="1" applyBorder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4" fontId="19" fillId="25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9" fillId="25" borderId="11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167" fontId="24" fillId="28" borderId="13" xfId="4" applyFont="1" applyFill="1" applyBorder="1" applyAlignment="1">
      <alignment horizontal="center" vertical="center" wrapText="1"/>
    </xf>
    <xf numFmtId="2" fontId="24" fillId="25" borderId="11" xfId="4" applyNumberFormat="1" applyFont="1" applyFill="1" applyBorder="1" applyAlignment="1">
      <alignment horizontal="center" vertical="center" wrapText="1"/>
    </xf>
    <xf numFmtId="2" fontId="24" fillId="25" borderId="13" xfId="4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2" fontId="24" fillId="30" borderId="0" xfId="4" applyNumberFormat="1" applyFont="1" applyFill="1" applyBorder="1" applyAlignment="1">
      <alignment horizontal="center" vertical="center" wrapText="1"/>
    </xf>
    <xf numFmtId="2" fontId="24" fillId="25" borderId="0" xfId="4" applyNumberFormat="1" applyFont="1" applyFill="1" applyBorder="1" applyAlignment="1">
      <alignment horizontal="center" vertical="center" wrapText="1"/>
    </xf>
    <xf numFmtId="4" fontId="26" fillId="29" borderId="0" xfId="0" applyNumberFormat="1" applyFont="1" applyFill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2" fontId="19" fillId="0" borderId="13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168" fontId="26" fillId="29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7" fontId="21" fillId="26" borderId="29" xfId="4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 wrapText="1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7" fontId="21" fillId="25" borderId="19" xfId="4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7" fontId="21" fillId="26" borderId="29" xfId="4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7" fontId="22" fillId="26" borderId="29" xfId="4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7" fontId="21" fillId="28" borderId="13" xfId="4" applyFont="1" applyFill="1" applyBorder="1" applyAlignment="1">
      <alignment horizontal="center" vertical="center" wrapText="1"/>
    </xf>
    <xf numFmtId="167" fontId="22" fillId="25" borderId="0" xfId="4" applyFont="1" applyFill="1" applyBorder="1" applyAlignment="1">
      <alignment horizontal="center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1" fillId="32" borderId="22" xfId="4" applyNumberFormat="1" applyFont="1" applyFill="1" applyBorder="1" applyAlignment="1">
      <alignment horizontal="center" vertical="center" wrapText="1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7" fontId="23" fillId="25" borderId="13" xfId="4" applyFont="1" applyFill="1" applyBorder="1" applyAlignment="1">
      <alignment horizontal="center" vertical="center" wrapText="1"/>
    </xf>
    <xf numFmtId="167" fontId="23" fillId="25" borderId="11" xfId="4" applyFont="1" applyFill="1" applyBorder="1" applyAlignment="1">
      <alignment horizontal="center" vertical="center" wrapText="1"/>
    </xf>
    <xf numFmtId="167" fontId="21" fillId="26" borderId="13" xfId="4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0" xfId="0" quotePrefix="1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7" fillId="27" borderId="13" xfId="0" applyNumberFormat="1" applyFont="1" applyFill="1" applyBorder="1" applyAlignment="1">
      <alignment horizontal="center" vertical="center" wrapText="1"/>
    </xf>
    <xf numFmtId="168" fontId="27" fillId="27" borderId="13" xfId="0" applyNumberFormat="1" applyFont="1" applyFill="1" applyBorder="1" applyAlignment="1">
      <alignment horizontal="center" vertical="center"/>
    </xf>
    <xf numFmtId="0" fontId="27" fillId="27" borderId="13" xfId="0" applyNumberFormat="1" applyFont="1" applyFill="1" applyBorder="1" applyAlignment="1">
      <alignment horizontal="center" vertical="center"/>
    </xf>
    <xf numFmtId="168" fontId="27" fillId="27" borderId="17" xfId="0" applyNumberFormat="1" applyFont="1" applyFill="1" applyBorder="1" applyAlignment="1">
      <alignment horizontal="center" vertical="center" wrapText="1"/>
    </xf>
    <xf numFmtId="168" fontId="23" fillId="27" borderId="13" xfId="0" applyNumberFormat="1" applyFont="1" applyFill="1" applyBorder="1" applyAlignment="1">
      <alignment horizontal="center" vertical="center" wrapText="1"/>
    </xf>
    <xf numFmtId="167" fontId="23" fillId="27" borderId="13" xfId="4" applyFont="1" applyFill="1" applyBorder="1" applyAlignment="1">
      <alignment horizontal="center" vertical="center" wrapText="1"/>
    </xf>
    <xf numFmtId="168" fontId="22" fillId="27" borderId="10" xfId="0" applyNumberFormat="1" applyFont="1" applyFill="1" applyBorder="1" applyAlignment="1">
      <alignment horizontal="center" vertical="center" wrapText="1"/>
    </xf>
    <xf numFmtId="168" fontId="21" fillId="27" borderId="15" xfId="0" applyNumberFormat="1" applyFont="1" applyFill="1" applyBorder="1" applyAlignment="1">
      <alignment horizontal="center" vertical="center" wrapText="1"/>
    </xf>
    <xf numFmtId="168" fontId="22" fillId="27" borderId="13" xfId="0" applyNumberFormat="1" applyFont="1" applyFill="1" applyBorder="1" applyAlignment="1">
      <alignment horizontal="center" vertical="center" wrapText="1"/>
    </xf>
    <xf numFmtId="167" fontId="22" fillId="27" borderId="13" xfId="4" applyFont="1" applyFill="1" applyBorder="1" applyAlignment="1">
      <alignment horizontal="center" vertical="center" wrapText="1"/>
    </xf>
    <xf numFmtId="168" fontId="22" fillId="29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horizontal="center" vertical="center" wrapText="1"/>
    </xf>
    <xf numFmtId="168" fontId="27" fillId="32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168" fontId="34" fillId="25" borderId="15" xfId="0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/>
    </xf>
    <xf numFmtId="168" fontId="21" fillId="27" borderId="40" xfId="0" applyNumberFormat="1" applyFont="1" applyFill="1" applyBorder="1" applyAlignment="1">
      <alignment horizontal="center" vertical="center" wrapText="1"/>
    </xf>
    <xf numFmtId="168" fontId="21" fillId="27" borderId="40" xfId="0" applyNumberFormat="1" applyFont="1" applyFill="1" applyBorder="1" applyAlignment="1">
      <alignment wrapText="1"/>
    </xf>
    <xf numFmtId="167" fontId="21" fillId="25" borderId="10" xfId="4" applyFont="1" applyFill="1" applyBorder="1" applyAlignment="1"/>
    <xf numFmtId="167" fontId="22" fillId="25" borderId="10" xfId="4" applyFont="1" applyFill="1" applyBorder="1" applyAlignment="1">
      <alignment wrapText="1"/>
    </xf>
    <xf numFmtId="167" fontId="22" fillId="25" borderId="13" xfId="4" applyFont="1" applyFill="1" applyBorder="1" applyAlignment="1">
      <alignment wrapText="1"/>
    </xf>
    <xf numFmtId="168" fontId="22" fillId="25" borderId="13" xfId="0" applyNumberFormat="1" applyFont="1" applyFill="1" applyBorder="1" applyAlignment="1">
      <alignment wrapText="1"/>
    </xf>
    <xf numFmtId="167" fontId="34" fillId="25" borderId="13" xfId="4" applyFont="1" applyFill="1" applyBorder="1" applyAlignment="1">
      <alignment wrapText="1"/>
    </xf>
    <xf numFmtId="168" fontId="34" fillId="25" borderId="13" xfId="0" applyNumberFormat="1" applyFont="1" applyFill="1" applyBorder="1" applyAlignment="1">
      <alignment wrapText="1"/>
    </xf>
    <xf numFmtId="168" fontId="22" fillId="25" borderId="40" xfId="0" applyNumberFormat="1" applyFont="1" applyFill="1" applyBorder="1" applyAlignment="1">
      <alignment wrapText="1"/>
    </xf>
    <xf numFmtId="168" fontId="22" fillId="25" borderId="0" xfId="0" applyNumberFormat="1" applyFont="1" applyFill="1" applyBorder="1" applyAlignment="1"/>
    <xf numFmtId="0" fontId="21" fillId="25" borderId="2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32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vertical="center" wrapText="1"/>
    </xf>
    <xf numFmtId="170" fontId="23" fillId="27" borderId="13" xfId="2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/>
    </xf>
    <xf numFmtId="167" fontId="23" fillId="25" borderId="10" xfId="4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68" fontId="29" fillId="27" borderId="17" xfId="0" applyNumberFormat="1" applyFont="1" applyFill="1" applyBorder="1" applyAlignment="1">
      <alignment horizontal="center" vertical="center" wrapText="1"/>
    </xf>
    <xf numFmtId="171" fontId="22" fillId="25" borderId="13" xfId="0" applyNumberFormat="1" applyFont="1" applyFill="1" applyBorder="1" applyAlignment="1">
      <alignment horizontal="center" vertical="center"/>
    </xf>
    <xf numFmtId="171" fontId="21" fillId="25" borderId="13" xfId="0" applyNumberFormat="1" applyFont="1" applyFill="1" applyBorder="1" applyAlignment="1">
      <alignment horizontal="center" vertical="center"/>
    </xf>
    <xf numFmtId="168" fontId="22" fillId="0" borderId="0" xfId="0" applyNumberFormat="1" applyFont="1" applyAlignment="1"/>
    <xf numFmtId="167" fontId="22" fillId="0" borderId="0" xfId="4" applyFont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167" fontId="23" fillId="0" borderId="0" xfId="4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168" fontId="29" fillId="36" borderId="1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/>
    <xf numFmtId="0" fontId="39" fillId="0" borderId="2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167" fontId="40" fillId="0" borderId="0" xfId="4" applyFont="1"/>
    <xf numFmtId="0" fontId="40" fillId="0" borderId="0" xfId="0" applyFont="1"/>
    <xf numFmtId="0" fontId="41" fillId="27" borderId="13" xfId="0" applyFont="1" applyFill="1" applyBorder="1" applyAlignment="1">
      <alignment vertical="center" wrapText="1"/>
    </xf>
    <xf numFmtId="168" fontId="41" fillId="27" borderId="13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25" borderId="13" xfId="0" applyFont="1" applyFill="1" applyBorder="1" applyAlignment="1">
      <alignment vertical="center" wrapText="1"/>
    </xf>
    <xf numFmtId="168" fontId="41" fillId="25" borderId="0" xfId="0" applyNumberFormat="1" applyFont="1" applyFill="1" applyBorder="1" applyAlignment="1">
      <alignment horizontal="center"/>
    </xf>
    <xf numFmtId="0" fontId="39" fillId="25" borderId="0" xfId="0" applyFont="1" applyFill="1"/>
    <xf numFmtId="0" fontId="41" fillId="27" borderId="13" xfId="0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1" fillId="35" borderId="40" xfId="0" applyFont="1" applyFill="1" applyBorder="1" applyAlignment="1">
      <alignment horizontal="center" vertical="center"/>
    </xf>
    <xf numFmtId="0" fontId="41" fillId="27" borderId="40" xfId="0" applyFont="1" applyFill="1" applyBorder="1" applyAlignment="1">
      <alignment horizontal="center" vertical="center" wrapText="1"/>
    </xf>
    <xf numFmtId="168" fontId="41" fillId="26" borderId="10" xfId="0" applyNumberFormat="1" applyFont="1" applyFill="1" applyBorder="1" applyAlignment="1">
      <alignment horizontal="left" vertical="center" wrapText="1"/>
    </xf>
    <xf numFmtId="168" fontId="42" fillId="25" borderId="13" xfId="0" applyNumberFormat="1" applyFont="1" applyFill="1" applyBorder="1" applyAlignment="1">
      <alignment horizontal="center" vertical="center" wrapText="1"/>
    </xf>
    <xf numFmtId="168" fontId="41" fillId="25" borderId="13" xfId="0" applyNumberFormat="1" applyFont="1" applyFill="1" applyBorder="1" applyAlignment="1">
      <alignment horizontal="center" vertical="center" wrapText="1"/>
    </xf>
    <xf numFmtId="168" fontId="41" fillId="25" borderId="40" xfId="0" applyNumberFormat="1" applyFont="1" applyFill="1" applyBorder="1" applyAlignment="1">
      <alignment horizontal="center" vertical="center" wrapText="1"/>
    </xf>
    <xf numFmtId="168" fontId="42" fillId="27" borderId="13" xfId="0" applyNumberFormat="1" applyFont="1" applyFill="1" applyBorder="1" applyAlignment="1">
      <alignment horizontal="center" vertical="center"/>
    </xf>
    <xf numFmtId="167" fontId="39" fillId="0" borderId="0" xfId="4" applyFont="1" applyAlignment="1">
      <alignment horizontal="center" vertical="center"/>
    </xf>
    <xf numFmtId="168" fontId="41" fillId="26" borderId="40" xfId="0" applyNumberFormat="1" applyFont="1" applyFill="1" applyBorder="1" applyAlignment="1">
      <alignment horizontal="left" vertical="center" wrapText="1"/>
    </xf>
    <xf numFmtId="168" fontId="43" fillId="36" borderId="13" xfId="0" applyNumberFormat="1" applyFont="1" applyFill="1" applyBorder="1" applyAlignment="1">
      <alignment horizontal="center" vertical="center" wrapText="1"/>
    </xf>
    <xf numFmtId="167" fontId="39" fillId="0" borderId="0" xfId="4" applyFont="1" applyAlignment="1"/>
    <xf numFmtId="167" fontId="40" fillId="0" borderId="0" xfId="4" applyFont="1" applyAlignment="1">
      <alignment horizontal="center" vertical="center"/>
    </xf>
    <xf numFmtId="168" fontId="41" fillId="25" borderId="11" xfId="0" applyNumberFormat="1" applyFont="1" applyFill="1" applyBorder="1" applyAlignment="1">
      <alignment horizontal="center" vertical="center" wrapText="1"/>
    </xf>
    <xf numFmtId="168" fontId="41" fillId="25" borderId="15" xfId="0" applyNumberFormat="1" applyFont="1" applyFill="1" applyBorder="1" applyAlignment="1">
      <alignment horizontal="center" vertical="center" wrapText="1"/>
    </xf>
    <xf numFmtId="168" fontId="39" fillId="0" borderId="0" xfId="0" applyNumberFormat="1" applyFont="1" applyAlignment="1"/>
    <xf numFmtId="168" fontId="41" fillId="26" borderId="13" xfId="0" applyNumberFormat="1" applyFont="1" applyFill="1" applyBorder="1" applyAlignment="1">
      <alignment horizontal="left" vertical="center" wrapText="1"/>
    </xf>
    <xf numFmtId="168" fontId="41" fillId="25" borderId="10" xfId="0" applyNumberFormat="1" applyFont="1" applyFill="1" applyBorder="1" applyAlignment="1">
      <alignment horizontal="center" vertical="center" wrapText="1"/>
    </xf>
    <xf numFmtId="168" fontId="41" fillId="24" borderId="13" xfId="0" applyNumberFormat="1" applyFont="1" applyFill="1" applyBorder="1" applyAlignment="1">
      <alignment horizontal="center" vertical="center"/>
    </xf>
    <xf numFmtId="168" fontId="41" fillId="24" borderId="40" xfId="0" applyNumberFormat="1" applyFont="1" applyFill="1" applyBorder="1" applyAlignment="1">
      <alignment horizontal="center" vertical="center"/>
    </xf>
    <xf numFmtId="168" fontId="41" fillId="25" borderId="0" xfId="0" applyNumberFormat="1" applyFont="1" applyFill="1" applyBorder="1" applyAlignment="1">
      <alignment horizontal="left" vertical="center" wrapText="1"/>
    </xf>
    <xf numFmtId="168" fontId="41" fillId="25" borderId="0" xfId="0" applyNumberFormat="1" applyFont="1" applyFill="1" applyBorder="1" applyAlignment="1">
      <alignment horizontal="center" vertical="center"/>
    </xf>
    <xf numFmtId="0" fontId="39" fillId="25" borderId="0" xfId="0" applyFont="1" applyFill="1" applyBorder="1"/>
    <xf numFmtId="0" fontId="39" fillId="25" borderId="0" xfId="0" applyFont="1" applyFill="1" applyAlignment="1"/>
    <xf numFmtId="168" fontId="41" fillId="26" borderId="13" xfId="0" applyNumberFormat="1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168" fontId="41" fillId="0" borderId="13" xfId="0" applyNumberFormat="1" applyFont="1" applyBorder="1" applyAlignment="1">
      <alignment horizontal="center" vertical="center"/>
    </xf>
    <xf numFmtId="168" fontId="41" fillId="0" borderId="40" xfId="0" applyNumberFormat="1" applyFont="1" applyBorder="1" applyAlignment="1">
      <alignment horizontal="center" vertical="center"/>
    </xf>
    <xf numFmtId="167" fontId="39" fillId="0" borderId="0" xfId="0" applyNumberFormat="1" applyFont="1" applyAlignment="1"/>
    <xf numFmtId="0" fontId="39" fillId="0" borderId="13" xfId="0" applyFont="1" applyBorder="1"/>
    <xf numFmtId="0" fontId="41" fillId="27" borderId="13" xfId="0" applyFont="1" applyFill="1" applyBorder="1" applyAlignment="1">
      <alignment horizontal="center" vertical="center"/>
    </xf>
    <xf numFmtId="2" fontId="41" fillId="0" borderId="13" xfId="0" applyNumberFormat="1" applyFont="1" applyBorder="1" applyAlignment="1">
      <alignment horizontal="center" vertical="center"/>
    </xf>
    <xf numFmtId="168" fontId="41" fillId="24" borderId="13" xfId="0" applyNumberFormat="1" applyFont="1" applyFill="1" applyBorder="1" applyAlignment="1">
      <alignment horizontal="center"/>
    </xf>
    <xf numFmtId="168" fontId="41" fillId="24" borderId="40" xfId="0" applyNumberFormat="1" applyFont="1" applyFill="1" applyBorder="1" applyAlignment="1">
      <alignment horizontal="center"/>
    </xf>
    <xf numFmtId="168" fontId="39" fillId="25" borderId="0" xfId="0" applyNumberFormat="1" applyFont="1" applyFill="1" applyBorder="1" applyAlignment="1">
      <alignment horizontal="center"/>
    </xf>
    <xf numFmtId="168" fontId="39" fillId="25" borderId="0" xfId="0" applyNumberFormat="1" applyFont="1" applyFill="1" applyBorder="1"/>
    <xf numFmtId="168" fontId="41" fillId="25" borderId="0" xfId="0" applyNumberFormat="1" applyFont="1" applyFill="1" applyBorder="1" applyAlignment="1">
      <alignment horizontal="center" vertical="center" wrapText="1"/>
    </xf>
    <xf numFmtId="0" fontId="39" fillId="25" borderId="0" xfId="0" applyFont="1" applyFill="1" applyAlignment="1">
      <alignment horizontal="center"/>
    </xf>
    <xf numFmtId="4" fontId="41" fillId="27" borderId="1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12" xfId="0" applyFont="1" applyBorder="1"/>
    <xf numFmtId="168" fontId="41" fillId="24" borderId="16" xfId="0" applyNumberFormat="1" applyFont="1" applyFill="1" applyBorder="1" applyAlignment="1">
      <alignment horizontal="center" vertical="center"/>
    </xf>
    <xf numFmtId="168" fontId="41" fillId="24" borderId="0" xfId="0" applyNumberFormat="1" applyFont="1" applyFill="1" applyBorder="1" applyAlignment="1">
      <alignment horizontal="center" vertical="center"/>
    </xf>
    <xf numFmtId="168" fontId="42" fillId="26" borderId="10" xfId="0" applyNumberFormat="1" applyFont="1" applyFill="1" applyBorder="1" applyAlignment="1">
      <alignment horizontal="center" vertical="center" wrapText="1"/>
    </xf>
    <xf numFmtId="0" fontId="41" fillId="36" borderId="14" xfId="0" applyFont="1" applyFill="1" applyBorder="1" applyAlignment="1">
      <alignment horizontal="center" vertical="center"/>
    </xf>
    <xf numFmtId="0" fontId="44" fillId="0" borderId="40" xfId="0" applyFont="1" applyBorder="1"/>
    <xf numFmtId="0" fontId="44" fillId="25" borderId="40" xfId="0" applyFont="1" applyFill="1" applyBorder="1"/>
    <xf numFmtId="0" fontId="44" fillId="0" borderId="40" xfId="0" applyFont="1" applyBorder="1" applyAlignment="1">
      <alignment wrapText="1"/>
    </xf>
    <xf numFmtId="0" fontId="45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9" fillId="0" borderId="40" xfId="0" applyFont="1" applyBorder="1"/>
    <xf numFmtId="0" fontId="39" fillId="0" borderId="40" xfId="0" applyFont="1" applyBorder="1" applyAlignment="1">
      <alignment horizontal="center"/>
    </xf>
    <xf numFmtId="0" fontId="49" fillId="0" borderId="41" xfId="0" applyFont="1" applyBorder="1" applyAlignment="1" applyProtection="1">
      <alignment horizontal="center" vertical="top" wrapText="1" readingOrder="1"/>
      <protection locked="0"/>
    </xf>
    <xf numFmtId="0" fontId="50" fillId="0" borderId="41" xfId="0" applyFont="1" applyBorder="1" applyAlignment="1" applyProtection="1">
      <alignment horizontal="center" vertical="top" wrapText="1" readingOrder="1"/>
      <protection locked="0"/>
    </xf>
    <xf numFmtId="0" fontId="50" fillId="0" borderId="41" xfId="0" applyFont="1" applyBorder="1" applyAlignment="1" applyProtection="1">
      <alignment vertical="top" wrapText="1" readingOrder="1"/>
      <protection locked="0"/>
    </xf>
    <xf numFmtId="0" fontId="52" fillId="24" borderId="41" xfId="0" applyFont="1" applyFill="1" applyBorder="1" applyAlignment="1" applyProtection="1">
      <alignment horizontal="center" vertical="top" wrapText="1" readingOrder="1"/>
      <protection locked="0"/>
    </xf>
    <xf numFmtId="0" fontId="53" fillId="24" borderId="41" xfId="0" applyFont="1" applyFill="1" applyBorder="1" applyAlignment="1" applyProtection="1">
      <alignment vertical="top" wrapText="1" readingOrder="1"/>
      <protection locked="0"/>
    </xf>
    <xf numFmtId="173" fontId="54" fillId="24" borderId="41" xfId="0" applyNumberFormat="1" applyFont="1" applyFill="1" applyBorder="1" applyAlignment="1" applyProtection="1">
      <alignment vertical="center" wrapText="1" readingOrder="1"/>
      <protection locked="0"/>
    </xf>
    <xf numFmtId="173" fontId="54" fillId="24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54" fillId="24" borderId="41" xfId="0" applyFont="1" applyFill="1" applyBorder="1" applyAlignment="1" applyProtection="1">
      <alignment horizontal="center" vertical="center" wrapText="1" readingOrder="1"/>
      <protection locked="0"/>
    </xf>
    <xf numFmtId="0" fontId="51" fillId="0" borderId="41" xfId="0" applyFont="1" applyFill="1" applyBorder="1" applyAlignment="1" applyProtection="1">
      <alignment vertical="top" wrapText="1" readingOrder="1"/>
      <protection locked="0"/>
    </xf>
    <xf numFmtId="0" fontId="50" fillId="0" borderId="41" xfId="0" applyFont="1" applyFill="1" applyBorder="1" applyAlignment="1" applyProtection="1">
      <alignment vertical="top" wrapText="1" readingOrder="1"/>
      <protection locked="0"/>
    </xf>
    <xf numFmtId="167" fontId="54" fillId="0" borderId="41" xfId="4" applyFont="1" applyFill="1" applyBorder="1" applyAlignment="1" applyProtection="1">
      <alignment vertical="center" wrapText="1" readingOrder="1"/>
      <protection locked="0"/>
    </xf>
    <xf numFmtId="0" fontId="0" fillId="0" borderId="0" xfId="0" applyFill="1"/>
    <xf numFmtId="0" fontId="50" fillId="0" borderId="50" xfId="0" applyFont="1" applyBorder="1" applyAlignment="1" applyProtection="1">
      <alignment vertical="top" wrapText="1" readingOrder="1"/>
      <protection locked="0"/>
    </xf>
    <xf numFmtId="167" fontId="54" fillId="0" borderId="50" xfId="4" applyFont="1" applyFill="1" applyBorder="1" applyAlignment="1" applyProtection="1">
      <alignment vertical="center" wrapText="1" readingOrder="1"/>
      <protection locked="0"/>
    </xf>
    <xf numFmtId="173" fontId="54" fillId="24" borderId="50" xfId="0" applyNumberFormat="1" applyFont="1" applyFill="1" applyBorder="1" applyAlignment="1" applyProtection="1">
      <alignment vertical="center" wrapText="1" readingOrder="1"/>
      <protection locked="0"/>
    </xf>
    <xf numFmtId="0" fontId="0" fillId="0" borderId="52" xfId="0" applyBorder="1"/>
    <xf numFmtId="0" fontId="0" fillId="0" borderId="52" xfId="0" applyFill="1" applyBorder="1"/>
    <xf numFmtId="4" fontId="48" fillId="0" borderId="0" xfId="0" applyNumberFormat="1" applyFont="1" applyFill="1" applyBorder="1" applyAlignment="1">
      <alignment horizontal="center" vertical="top" wrapText="1" readingOrder="1"/>
    </xf>
    <xf numFmtId="167" fontId="41" fillId="0" borderId="53" xfId="4" applyFont="1" applyBorder="1"/>
    <xf numFmtId="0" fontId="49" fillId="0" borderId="54" xfId="0" applyFont="1" applyBorder="1" applyAlignment="1" applyProtection="1">
      <alignment horizontal="center" vertical="top" wrapText="1" readingOrder="1"/>
      <protection locked="0"/>
    </xf>
    <xf numFmtId="0" fontId="50" fillId="0" borderId="55" xfId="0" applyFont="1" applyBorder="1" applyAlignment="1" applyProtection="1">
      <alignment horizontal="center" vertical="top" wrapText="1" readingOrder="1"/>
      <protection locked="0"/>
    </xf>
    <xf numFmtId="4" fontId="48" fillId="0" borderId="56" xfId="0" applyNumberFormat="1" applyFont="1" applyFill="1" applyBorder="1" applyAlignment="1">
      <alignment horizontal="center" vertical="top" wrapText="1" readingOrder="1"/>
    </xf>
    <xf numFmtId="4" fontId="48" fillId="0" borderId="57" xfId="0" applyNumberFormat="1" applyFont="1" applyFill="1" applyBorder="1" applyAlignment="1">
      <alignment horizontal="center" vertical="top" wrapText="1" readingOrder="1"/>
    </xf>
    <xf numFmtId="4" fontId="48" fillId="0" borderId="58" xfId="0" applyNumberFormat="1" applyFont="1" applyFill="1" applyBorder="1" applyAlignment="1">
      <alignment horizontal="center" vertical="top" wrapText="1" readingOrder="1"/>
    </xf>
    <xf numFmtId="4" fontId="48" fillId="0" borderId="59" xfId="0" applyNumberFormat="1" applyFont="1" applyFill="1" applyBorder="1" applyAlignment="1">
      <alignment vertical="center" wrapText="1" readingOrder="1"/>
    </xf>
    <xf numFmtId="167" fontId="54" fillId="0" borderId="60" xfId="4" applyFont="1" applyFill="1" applyBorder="1" applyAlignment="1" applyProtection="1">
      <alignment vertical="center" wrapText="1" readingOrder="1"/>
      <protection locked="0"/>
    </xf>
    <xf numFmtId="0" fontId="0" fillId="0" borderId="61" xfId="0" applyBorder="1"/>
    <xf numFmtId="4" fontId="48" fillId="0" borderId="62" xfId="0" applyNumberFormat="1" applyFont="1" applyFill="1" applyBorder="1" applyAlignment="1">
      <alignment horizontal="center" vertical="top" wrapText="1" readingOrder="1"/>
    </xf>
    <xf numFmtId="4" fontId="47" fillId="0" borderId="63" xfId="0" applyNumberFormat="1" applyFont="1" applyFill="1" applyBorder="1" applyAlignment="1">
      <alignment horizontal="center" vertical="center" wrapText="1" readingOrder="1"/>
    </xf>
    <xf numFmtId="4" fontId="48" fillId="0" borderId="52" xfId="0" applyNumberFormat="1" applyFont="1" applyFill="1" applyBorder="1" applyAlignment="1">
      <alignment vertical="center" wrapText="1" readingOrder="1"/>
    </xf>
    <xf numFmtId="0" fontId="0" fillId="0" borderId="65" xfId="0" applyBorder="1"/>
    <xf numFmtId="4" fontId="48" fillId="0" borderId="66" xfId="0" applyNumberFormat="1" applyFont="1" applyFill="1" applyBorder="1" applyAlignment="1">
      <alignment vertical="center" wrapText="1" readingOrder="1"/>
    </xf>
    <xf numFmtId="0" fontId="55" fillId="0" borderId="59" xfId="0" applyFont="1" applyBorder="1"/>
    <xf numFmtId="167" fontId="45" fillId="0" borderId="59" xfId="4" applyFont="1" applyBorder="1"/>
    <xf numFmtId="0" fontId="45" fillId="0" borderId="59" xfId="0" applyFont="1" applyBorder="1"/>
    <xf numFmtId="0" fontId="45" fillId="25" borderId="59" xfId="0" applyFont="1" applyFill="1" applyBorder="1"/>
    <xf numFmtId="0" fontId="46" fillId="0" borderId="59" xfId="0" applyFont="1" applyBorder="1"/>
    <xf numFmtId="0" fontId="46" fillId="25" borderId="59" xfId="0" applyFont="1" applyFill="1" applyBorder="1"/>
    <xf numFmtId="43" fontId="56" fillId="0" borderId="0" xfId="0" applyNumberFormat="1" applyFont="1"/>
    <xf numFmtId="4" fontId="47" fillId="0" borderId="72" xfId="0" applyNumberFormat="1" applyFont="1" applyFill="1" applyBorder="1" applyAlignment="1">
      <alignment horizontal="center" vertical="center" wrapText="1" readingOrder="1"/>
    </xf>
    <xf numFmtId="0" fontId="0" fillId="0" borderId="64" xfId="0" applyBorder="1"/>
    <xf numFmtId="167" fontId="41" fillId="0" borderId="74" xfId="4" applyFont="1" applyBorder="1"/>
    <xf numFmtId="167" fontId="41" fillId="0" borderId="75" xfId="4" applyFont="1" applyBorder="1"/>
    <xf numFmtId="4" fontId="47" fillId="0" borderId="76" xfId="0" applyNumberFormat="1" applyFont="1" applyFill="1" applyBorder="1" applyAlignment="1">
      <alignment horizontal="center" vertical="center" wrapText="1" readingOrder="1"/>
    </xf>
    <xf numFmtId="167" fontId="41" fillId="0" borderId="77" xfId="4" applyFont="1" applyBorder="1"/>
    <xf numFmtId="172" fontId="0" fillId="0" borderId="77" xfId="0" applyNumberFormat="1" applyBorder="1"/>
    <xf numFmtId="167" fontId="54" fillId="24" borderId="78" xfId="4" applyFont="1" applyFill="1" applyBorder="1" applyAlignment="1" applyProtection="1">
      <alignment vertical="center" wrapText="1" readingOrder="1"/>
      <protection locked="0"/>
    </xf>
    <xf numFmtId="167" fontId="54" fillId="24" borderId="79" xfId="4" applyFont="1" applyFill="1" applyBorder="1" applyAlignment="1" applyProtection="1">
      <alignment vertical="center" wrapText="1" readingOrder="1"/>
      <protection locked="0"/>
    </xf>
    <xf numFmtId="167" fontId="59" fillId="0" borderId="53" xfId="4" applyFont="1" applyBorder="1"/>
    <xf numFmtId="167" fontId="54" fillId="0" borderId="0" xfId="4" applyFont="1" applyFill="1" applyBorder="1" applyAlignment="1" applyProtection="1">
      <alignment vertical="center" wrapText="1" readingOrder="1"/>
      <protection locked="0"/>
    </xf>
    <xf numFmtId="4" fontId="47" fillId="24" borderId="62" xfId="0" applyNumberFormat="1" applyFont="1" applyFill="1" applyBorder="1" applyAlignment="1">
      <alignment horizontal="center" vertical="center" wrapText="1" readingOrder="1"/>
    </xf>
    <xf numFmtId="4" fontId="48" fillId="24" borderId="57" xfId="0" applyNumberFormat="1" applyFont="1" applyFill="1" applyBorder="1" applyAlignment="1">
      <alignment vertical="center" wrapText="1" readingOrder="1"/>
    </xf>
    <xf numFmtId="167" fontId="54" fillId="24" borderId="80" xfId="4" applyFont="1" applyFill="1" applyBorder="1" applyAlignment="1" applyProtection="1">
      <alignment vertical="center" wrapText="1" readingOrder="1"/>
      <protection locked="0"/>
    </xf>
    <xf numFmtId="167" fontId="54" fillId="24" borderId="81" xfId="4" applyFont="1" applyFill="1" applyBorder="1" applyAlignment="1" applyProtection="1">
      <alignment vertical="center" wrapText="1" readingOrder="1"/>
      <protection locked="0"/>
    </xf>
    <xf numFmtId="4" fontId="47" fillId="24" borderId="82" xfId="0" applyNumberFormat="1" applyFont="1" applyFill="1" applyBorder="1" applyAlignment="1">
      <alignment horizontal="center" vertical="center" wrapText="1" readingOrder="1"/>
    </xf>
    <xf numFmtId="4" fontId="48" fillId="24" borderId="83" xfId="0" applyNumberFormat="1" applyFont="1" applyFill="1" applyBorder="1" applyAlignment="1">
      <alignment vertical="center" wrapText="1" readingOrder="1"/>
    </xf>
    <xf numFmtId="167" fontId="54" fillId="24" borderId="84" xfId="4" applyFont="1" applyFill="1" applyBorder="1" applyAlignment="1" applyProtection="1">
      <alignment vertical="center" wrapText="1" readingOrder="1"/>
      <protection locked="0"/>
    </xf>
    <xf numFmtId="4" fontId="47" fillId="24" borderId="85" xfId="0" applyNumberFormat="1" applyFont="1" applyFill="1" applyBorder="1" applyAlignment="1">
      <alignment horizontal="center" vertical="center" wrapText="1" readingOrder="1"/>
    </xf>
    <xf numFmtId="4" fontId="48" fillId="24" borderId="86" xfId="0" applyNumberFormat="1" applyFont="1" applyFill="1" applyBorder="1" applyAlignment="1">
      <alignment vertical="center" wrapText="1" readingOrder="1"/>
    </xf>
    <xf numFmtId="167" fontId="54" fillId="24" borderId="87" xfId="4" applyFont="1" applyFill="1" applyBorder="1" applyAlignment="1" applyProtection="1">
      <alignment vertical="center" wrapText="1" readingOrder="1"/>
      <protection locked="0"/>
    </xf>
    <xf numFmtId="167" fontId="60" fillId="0" borderId="60" xfId="4" applyFont="1" applyFill="1" applyBorder="1" applyAlignment="1" applyProtection="1">
      <alignment vertical="center" wrapText="1" readingOrder="1"/>
      <protection locked="0"/>
    </xf>
    <xf numFmtId="167" fontId="57" fillId="0" borderId="66" xfId="0" applyNumberFormat="1" applyFont="1" applyBorder="1"/>
    <xf numFmtId="167" fontId="61" fillId="0" borderId="66" xfId="0" applyNumberFormat="1" applyFont="1" applyBorder="1"/>
    <xf numFmtId="0" fontId="41" fillId="27" borderId="13" xfId="0" applyFont="1" applyFill="1" applyBorder="1" applyAlignment="1">
      <alignment horizontal="left" vertical="center"/>
    </xf>
    <xf numFmtId="4" fontId="48" fillId="0" borderId="67" xfId="0" applyNumberFormat="1" applyFont="1" applyFill="1" applyBorder="1" applyAlignment="1">
      <alignment horizontal="center" vertical="top" wrapText="1" readingOrder="1"/>
    </xf>
    <xf numFmtId="4" fontId="48" fillId="0" borderId="68" xfId="0" applyNumberFormat="1" applyFont="1" applyFill="1" applyBorder="1" applyAlignment="1">
      <alignment horizontal="center" vertical="top" wrapText="1" readingOrder="1"/>
    </xf>
    <xf numFmtId="0" fontId="58" fillId="0" borderId="12" xfId="0" applyFont="1" applyBorder="1" applyAlignment="1">
      <alignment horizontal="center"/>
    </xf>
    <xf numFmtId="0" fontId="58" fillId="0" borderId="69" xfId="0" applyFont="1" applyBorder="1" applyAlignment="1">
      <alignment horizontal="center"/>
    </xf>
    <xf numFmtId="172" fontId="58" fillId="0" borderId="73" xfId="0" applyNumberFormat="1" applyFont="1" applyBorder="1" applyAlignment="1">
      <alignment horizontal="center" vertical="center"/>
    </xf>
    <xf numFmtId="172" fontId="58" fillId="0" borderId="70" xfId="0" applyNumberFormat="1" applyFont="1" applyBorder="1" applyAlignment="1">
      <alignment horizontal="center" vertical="center"/>
    </xf>
    <xf numFmtId="172" fontId="58" fillId="0" borderId="71" xfId="0" applyNumberFormat="1" applyFont="1" applyBorder="1" applyAlignment="1">
      <alignment horizontal="center" vertical="center"/>
    </xf>
    <xf numFmtId="173" fontId="54" fillId="24" borderId="42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3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4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0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5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6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7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48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49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50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51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7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9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27" borderId="13" xfId="0" applyFont="1" applyFill="1" applyBorder="1" applyAlignment="1">
      <alignment horizontal="left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0" fontId="21" fillId="25" borderId="26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 vertical="center" wrapText="1"/>
    </xf>
    <xf numFmtId="168" fontId="29" fillId="25" borderId="36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  <xf numFmtId="0" fontId="42" fillId="37" borderId="40" xfId="0" applyFont="1" applyFill="1" applyBorder="1" applyAlignment="1">
      <alignment horizontal="center" vertical="center" wrapText="1"/>
    </xf>
    <xf numFmtId="4" fontId="41" fillId="37" borderId="13" xfId="0" applyNumberFormat="1" applyFont="1" applyFill="1" applyBorder="1" applyAlignment="1">
      <alignment horizontal="center"/>
    </xf>
    <xf numFmtId="168" fontId="41" fillId="37" borderId="13" xfId="0" applyNumberFormat="1" applyFont="1" applyFill="1" applyBorder="1" applyAlignment="1">
      <alignment horizontal="center"/>
    </xf>
    <xf numFmtId="168" fontId="41" fillId="37" borderId="40" xfId="0" applyNumberFormat="1" applyFont="1" applyFill="1" applyBorder="1" applyAlignment="1">
      <alignment horizontal="center"/>
    </xf>
  </cellXfs>
  <cellStyles count="136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view="pageBreakPreview" zoomScale="60" zoomScaleNormal="100" workbookViewId="0">
      <selection activeCell="F27" sqref="F27"/>
    </sheetView>
  </sheetViews>
  <sheetFormatPr defaultColWidth="9.140625" defaultRowHeight="27.75" x14ac:dyDescent="0.4"/>
  <cols>
    <col min="1" max="1" width="5.5703125" style="283" customWidth="1"/>
    <col min="2" max="2" width="30.5703125" style="282" customWidth="1"/>
    <col min="3" max="3" width="68.42578125" style="283" customWidth="1"/>
    <col min="4" max="4" width="39" style="283" customWidth="1"/>
    <col min="5" max="5" width="29.28515625" style="284" customWidth="1"/>
    <col min="6" max="6" width="33.28515625" style="283" customWidth="1"/>
    <col min="7" max="7" width="33.28515625" style="283" hidden="1" customWidth="1"/>
    <col min="8" max="8" width="26" style="283" customWidth="1"/>
    <col min="9" max="9" width="33.85546875" style="283" customWidth="1"/>
    <col min="10" max="10" width="35.7109375" style="285" customWidth="1"/>
    <col min="11" max="11" width="37.85546875" style="347" hidden="1" customWidth="1"/>
    <col min="12" max="16384" width="9.140625" style="283"/>
  </cols>
  <sheetData>
    <row r="1" spans="2:11" ht="24" customHeight="1" x14ac:dyDescent="0.4"/>
    <row r="2" spans="2:11" ht="43.5" customHeight="1" x14ac:dyDescent="0.4">
      <c r="D2" s="286" t="s">
        <v>235</v>
      </c>
      <c r="E2" s="287" t="s">
        <v>244</v>
      </c>
      <c r="H2" s="288">
        <v>6000000</v>
      </c>
      <c r="I2" s="289" t="s">
        <v>54</v>
      </c>
    </row>
    <row r="3" spans="2:11" s="292" customFormat="1" ht="53.25" customHeight="1" x14ac:dyDescent="0.2">
      <c r="B3" s="282"/>
      <c r="C3" s="290"/>
      <c r="D3" s="291">
        <v>41500000</v>
      </c>
      <c r="E3" s="291">
        <f>F36</f>
        <v>34861578</v>
      </c>
      <c r="K3" s="348"/>
    </row>
    <row r="4" spans="2:11" ht="33.6" customHeight="1" x14ac:dyDescent="0.4">
      <c r="C4" s="293"/>
      <c r="D4" s="294"/>
      <c r="E4" s="294"/>
      <c r="F4" s="295"/>
      <c r="G4" s="295"/>
      <c r="H4" s="295"/>
      <c r="I4" s="295"/>
    </row>
    <row r="5" spans="2:11" ht="39" customHeight="1" x14ac:dyDescent="0.4">
      <c r="C5" s="296" t="s">
        <v>243</v>
      </c>
      <c r="F5" s="295"/>
      <c r="G5" s="295"/>
      <c r="H5" s="295"/>
      <c r="I5" s="295"/>
    </row>
    <row r="6" spans="2:11" ht="53.1" customHeight="1" x14ac:dyDescent="0.35">
      <c r="B6" s="346" t="s">
        <v>252</v>
      </c>
      <c r="C6" s="297" t="s">
        <v>240</v>
      </c>
      <c r="D6" s="298" t="s">
        <v>235</v>
      </c>
      <c r="E6" s="299" t="s">
        <v>236</v>
      </c>
      <c r="F6" s="300" t="s">
        <v>239</v>
      </c>
      <c r="G6" s="300" t="s">
        <v>245</v>
      </c>
      <c r="H6" s="301" t="s">
        <v>237</v>
      </c>
      <c r="I6" s="299" t="s">
        <v>238</v>
      </c>
      <c r="J6" s="343" t="s">
        <v>223</v>
      </c>
      <c r="K6" s="384" t="s">
        <v>239</v>
      </c>
    </row>
    <row r="7" spans="2:11" ht="48.75" customHeight="1" x14ac:dyDescent="0.4">
      <c r="B7" s="344" t="s">
        <v>249</v>
      </c>
      <c r="C7" s="302" t="s">
        <v>225</v>
      </c>
      <c r="D7" s="303">
        <v>5000000</v>
      </c>
      <c r="E7" s="304">
        <f>' GOODS I'!P11</f>
        <v>179820</v>
      </c>
      <c r="F7" s="304">
        <f>D7-E7</f>
        <v>4820180</v>
      </c>
      <c r="G7" s="305"/>
      <c r="H7" s="306">
        <f>D7-E7-I7</f>
        <v>-1186920</v>
      </c>
      <c r="I7" s="304">
        <f>' GOODS I'!F11</f>
        <v>6007100</v>
      </c>
      <c r="J7" s="307" t="s">
        <v>222</v>
      </c>
      <c r="K7" s="385">
        <v>34023536.899999999</v>
      </c>
    </row>
    <row r="8" spans="2:11" ht="89.45" customHeight="1" x14ac:dyDescent="0.4">
      <c r="B8" s="344" t="s">
        <v>250</v>
      </c>
      <c r="C8" s="308" t="s">
        <v>226</v>
      </c>
      <c r="D8" s="309">
        <f>6500000+500000</f>
        <v>7000000</v>
      </c>
      <c r="E8" s="304">
        <f>' GOODS I'!P24</f>
        <v>403437.6</v>
      </c>
      <c r="F8" s="304">
        <f t="shared" ref="F8:F14" si="0">D8-E8</f>
        <v>6596562.4000000004</v>
      </c>
      <c r="G8" s="305"/>
      <c r="H8" s="306">
        <f t="shared" ref="H8:H14" si="1">D8-E8-I8</f>
        <v>-269416.36798128765</v>
      </c>
      <c r="I8" s="304">
        <f>' GOODS I'!F24</f>
        <v>6865978.767981288</v>
      </c>
      <c r="J8" s="310">
        <v>0</v>
      </c>
      <c r="K8" s="385">
        <v>30000000</v>
      </c>
    </row>
    <row r="9" spans="2:11" ht="63.6" customHeight="1" x14ac:dyDescent="0.4">
      <c r="B9" s="344" t="s">
        <v>250</v>
      </c>
      <c r="C9" s="308" t="s">
        <v>227</v>
      </c>
      <c r="D9" s="304">
        <v>1000000</v>
      </c>
      <c r="E9" s="304">
        <f>' GOODS I'!P27</f>
        <v>0</v>
      </c>
      <c r="F9" s="304">
        <f t="shared" si="0"/>
        <v>1000000</v>
      </c>
      <c r="G9" s="305"/>
      <c r="H9" s="291">
        <f t="shared" si="1"/>
        <v>0</v>
      </c>
      <c r="I9" s="304">
        <f>' GOODS I'!F27</f>
        <v>1000000</v>
      </c>
      <c r="J9" s="310"/>
      <c r="K9" s="386"/>
    </row>
    <row r="10" spans="2:11" ht="66.75" customHeight="1" x14ac:dyDescent="0.4">
      <c r="B10" s="344" t="s">
        <v>250</v>
      </c>
      <c r="C10" s="308" t="s">
        <v>228</v>
      </c>
      <c r="D10" s="304">
        <v>2250000</v>
      </c>
      <c r="E10" s="304">
        <f>' GOODS I'!P30</f>
        <v>0</v>
      </c>
      <c r="F10" s="304">
        <f t="shared" si="0"/>
        <v>2250000</v>
      </c>
      <c r="G10" s="305"/>
      <c r="H10" s="291">
        <f t="shared" si="1"/>
        <v>300000</v>
      </c>
      <c r="I10" s="304">
        <f>' GOODS I'!F30</f>
        <v>1950000</v>
      </c>
      <c r="J10" s="310"/>
      <c r="K10" s="386"/>
    </row>
    <row r="11" spans="2:11" ht="57" customHeight="1" x14ac:dyDescent="0.4">
      <c r="B11" s="344" t="s">
        <v>249</v>
      </c>
      <c r="C11" s="308" t="s">
        <v>229</v>
      </c>
      <c r="D11" s="303">
        <f>25750000-500000</f>
        <v>25250000</v>
      </c>
      <c r="E11" s="304">
        <f>' GOODS I'!P53</f>
        <v>14107378.4</v>
      </c>
      <c r="F11" s="304">
        <f>D11-E11</f>
        <v>11142621.6</v>
      </c>
      <c r="G11" s="305"/>
      <c r="H11" s="291">
        <f>D11-E11-I11</f>
        <v>4176121.5999999996</v>
      </c>
      <c r="I11" s="304">
        <f>' GOODS I'!F53</f>
        <v>6966500</v>
      </c>
      <c r="J11" s="311" t="s">
        <v>224</v>
      </c>
      <c r="K11" s="386"/>
    </row>
    <row r="12" spans="2:11" ht="63" customHeight="1" x14ac:dyDescent="0.4">
      <c r="B12" s="344" t="s">
        <v>250</v>
      </c>
      <c r="C12" s="308" t="s">
        <v>230</v>
      </c>
      <c r="D12" s="312">
        <f>2800000+2500000</f>
        <v>5300000</v>
      </c>
      <c r="E12" s="304">
        <f>' GOODS I'!P57</f>
        <v>313476</v>
      </c>
      <c r="F12" s="304">
        <f>D12-E12</f>
        <v>4986524</v>
      </c>
      <c r="G12" s="305"/>
      <c r="H12" s="291">
        <f>D12-E12-I12</f>
        <v>1986524</v>
      </c>
      <c r="I12" s="304">
        <f>' GOODS I'!F57</f>
        <v>3000000</v>
      </c>
      <c r="K12" s="386"/>
    </row>
    <row r="13" spans="2:11" ht="66.75" customHeight="1" x14ac:dyDescent="0.4">
      <c r="B13" s="344" t="s">
        <v>250</v>
      </c>
      <c r="C13" s="308" t="s">
        <v>231</v>
      </c>
      <c r="D13" s="304">
        <v>50000</v>
      </c>
      <c r="E13" s="313">
        <f>' GOODS I'!P67</f>
        <v>379240</v>
      </c>
      <c r="F13" s="304">
        <f t="shared" si="0"/>
        <v>-329240</v>
      </c>
      <c r="G13" s="305"/>
      <c r="H13" s="291">
        <f t="shared" si="1"/>
        <v>-329240</v>
      </c>
      <c r="I13" s="304">
        <f>' GOODS I'!F63</f>
        <v>0</v>
      </c>
      <c r="J13" s="314">
        <f>D13+D14-E13</f>
        <v>20760</v>
      </c>
      <c r="K13" s="386"/>
    </row>
    <row r="14" spans="2:11" ht="70.5" customHeight="1" x14ac:dyDescent="0.4">
      <c r="B14" s="344" t="s">
        <v>250</v>
      </c>
      <c r="C14" s="308" t="s">
        <v>232</v>
      </c>
      <c r="D14" s="304">
        <v>350000</v>
      </c>
      <c r="E14" s="313">
        <f>F1</f>
        <v>0</v>
      </c>
      <c r="F14" s="304">
        <f t="shared" si="0"/>
        <v>350000</v>
      </c>
      <c r="G14" s="305"/>
      <c r="H14" s="291">
        <f t="shared" si="1"/>
        <v>350000</v>
      </c>
      <c r="I14" s="304">
        <f>' GOODS I'!F67</f>
        <v>0</v>
      </c>
      <c r="K14" s="386"/>
    </row>
    <row r="15" spans="2:11" ht="69.75" customHeight="1" x14ac:dyDescent="0.4">
      <c r="B15" s="344" t="s">
        <v>250</v>
      </c>
      <c r="C15" s="315" t="s">
        <v>233</v>
      </c>
      <c r="D15" s="316">
        <v>3000000</v>
      </c>
      <c r="E15" s="304">
        <f>' GOODS I'!P72</f>
        <v>388020</v>
      </c>
      <c r="F15" s="304">
        <f>D15-E15</f>
        <v>2611980</v>
      </c>
      <c r="G15" s="305"/>
      <c r="H15" s="291">
        <f>D15-E15-I15</f>
        <v>2611980</v>
      </c>
      <c r="I15" s="304">
        <f>' GOODS I'!F72</f>
        <v>0</v>
      </c>
      <c r="K15" s="386"/>
    </row>
    <row r="16" spans="2:11" ht="60" customHeight="1" x14ac:dyDescent="0.4">
      <c r="B16" s="344">
        <v>0</v>
      </c>
      <c r="C16" s="315" t="s">
        <v>234</v>
      </c>
      <c r="D16" s="317">
        <f>SUM(D7:D15)</f>
        <v>49200000</v>
      </c>
      <c r="E16" s="317">
        <f>SUM(E7:E15)</f>
        <v>15771372</v>
      </c>
      <c r="F16" s="317">
        <f>SUM(F7:F15)</f>
        <v>33428628</v>
      </c>
      <c r="G16" s="318"/>
      <c r="H16" s="317">
        <f>SUM(H7:H15)</f>
        <v>7639049.232018712</v>
      </c>
      <c r="I16" s="317">
        <f>SUM(I7:I15)</f>
        <v>25789578.767981287</v>
      </c>
      <c r="K16" s="386"/>
    </row>
    <row r="17" spans="2:11" s="295" customFormat="1" ht="30.75" customHeight="1" x14ac:dyDescent="0.4">
      <c r="B17" s="345">
        <v>0</v>
      </c>
      <c r="C17" s="319"/>
      <c r="D17" s="320"/>
      <c r="E17" s="320"/>
      <c r="F17" s="321"/>
      <c r="G17" s="321"/>
      <c r="H17" s="320"/>
      <c r="I17" s="321"/>
      <c r="J17" s="322"/>
      <c r="K17" s="387"/>
    </row>
    <row r="18" spans="2:11" ht="47.1" customHeight="1" x14ac:dyDescent="0.4">
      <c r="B18" s="344">
        <v>0</v>
      </c>
      <c r="C18" s="323" t="s">
        <v>241</v>
      </c>
      <c r="D18" s="298" t="s">
        <v>235</v>
      </c>
      <c r="E18" s="299" t="s">
        <v>236</v>
      </c>
      <c r="F18" s="300" t="s">
        <v>239</v>
      </c>
      <c r="G18" s="299"/>
      <c r="H18" s="301" t="s">
        <v>237</v>
      </c>
      <c r="I18" s="299" t="s">
        <v>238</v>
      </c>
      <c r="K18" s="386"/>
    </row>
    <row r="19" spans="2:11" ht="58.5" customHeight="1" x14ac:dyDescent="0.4">
      <c r="B19" s="344" t="s">
        <v>250</v>
      </c>
      <c r="C19" s="324" t="s">
        <v>248</v>
      </c>
      <c r="D19" s="304">
        <v>1000000</v>
      </c>
      <c r="E19" s="304">
        <f>' WORKS I'!O7</f>
        <v>0</v>
      </c>
      <c r="F19" s="325">
        <f>D19-E19</f>
        <v>1000000</v>
      </c>
      <c r="G19" s="326"/>
      <c r="H19" s="291">
        <f>F19-I19</f>
        <v>704628</v>
      </c>
      <c r="I19" s="325">
        <f>' WORKS I'!F7</f>
        <v>295372</v>
      </c>
      <c r="J19" s="310"/>
      <c r="K19" s="386"/>
    </row>
    <row r="20" spans="2:11" ht="40.5" customHeight="1" x14ac:dyDescent="0.4">
      <c r="B20" s="344">
        <v>0</v>
      </c>
      <c r="C20" s="315" t="s">
        <v>234</v>
      </c>
      <c r="D20" s="317">
        <f>D19</f>
        <v>1000000</v>
      </c>
      <c r="E20" s="317">
        <f>E19</f>
        <v>0</v>
      </c>
      <c r="F20" s="317">
        <f>F19</f>
        <v>1000000</v>
      </c>
      <c r="G20" s="318"/>
      <c r="H20" s="317">
        <f>H19</f>
        <v>704628</v>
      </c>
      <c r="I20" s="317">
        <f>I19</f>
        <v>295372</v>
      </c>
      <c r="K20" s="386"/>
    </row>
    <row r="21" spans="2:11" ht="51.75" customHeight="1" x14ac:dyDescent="0.4">
      <c r="B21" s="344">
        <v>0</v>
      </c>
      <c r="I21" s="284"/>
      <c r="J21" s="327"/>
      <c r="K21" s="386"/>
    </row>
    <row r="22" spans="2:11" ht="45" customHeight="1" x14ac:dyDescent="0.35">
      <c r="B22" s="344">
        <v>0</v>
      </c>
      <c r="C22" s="342" t="s">
        <v>242</v>
      </c>
      <c r="D22" s="298" t="s">
        <v>235</v>
      </c>
      <c r="E22" s="299" t="s">
        <v>236</v>
      </c>
      <c r="F22" s="300" t="s">
        <v>239</v>
      </c>
      <c r="G22" s="298"/>
      <c r="H22" s="301" t="s">
        <v>237</v>
      </c>
      <c r="I22" s="299" t="s">
        <v>238</v>
      </c>
      <c r="K22" s="388"/>
    </row>
    <row r="23" spans="2:11" ht="47.1" customHeight="1" x14ac:dyDescent="0.35">
      <c r="B23" s="344" t="s">
        <v>249</v>
      </c>
      <c r="C23" s="328"/>
      <c r="D23" s="304">
        <v>300000</v>
      </c>
      <c r="E23" s="304">
        <f>' CS I '!P6</f>
        <v>6250</v>
      </c>
      <c r="F23" s="304">
        <f>D23-E23</f>
        <v>293750</v>
      </c>
      <c r="G23" s="305"/>
      <c r="H23" s="329">
        <f>D23-E23-I23</f>
        <v>293750</v>
      </c>
      <c r="I23" s="330">
        <f>' CS I '!G6</f>
        <v>0</v>
      </c>
      <c r="K23" s="388"/>
    </row>
    <row r="24" spans="2:11" ht="41.45" customHeight="1" x14ac:dyDescent="0.35">
      <c r="B24" s="344">
        <v>0</v>
      </c>
      <c r="C24" s="328"/>
      <c r="D24" s="331">
        <f>D23</f>
        <v>300000</v>
      </c>
      <c r="E24" s="331">
        <f>E23</f>
        <v>6250</v>
      </c>
      <c r="F24" s="331">
        <f>F23</f>
        <v>293750</v>
      </c>
      <c r="G24" s="332"/>
      <c r="H24" s="331">
        <f>H23</f>
        <v>293750</v>
      </c>
      <c r="I24" s="331">
        <f>I23</f>
        <v>0</v>
      </c>
      <c r="K24" s="388"/>
    </row>
    <row r="25" spans="2:11" s="295" customFormat="1" ht="27" customHeight="1" x14ac:dyDescent="0.35">
      <c r="B25" s="345">
        <v>0</v>
      </c>
      <c r="C25" s="321"/>
      <c r="D25" s="294"/>
      <c r="E25" s="294"/>
      <c r="F25" s="294"/>
      <c r="G25" s="294"/>
      <c r="H25" s="321"/>
      <c r="I25" s="321"/>
      <c r="J25" s="322"/>
      <c r="K25" s="389"/>
    </row>
    <row r="26" spans="2:11" ht="42.6" customHeight="1" x14ac:dyDescent="0.4">
      <c r="B26" s="344" t="s">
        <v>253</v>
      </c>
      <c r="C26" s="323" t="s">
        <v>246</v>
      </c>
      <c r="D26" s="331">
        <f>23500000-3000000</f>
        <v>20500000</v>
      </c>
      <c r="E26" s="333"/>
      <c r="F26" s="334"/>
      <c r="G26" s="334"/>
      <c r="H26" s="334"/>
      <c r="I26" s="321"/>
      <c r="K26" s="385">
        <v>35137529.299999997</v>
      </c>
    </row>
    <row r="27" spans="2:11" ht="42.6" customHeight="1" x14ac:dyDescent="0.35">
      <c r="B27" s="344">
        <v>0</v>
      </c>
      <c r="C27" s="335"/>
      <c r="D27" s="294"/>
      <c r="E27" s="333"/>
      <c r="F27" s="334"/>
      <c r="G27" s="334"/>
      <c r="H27" s="334"/>
      <c r="I27" s="321"/>
      <c r="J27" s="322"/>
      <c r="K27" s="388"/>
    </row>
    <row r="28" spans="2:11" ht="52.5" customHeight="1" x14ac:dyDescent="0.35">
      <c r="B28" s="344">
        <v>0</v>
      </c>
      <c r="C28" s="415" t="s">
        <v>247</v>
      </c>
      <c r="D28" s="415"/>
      <c r="E28" s="336"/>
      <c r="F28" s="295"/>
      <c r="G28" s="295"/>
      <c r="H28" s="295"/>
      <c r="I28" s="295"/>
      <c r="K28" s="388"/>
    </row>
    <row r="29" spans="2:11" ht="57.75" customHeight="1" x14ac:dyDescent="0.35">
      <c r="B29" s="344">
        <v>0</v>
      </c>
      <c r="C29" s="342" t="s">
        <v>242</v>
      </c>
      <c r="D29" s="298" t="s">
        <v>235</v>
      </c>
      <c r="E29" s="299" t="s">
        <v>236</v>
      </c>
      <c r="F29" s="300" t="s">
        <v>239</v>
      </c>
      <c r="G29" s="298"/>
      <c r="H29" s="301" t="s">
        <v>237</v>
      </c>
      <c r="I29" s="299" t="s">
        <v>238</v>
      </c>
      <c r="K29" s="388"/>
    </row>
    <row r="30" spans="2:11" ht="33" customHeight="1" x14ac:dyDescent="0.35">
      <c r="B30" s="344">
        <v>0</v>
      </c>
      <c r="C30" s="328"/>
      <c r="D30" s="304">
        <v>300000</v>
      </c>
      <c r="E30" s="325">
        <f>'CS COMP.III'!K10</f>
        <v>160800</v>
      </c>
      <c r="F30" s="325">
        <f>D30-E30</f>
        <v>139200</v>
      </c>
      <c r="G30" s="326"/>
      <c r="H30" s="337">
        <f>D30-E30-I30</f>
        <v>138200</v>
      </c>
      <c r="I30" s="325">
        <f>'CS COMP.III'!E10</f>
        <v>1000</v>
      </c>
      <c r="K30" s="388"/>
    </row>
    <row r="31" spans="2:11" ht="43.5" customHeight="1" x14ac:dyDescent="0.4">
      <c r="B31" s="344" t="s">
        <v>251</v>
      </c>
      <c r="C31" s="459" t="s">
        <v>254</v>
      </c>
      <c r="D31" s="460">
        <v>300000</v>
      </c>
      <c r="E31" s="461">
        <f>E30</f>
        <v>160800</v>
      </c>
      <c r="F31" s="461">
        <f>F30</f>
        <v>139200</v>
      </c>
      <c r="G31" s="462"/>
      <c r="H31" s="461">
        <f>H30</f>
        <v>138200</v>
      </c>
      <c r="I31" s="461">
        <f>I30</f>
        <v>1000</v>
      </c>
      <c r="K31" s="385">
        <v>152600</v>
      </c>
    </row>
    <row r="32" spans="2:11" ht="27" x14ac:dyDescent="0.35">
      <c r="B32" s="344">
        <v>0</v>
      </c>
      <c r="C32" s="299"/>
      <c r="D32" s="304"/>
      <c r="E32" s="351"/>
      <c r="F32" s="350"/>
      <c r="G32" s="350"/>
      <c r="H32" s="350"/>
      <c r="I32" s="350"/>
      <c r="K32" s="349"/>
    </row>
    <row r="33" spans="3:11" ht="27" x14ac:dyDescent="0.35">
      <c r="K33" s="349"/>
    </row>
    <row r="35" spans="3:11" ht="28.5" thickBot="1" x14ac:dyDescent="0.45">
      <c r="E35" s="338"/>
      <c r="J35" s="283"/>
    </row>
    <row r="36" spans="3:11" ht="66" customHeight="1" thickBot="1" x14ac:dyDescent="0.45">
      <c r="C36" s="339" t="s">
        <v>234</v>
      </c>
      <c r="D36" s="340">
        <f>D31+D26+D24+D20+D16</f>
        <v>71300000</v>
      </c>
      <c r="E36" s="340">
        <f>E16+E20+E24+E31</f>
        <v>15938422</v>
      </c>
      <c r="F36" s="340">
        <f>F16+F20+F24+F31</f>
        <v>34861578</v>
      </c>
      <c r="G36" s="341"/>
      <c r="J36" s="283"/>
    </row>
  </sheetData>
  <autoFilter ref="B6:K32"/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workbookViewId="0">
      <selection activeCell="I8" sqref="I8"/>
    </sheetView>
  </sheetViews>
  <sheetFormatPr defaultColWidth="11.28515625" defaultRowHeight="12.75" x14ac:dyDescent="0.2"/>
  <cols>
    <col min="2" max="2" width="20.42578125" customWidth="1"/>
    <col min="3" max="3" width="102" customWidth="1"/>
    <col min="4" max="6" width="22" customWidth="1"/>
  </cols>
  <sheetData>
    <row r="1" spans="2:6" ht="21" customHeight="1" thickBot="1" x14ac:dyDescent="0.25">
      <c r="B1" s="416" t="s">
        <v>308</v>
      </c>
      <c r="C1" s="417"/>
      <c r="D1" s="417"/>
      <c r="E1" s="369"/>
    </row>
    <row r="2" spans="2:6" ht="30" x14ac:dyDescent="0.2">
      <c r="B2" s="379" t="s">
        <v>260</v>
      </c>
      <c r="C2" s="374" t="s">
        <v>261</v>
      </c>
      <c r="D2" s="375" t="s">
        <v>239</v>
      </c>
      <c r="E2" s="374" t="s">
        <v>307</v>
      </c>
      <c r="F2" s="375" t="s">
        <v>306</v>
      </c>
    </row>
    <row r="3" spans="2:6" ht="38.25" customHeight="1" x14ac:dyDescent="0.25">
      <c r="B3" s="395" t="s">
        <v>249</v>
      </c>
      <c r="C3" s="381" t="s">
        <v>255</v>
      </c>
      <c r="D3" s="370">
        <v>34023536.899999999</v>
      </c>
      <c r="E3" s="370">
        <v>60074626.969999999</v>
      </c>
      <c r="F3" s="396">
        <f>16256551.6*3.23</f>
        <v>52508661.667999998</v>
      </c>
    </row>
    <row r="4" spans="2:6" ht="37.5" customHeight="1" x14ac:dyDescent="0.55000000000000004">
      <c r="B4" s="395" t="s">
        <v>253</v>
      </c>
      <c r="C4" s="381" t="s">
        <v>256</v>
      </c>
      <c r="D4" s="370">
        <v>35137529.899999999</v>
      </c>
      <c r="E4" s="400">
        <v>26385163.190000001</v>
      </c>
      <c r="F4" s="396">
        <f>20500000*3.23</f>
        <v>66215000</v>
      </c>
    </row>
    <row r="5" spans="2:6" ht="36.75" customHeight="1" x14ac:dyDescent="0.25">
      <c r="B5" s="395" t="s">
        <v>257</v>
      </c>
      <c r="C5" s="381" t="s">
        <v>258</v>
      </c>
      <c r="D5" s="370">
        <v>19537359.850000001</v>
      </c>
      <c r="E5" s="370">
        <v>17255359.010000002</v>
      </c>
      <c r="F5" s="396">
        <v>0</v>
      </c>
    </row>
    <row r="6" spans="2:6" ht="15.75" hidden="1" x14ac:dyDescent="0.25">
      <c r="B6" s="395" t="s">
        <v>251</v>
      </c>
      <c r="C6" s="381" t="s">
        <v>259</v>
      </c>
      <c r="D6" s="370">
        <v>0</v>
      </c>
      <c r="E6" s="370"/>
      <c r="F6" s="397">
        <v>152600</v>
      </c>
    </row>
    <row r="7" spans="2:6" ht="24" customHeight="1" x14ac:dyDescent="0.25">
      <c r="B7" s="395" t="s">
        <v>263</v>
      </c>
      <c r="C7" s="381" t="s">
        <v>309</v>
      </c>
      <c r="D7" s="370">
        <v>18000000</v>
      </c>
      <c r="E7" s="370">
        <v>18000000</v>
      </c>
      <c r="F7" s="396">
        <v>0</v>
      </c>
    </row>
    <row r="8" spans="2:6" ht="34.5" customHeight="1" x14ac:dyDescent="0.25">
      <c r="B8" s="395" t="s">
        <v>310</v>
      </c>
      <c r="C8" s="381" t="s">
        <v>311</v>
      </c>
      <c r="D8" s="393">
        <v>30000000</v>
      </c>
      <c r="E8" s="393"/>
      <c r="F8" s="396">
        <f>18465826.4*3.23</f>
        <v>59644619.271999992</v>
      </c>
    </row>
    <row r="9" spans="2:6" ht="28.5" customHeight="1" thickBot="1" x14ac:dyDescent="0.3">
      <c r="B9" s="382"/>
      <c r="C9" s="383" t="s">
        <v>262</v>
      </c>
      <c r="D9" s="394">
        <f>SUM(D3:D8)</f>
        <v>136698426.65000001</v>
      </c>
      <c r="E9" s="394">
        <f>SUM(E3:E8)</f>
        <v>121715149.17</v>
      </c>
      <c r="F9" s="394">
        <f>SUM(F3:F8)</f>
        <v>178520880.94</v>
      </c>
    </row>
    <row r="12" spans="2:6" ht="13.5" thickBot="1" x14ac:dyDescent="0.25"/>
    <row r="13" spans="2:6" ht="16.5" thickBot="1" x14ac:dyDescent="0.3">
      <c r="B13" s="418" t="s">
        <v>312</v>
      </c>
      <c r="C13" s="419"/>
      <c r="D13" s="419"/>
      <c r="E13" s="419"/>
      <c r="F13" s="419"/>
    </row>
    <row r="14" spans="2:6" ht="22.5" x14ac:dyDescent="0.2">
      <c r="B14" s="371" t="s">
        <v>264</v>
      </c>
      <c r="C14" s="372" t="s">
        <v>265</v>
      </c>
      <c r="D14" s="373" t="s">
        <v>239</v>
      </c>
      <c r="E14" s="374" t="s">
        <v>307</v>
      </c>
      <c r="F14" s="375" t="s">
        <v>306</v>
      </c>
    </row>
    <row r="15" spans="2:6" ht="45" x14ac:dyDescent="0.2">
      <c r="B15" s="391" t="s">
        <v>275</v>
      </c>
      <c r="C15" s="376" t="s">
        <v>276</v>
      </c>
      <c r="D15" s="377">
        <v>7069105</v>
      </c>
      <c r="E15" s="412">
        <v>53193991</v>
      </c>
      <c r="F15" s="420">
        <f>107000000*3.23</f>
        <v>345610000</v>
      </c>
    </row>
    <row r="16" spans="2:6" ht="45" x14ac:dyDescent="0.2">
      <c r="B16" s="380" t="s">
        <v>291</v>
      </c>
      <c r="C16" s="376" t="s">
        <v>292</v>
      </c>
      <c r="D16" s="377">
        <v>34041800</v>
      </c>
      <c r="E16" s="412">
        <v>106284200</v>
      </c>
      <c r="F16" s="421"/>
    </row>
    <row r="17" spans="2:6" ht="45" x14ac:dyDescent="0.2">
      <c r="B17" s="380" t="s">
        <v>297</v>
      </c>
      <c r="C17" s="376" t="s">
        <v>298</v>
      </c>
      <c r="D17" s="377">
        <v>5000000</v>
      </c>
      <c r="E17" s="412">
        <v>74646800</v>
      </c>
      <c r="F17" s="422"/>
    </row>
    <row r="18" spans="2:6" ht="75" hidden="1" x14ac:dyDescent="0.25">
      <c r="B18" s="380" t="s">
        <v>293</v>
      </c>
      <c r="C18" s="376" t="s">
        <v>299</v>
      </c>
      <c r="D18" s="370"/>
      <c r="E18" s="370"/>
      <c r="F18" s="392"/>
    </row>
    <row r="19" spans="2:6" ht="60" hidden="1" x14ac:dyDescent="0.25">
      <c r="B19" s="380" t="s">
        <v>301</v>
      </c>
      <c r="C19" s="376" t="s">
        <v>302</v>
      </c>
      <c r="D19" s="370"/>
      <c r="E19" s="370"/>
      <c r="F19" s="392"/>
    </row>
    <row r="20" spans="2:6" ht="16.5" thickBot="1" x14ac:dyDescent="0.3">
      <c r="B20" s="382"/>
      <c r="C20" s="383" t="s">
        <v>262</v>
      </c>
      <c r="D20" s="413">
        <f>SUM(D15:D19)</f>
        <v>46110905</v>
      </c>
      <c r="E20" s="414">
        <f>SUM(E15:E19)</f>
        <v>234124991</v>
      </c>
      <c r="F20" s="378"/>
    </row>
    <row r="21" spans="2:6" x14ac:dyDescent="0.2">
      <c r="D21" s="390"/>
      <c r="E21" s="390"/>
      <c r="F21" s="390"/>
    </row>
    <row r="22" spans="2:6" ht="13.5" thickBot="1" x14ac:dyDescent="0.25"/>
    <row r="23" spans="2:6" ht="42.75" customHeight="1" x14ac:dyDescent="0.2">
      <c r="B23" s="402" t="s">
        <v>271</v>
      </c>
      <c r="C23" s="403" t="s">
        <v>272</v>
      </c>
      <c r="D23" s="404">
        <v>133844.21</v>
      </c>
      <c r="E23" s="405">
        <v>172774769.77000001</v>
      </c>
      <c r="F23" s="401"/>
    </row>
    <row r="24" spans="2:6" ht="45" x14ac:dyDescent="0.2">
      <c r="B24" s="406" t="s">
        <v>283</v>
      </c>
      <c r="C24" s="407" t="s">
        <v>284</v>
      </c>
      <c r="D24" s="398">
        <v>0</v>
      </c>
      <c r="E24" s="408">
        <v>21516399.899999999</v>
      </c>
      <c r="F24" s="401"/>
    </row>
    <row r="25" spans="2:6" ht="45.75" thickBot="1" x14ac:dyDescent="0.25">
      <c r="B25" s="409" t="s">
        <v>303</v>
      </c>
      <c r="C25" s="410" t="s">
        <v>304</v>
      </c>
      <c r="D25" s="399">
        <v>0</v>
      </c>
      <c r="E25" s="411">
        <v>57221600</v>
      </c>
      <c r="F25" s="401"/>
    </row>
  </sheetData>
  <mergeCells count="3">
    <mergeCell ref="B1:D1"/>
    <mergeCell ref="B13:F13"/>
    <mergeCell ref="F15:F17"/>
  </mergeCells>
  <pageMargins left="0" right="0" top="0" bottom="0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4" workbookViewId="0">
      <selection activeCell="H24" sqref="H24"/>
    </sheetView>
  </sheetViews>
  <sheetFormatPr defaultRowHeight="12.75" x14ac:dyDescent="0.2"/>
  <cols>
    <col min="2" max="2" width="44.85546875" customWidth="1"/>
    <col min="3" max="4" width="19.7109375" hidden="1" customWidth="1"/>
    <col min="5" max="5" width="18.42578125" bestFit="1" customWidth="1"/>
    <col min="6" max="6" width="19.7109375" hidden="1" customWidth="1"/>
    <col min="7" max="7" width="17.42578125" customWidth="1"/>
  </cols>
  <sheetData>
    <row r="1" spans="1:7" ht="33.75" x14ac:dyDescent="0.2">
      <c r="A1" s="352" t="s">
        <v>264</v>
      </c>
      <c r="B1" s="353" t="s">
        <v>265</v>
      </c>
      <c r="C1" s="354" t="s">
        <v>266</v>
      </c>
      <c r="D1" s="354" t="s">
        <v>267</v>
      </c>
      <c r="E1" s="354" t="s">
        <v>305</v>
      </c>
      <c r="F1" s="364" t="s">
        <v>268</v>
      </c>
      <c r="G1" s="354" t="s">
        <v>306</v>
      </c>
    </row>
    <row r="2" spans="1:7" s="363" customFormat="1" ht="45" x14ac:dyDescent="0.2">
      <c r="A2" s="360" t="s">
        <v>269</v>
      </c>
      <c r="B2" s="361" t="s">
        <v>270</v>
      </c>
      <c r="C2" s="362">
        <f>C3+C4+C15+C21</f>
        <v>782910737</v>
      </c>
      <c r="D2" s="362">
        <f>D3+D4+D15+D21</f>
        <v>736665987.78999996</v>
      </c>
      <c r="E2" s="362">
        <f>E3+E4+E15+E21</f>
        <v>46244749.210000001</v>
      </c>
      <c r="F2" s="365">
        <f>F3+F4+F15+F21</f>
        <v>485638660.67000002</v>
      </c>
      <c r="G2" s="368"/>
    </row>
    <row r="3" spans="1:7" s="363" customFormat="1" ht="56.25" x14ac:dyDescent="0.2">
      <c r="A3" s="360" t="s">
        <v>271</v>
      </c>
      <c r="B3" s="361" t="s">
        <v>272</v>
      </c>
      <c r="C3" s="362">
        <v>172910737</v>
      </c>
      <c r="D3" s="362">
        <v>172776892.78999999</v>
      </c>
      <c r="E3" s="362">
        <v>133844.21</v>
      </c>
      <c r="F3" s="365">
        <v>172774769.77000001</v>
      </c>
      <c r="G3" s="368"/>
    </row>
    <row r="4" spans="1:7" s="363" customFormat="1" ht="56.25" x14ac:dyDescent="0.2">
      <c r="A4" s="360" t="s">
        <v>273</v>
      </c>
      <c r="B4" s="361" t="s">
        <v>274</v>
      </c>
      <c r="C4" s="362">
        <v>85000000</v>
      </c>
      <c r="D4" s="362">
        <v>77930895</v>
      </c>
      <c r="E4" s="362">
        <v>7069105</v>
      </c>
      <c r="F4" s="365">
        <v>74710390.900000006</v>
      </c>
      <c r="G4" s="368"/>
    </row>
    <row r="5" spans="1:7" s="363" customFormat="1" ht="56.25" x14ac:dyDescent="0.2">
      <c r="A5" s="360" t="s">
        <v>275</v>
      </c>
      <c r="B5" s="361" t="s">
        <v>276</v>
      </c>
      <c r="C5" s="362">
        <v>61000000</v>
      </c>
      <c r="D5" s="362">
        <v>53930895</v>
      </c>
      <c r="E5" s="362">
        <v>7069105</v>
      </c>
      <c r="F5" s="365">
        <v>53193991</v>
      </c>
      <c r="G5" s="368"/>
    </row>
    <row r="6" spans="1:7" ht="45" hidden="1" x14ac:dyDescent="0.2">
      <c r="A6" s="355"/>
      <c r="B6" s="356" t="s">
        <v>277</v>
      </c>
      <c r="C6" s="357"/>
      <c r="D6" s="357"/>
      <c r="E6" s="357"/>
      <c r="F6" s="366"/>
      <c r="G6" s="367"/>
    </row>
    <row r="7" spans="1:7" ht="22.5" hidden="1" x14ac:dyDescent="0.2">
      <c r="A7" s="355"/>
      <c r="B7" s="356" t="s">
        <v>278</v>
      </c>
      <c r="C7" s="358">
        <v>35</v>
      </c>
      <c r="D7" s="423" t="s">
        <v>279</v>
      </c>
      <c r="E7" s="424"/>
      <c r="F7" s="424"/>
      <c r="G7" s="367"/>
    </row>
    <row r="8" spans="1:7" ht="22.5" hidden="1" x14ac:dyDescent="0.2">
      <c r="A8" s="355"/>
      <c r="B8" s="356" t="s">
        <v>280</v>
      </c>
      <c r="C8" s="359">
        <v>70</v>
      </c>
      <c r="D8" s="425"/>
      <c r="E8" s="426"/>
      <c r="F8" s="426"/>
      <c r="G8" s="367"/>
    </row>
    <row r="9" spans="1:7" ht="15" hidden="1" x14ac:dyDescent="0.2">
      <c r="A9" s="355"/>
      <c r="B9" s="356" t="s">
        <v>281</v>
      </c>
      <c r="C9" s="359">
        <v>90</v>
      </c>
      <c r="D9" s="425"/>
      <c r="E9" s="426"/>
      <c r="F9" s="426"/>
      <c r="G9" s="367"/>
    </row>
    <row r="10" spans="1:7" ht="33.75" hidden="1" x14ac:dyDescent="0.2">
      <c r="A10" s="355"/>
      <c r="B10" s="356" t="s">
        <v>282</v>
      </c>
      <c r="C10" s="359">
        <v>100</v>
      </c>
      <c r="D10" s="427"/>
      <c r="E10" s="428"/>
      <c r="F10" s="428"/>
      <c r="G10" s="367"/>
    </row>
    <row r="11" spans="1:7" s="363" customFormat="1" ht="56.25" x14ac:dyDescent="0.2">
      <c r="A11" s="360" t="s">
        <v>283</v>
      </c>
      <c r="B11" s="361" t="s">
        <v>284</v>
      </c>
      <c r="C11" s="362">
        <v>24000000</v>
      </c>
      <c r="D11" s="362">
        <v>24000000</v>
      </c>
      <c r="E11" s="362">
        <v>0</v>
      </c>
      <c r="F11" s="365">
        <v>21516399.899999999</v>
      </c>
      <c r="G11" s="368"/>
    </row>
    <row r="12" spans="1:7" ht="33.75" hidden="1" x14ac:dyDescent="0.2">
      <c r="A12" s="355"/>
      <c r="B12" s="356" t="s">
        <v>285</v>
      </c>
      <c r="C12" s="429" t="s">
        <v>286</v>
      </c>
      <c r="D12" s="423" t="s">
        <v>279</v>
      </c>
      <c r="E12" s="424"/>
      <c r="F12" s="424"/>
      <c r="G12" s="367"/>
    </row>
    <row r="13" spans="1:7" hidden="1" x14ac:dyDescent="0.2">
      <c r="A13" s="355"/>
      <c r="B13" s="356" t="s">
        <v>287</v>
      </c>
      <c r="C13" s="430"/>
      <c r="D13" s="425"/>
      <c r="E13" s="426"/>
      <c r="F13" s="426"/>
      <c r="G13" s="367"/>
    </row>
    <row r="14" spans="1:7" hidden="1" x14ac:dyDescent="0.2">
      <c r="A14" s="355"/>
      <c r="B14" s="356" t="s">
        <v>288</v>
      </c>
      <c r="C14" s="431"/>
      <c r="D14" s="427"/>
      <c r="E14" s="428"/>
      <c r="F14" s="428"/>
      <c r="G14" s="367"/>
    </row>
    <row r="15" spans="1:7" s="363" customFormat="1" ht="56.25" x14ac:dyDescent="0.2">
      <c r="A15" s="360" t="s">
        <v>289</v>
      </c>
      <c r="B15" s="361" t="s">
        <v>290</v>
      </c>
      <c r="C15" s="362">
        <v>460000000</v>
      </c>
      <c r="D15" s="362">
        <v>420958200</v>
      </c>
      <c r="E15" s="362">
        <v>39041800</v>
      </c>
      <c r="F15" s="365">
        <v>180931900</v>
      </c>
      <c r="G15" s="368"/>
    </row>
    <row r="16" spans="1:7" s="363" customFormat="1" ht="56.25" x14ac:dyDescent="0.2">
      <c r="A16" s="360" t="s">
        <v>291</v>
      </c>
      <c r="B16" s="361" t="s">
        <v>292</v>
      </c>
      <c r="C16" s="362">
        <v>367233000</v>
      </c>
      <c r="D16" s="362">
        <v>333191200</v>
      </c>
      <c r="E16" s="362">
        <v>34041800</v>
      </c>
      <c r="F16" s="365">
        <v>106284200</v>
      </c>
      <c r="G16" s="368"/>
    </row>
    <row r="17" spans="1:7" ht="45" hidden="1" x14ac:dyDescent="0.2">
      <c r="A17" s="355" t="s">
        <v>293</v>
      </c>
      <c r="B17" s="356" t="s">
        <v>294</v>
      </c>
      <c r="C17" s="357" t="s">
        <v>295</v>
      </c>
      <c r="D17" s="432" t="s">
        <v>296</v>
      </c>
      <c r="E17" s="433"/>
      <c r="F17" s="433"/>
      <c r="G17" s="367"/>
    </row>
    <row r="18" spans="1:7" s="363" customFormat="1" ht="67.5" x14ac:dyDescent="0.2">
      <c r="A18" s="360" t="s">
        <v>297</v>
      </c>
      <c r="B18" s="361" t="s">
        <v>298</v>
      </c>
      <c r="C18" s="362">
        <v>92767000</v>
      </c>
      <c r="D18" s="362">
        <v>87767000</v>
      </c>
      <c r="E18" s="362">
        <v>5000000</v>
      </c>
      <c r="F18" s="365">
        <v>74647700</v>
      </c>
      <c r="G18" s="368"/>
    </row>
    <row r="19" spans="1:7" ht="90" hidden="1" x14ac:dyDescent="0.2">
      <c r="A19" s="355" t="s">
        <v>293</v>
      </c>
      <c r="B19" s="356" t="s">
        <v>299</v>
      </c>
      <c r="C19" s="434">
        <v>300</v>
      </c>
      <c r="D19" s="423" t="s">
        <v>300</v>
      </c>
      <c r="E19" s="424"/>
      <c r="F19" s="424"/>
      <c r="G19" s="367"/>
    </row>
    <row r="20" spans="1:7" ht="67.5" hidden="1" x14ac:dyDescent="0.2">
      <c r="A20" s="355" t="s">
        <v>301</v>
      </c>
      <c r="B20" s="356" t="s">
        <v>302</v>
      </c>
      <c r="C20" s="435"/>
      <c r="D20" s="427"/>
      <c r="E20" s="428"/>
      <c r="F20" s="428"/>
      <c r="G20" s="367"/>
    </row>
    <row r="21" spans="1:7" s="363" customFormat="1" ht="45" x14ac:dyDescent="0.2">
      <c r="A21" s="360" t="s">
        <v>303</v>
      </c>
      <c r="B21" s="361" t="s">
        <v>304</v>
      </c>
      <c r="C21" s="362">
        <v>65000000</v>
      </c>
      <c r="D21" s="362">
        <v>65000000</v>
      </c>
      <c r="E21" s="362">
        <v>0</v>
      </c>
      <c r="F21" s="365">
        <v>57221600</v>
      </c>
      <c r="G21" s="368"/>
    </row>
  </sheetData>
  <mergeCells count="6">
    <mergeCell ref="D7:F10"/>
    <mergeCell ref="C12:C14"/>
    <mergeCell ref="D12:F14"/>
    <mergeCell ref="D17:F17"/>
    <mergeCell ref="C19:C20"/>
    <mergeCell ref="D19: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view="pageBreakPreview" zoomScale="60" zoomScaleNormal="100" workbookViewId="0">
      <selection activeCell="C29" sqref="C29"/>
    </sheetView>
  </sheetViews>
  <sheetFormatPr defaultColWidth="9.140625" defaultRowHeight="15" x14ac:dyDescent="0.25"/>
  <cols>
    <col min="1" max="1" width="5.5703125" style="9" customWidth="1"/>
    <col min="2" max="2" width="14.42578125" style="276" customWidth="1"/>
    <col min="3" max="3" width="68.42578125" style="9" customWidth="1"/>
    <col min="4" max="4" width="31" style="9" customWidth="1"/>
    <col min="5" max="5" width="29.28515625" style="10" customWidth="1"/>
    <col min="6" max="6" width="33.28515625" style="9" customWidth="1"/>
    <col min="7" max="7" width="26" style="9" customWidth="1"/>
    <col min="8" max="8" width="33.85546875" style="9" customWidth="1"/>
    <col min="9" max="9" width="35.7109375" style="45" customWidth="1"/>
    <col min="10" max="10" width="9.140625" style="9" customWidth="1"/>
    <col min="11" max="16384" width="9.140625" style="9"/>
  </cols>
  <sheetData>
    <row r="1" spans="2:9" ht="24" customHeight="1" x14ac:dyDescent="0.25"/>
    <row r="2" spans="2:9" ht="43.5" customHeight="1" x14ac:dyDescent="0.25">
      <c r="D2" s="29" t="s">
        <v>32</v>
      </c>
      <c r="E2" s="28" t="s">
        <v>46</v>
      </c>
      <c r="G2" s="32">
        <v>6000000</v>
      </c>
      <c r="H2" s="33" t="s">
        <v>54</v>
      </c>
    </row>
    <row r="3" spans="2:9" s="87" customFormat="1" ht="53.25" customHeight="1" x14ac:dyDescent="0.2">
      <c r="B3" s="276"/>
      <c r="C3" s="42" t="s">
        <v>64</v>
      </c>
      <c r="D3" s="15">
        <v>41500000</v>
      </c>
      <c r="E3" s="15">
        <f>F36</f>
        <v>34861578</v>
      </c>
    </row>
    <row r="4" spans="2:9" ht="33.6" customHeight="1" x14ac:dyDescent="0.25">
      <c r="C4" s="43"/>
      <c r="D4" s="38"/>
      <c r="E4" s="38"/>
      <c r="F4" s="22"/>
      <c r="G4" s="22"/>
      <c r="H4" s="22"/>
    </row>
    <row r="5" spans="2:9" ht="39" customHeight="1" x14ac:dyDescent="0.25">
      <c r="C5" s="27" t="s">
        <v>65</v>
      </c>
      <c r="F5" s="22"/>
      <c r="G5" s="22"/>
      <c r="H5" s="22"/>
    </row>
    <row r="6" spans="2:9" ht="53.1" customHeight="1" x14ac:dyDescent="0.25">
      <c r="C6" s="11" t="s">
        <v>44</v>
      </c>
      <c r="D6" s="11" t="s">
        <v>32</v>
      </c>
      <c r="E6" s="11" t="s">
        <v>37</v>
      </c>
      <c r="F6" s="25" t="s">
        <v>95</v>
      </c>
      <c r="G6" s="12" t="s">
        <v>35</v>
      </c>
      <c r="H6" s="11" t="s">
        <v>110</v>
      </c>
      <c r="I6" s="274" t="s">
        <v>223</v>
      </c>
    </row>
    <row r="7" spans="2:9" ht="48.75" customHeight="1" x14ac:dyDescent="0.25">
      <c r="B7" s="277">
        <v>1101</v>
      </c>
      <c r="C7" s="13" t="s">
        <v>22</v>
      </c>
      <c r="D7" s="17">
        <v>5000000</v>
      </c>
      <c r="E7" s="14">
        <f>' GOODS I'!P11</f>
        <v>179820</v>
      </c>
      <c r="F7" s="14">
        <f>D7-E7</f>
        <v>4820180</v>
      </c>
      <c r="G7" s="224">
        <f>D7-E7-H7</f>
        <v>-1186920</v>
      </c>
      <c r="H7" s="14">
        <f>' GOODS I'!F11</f>
        <v>6007100</v>
      </c>
      <c r="I7" s="273" t="s">
        <v>222</v>
      </c>
    </row>
    <row r="8" spans="2:9" ht="67.5" customHeight="1" x14ac:dyDescent="0.25">
      <c r="B8" s="278">
        <v>270304</v>
      </c>
      <c r="C8" s="16" t="s">
        <v>194</v>
      </c>
      <c r="D8" s="281">
        <f>6500000+500000</f>
        <v>7000000</v>
      </c>
      <c r="E8" s="14">
        <f>' GOODS I'!P24</f>
        <v>403437.6</v>
      </c>
      <c r="F8" s="14">
        <f t="shared" ref="F8:F14" si="0">D8-E8</f>
        <v>6596562.4000000004</v>
      </c>
      <c r="G8" s="224">
        <f t="shared" ref="G8:G14" si="1">D8-E8-H8</f>
        <v>-269416.36798128765</v>
      </c>
      <c r="H8" s="14">
        <f>' GOODS I'!F24</f>
        <v>6865978.767981288</v>
      </c>
      <c r="I8" s="46">
        <v>0</v>
      </c>
    </row>
    <row r="9" spans="2:9" ht="41.25" customHeight="1" x14ac:dyDescent="0.25">
      <c r="B9" s="278">
        <v>270304</v>
      </c>
      <c r="C9" s="16" t="s">
        <v>30</v>
      </c>
      <c r="D9" s="14">
        <v>1000000</v>
      </c>
      <c r="E9" s="14">
        <f>' GOODS I'!P27</f>
        <v>0</v>
      </c>
      <c r="F9" s="14">
        <f t="shared" si="0"/>
        <v>1000000</v>
      </c>
      <c r="G9" s="15">
        <f t="shared" si="1"/>
        <v>0</v>
      </c>
      <c r="H9" s="14">
        <f>' GOODS I'!F27</f>
        <v>1000000</v>
      </c>
      <c r="I9" s="46"/>
    </row>
    <row r="10" spans="2:9" ht="66.75" customHeight="1" x14ac:dyDescent="0.25">
      <c r="B10" s="278">
        <v>270304</v>
      </c>
      <c r="C10" s="16" t="s">
        <v>24</v>
      </c>
      <c r="D10" s="14">
        <v>2250000</v>
      </c>
      <c r="E10" s="14">
        <f>' GOODS I'!P30</f>
        <v>0</v>
      </c>
      <c r="F10" s="14">
        <f t="shared" si="0"/>
        <v>2250000</v>
      </c>
      <c r="G10" s="15">
        <f t="shared" si="1"/>
        <v>300000</v>
      </c>
      <c r="H10" s="14">
        <f>' GOODS I'!F30</f>
        <v>1950000</v>
      </c>
      <c r="I10" s="46"/>
    </row>
    <row r="11" spans="2:9" ht="57" customHeight="1" x14ac:dyDescent="0.25">
      <c r="B11" s="277">
        <v>1101</v>
      </c>
      <c r="C11" s="16" t="s">
        <v>25</v>
      </c>
      <c r="D11" s="17">
        <f>25750000-500000</f>
        <v>25250000</v>
      </c>
      <c r="E11" s="14">
        <f>' GOODS I'!P53</f>
        <v>14107378.4</v>
      </c>
      <c r="F11" s="14">
        <f>D11-E11</f>
        <v>11142621.6</v>
      </c>
      <c r="G11" s="15">
        <f>D11-E11-H11</f>
        <v>4176121.5999999996</v>
      </c>
      <c r="H11" s="14">
        <f>' GOODS I'!F53</f>
        <v>6966500</v>
      </c>
      <c r="I11" s="275" t="s">
        <v>224</v>
      </c>
    </row>
    <row r="12" spans="2:9" ht="63" customHeight="1" x14ac:dyDescent="0.25">
      <c r="B12" s="278">
        <v>270304</v>
      </c>
      <c r="C12" s="16" t="s">
        <v>26</v>
      </c>
      <c r="D12" s="51">
        <f>2800000+2500000</f>
        <v>5300000</v>
      </c>
      <c r="E12" s="14">
        <f>' GOODS I'!P57</f>
        <v>313476</v>
      </c>
      <c r="F12" s="14">
        <f>D12-E12</f>
        <v>4986524</v>
      </c>
      <c r="G12" s="15">
        <f>D12-E12-H12</f>
        <v>1986524</v>
      </c>
      <c r="H12" s="14">
        <f>' GOODS I'!F57</f>
        <v>3000000</v>
      </c>
    </row>
    <row r="13" spans="2:9" ht="66.75" customHeight="1" x14ac:dyDescent="0.25">
      <c r="B13" s="279"/>
      <c r="C13" s="53" t="s">
        <v>27</v>
      </c>
      <c r="D13" s="14">
        <v>50000</v>
      </c>
      <c r="E13" s="54">
        <f>' GOODS I'!P67</f>
        <v>379240</v>
      </c>
      <c r="F13" s="14">
        <f t="shared" si="0"/>
        <v>-329240</v>
      </c>
      <c r="G13" s="15">
        <f t="shared" si="1"/>
        <v>-329240</v>
      </c>
      <c r="H13" s="14">
        <f>' GOODS I'!F63</f>
        <v>0</v>
      </c>
      <c r="I13" s="272">
        <f>D13+D14-E13</f>
        <v>20760</v>
      </c>
    </row>
    <row r="14" spans="2:9" ht="70.5" customHeight="1" x14ac:dyDescent="0.25">
      <c r="B14" s="279"/>
      <c r="C14" s="53" t="s">
        <v>31</v>
      </c>
      <c r="D14" s="14">
        <v>350000</v>
      </c>
      <c r="E14" s="54">
        <f>F1</f>
        <v>0</v>
      </c>
      <c r="F14" s="14">
        <f t="shared" si="0"/>
        <v>350000</v>
      </c>
      <c r="G14" s="15">
        <f t="shared" si="1"/>
        <v>350000</v>
      </c>
      <c r="H14" s="14">
        <f>' GOODS I'!F67</f>
        <v>0</v>
      </c>
    </row>
    <row r="15" spans="2:9" ht="69.75" customHeight="1" x14ac:dyDescent="0.25">
      <c r="B15" s="278">
        <v>270304</v>
      </c>
      <c r="C15" s="16" t="s">
        <v>70</v>
      </c>
      <c r="D15" s="52">
        <v>3000000</v>
      </c>
      <c r="E15" s="14">
        <f>' GOODS I'!P72</f>
        <v>388020</v>
      </c>
      <c r="F15" s="14">
        <f>D15-E15</f>
        <v>2611980</v>
      </c>
      <c r="G15" s="15">
        <f>D15-E15-H15</f>
        <v>2611980</v>
      </c>
      <c r="H15" s="14">
        <f>' GOODS I'!F72</f>
        <v>0</v>
      </c>
    </row>
    <row r="16" spans="2:9" ht="60" customHeight="1" x14ac:dyDescent="0.25">
      <c r="C16" s="16" t="s">
        <v>38</v>
      </c>
      <c r="D16" s="18">
        <f>SUM(D7:D15)</f>
        <v>49200000</v>
      </c>
      <c r="E16" s="18">
        <f>SUM(E7:E15)</f>
        <v>15771372</v>
      </c>
      <c r="F16" s="18">
        <f>SUM(F7:F15)</f>
        <v>33428628</v>
      </c>
      <c r="G16" s="18">
        <f>SUM(G7:G15)</f>
        <v>7639049.232018712</v>
      </c>
      <c r="H16" s="18">
        <f>SUM(H7:H15)</f>
        <v>25789578.767981287</v>
      </c>
    </row>
    <row r="17" spans="2:9" s="22" customFormat="1" ht="30.75" customHeight="1" x14ac:dyDescent="0.25">
      <c r="B17" s="280"/>
      <c r="C17" s="19"/>
      <c r="D17" s="20"/>
      <c r="E17" s="20"/>
      <c r="F17" s="21"/>
      <c r="G17" s="20"/>
      <c r="H17" s="21"/>
      <c r="I17" s="47"/>
    </row>
    <row r="18" spans="2:9" ht="47.1" customHeight="1" x14ac:dyDescent="0.25">
      <c r="C18" s="23" t="s">
        <v>45</v>
      </c>
      <c r="D18" s="11" t="s">
        <v>32</v>
      </c>
      <c r="E18" s="11" t="s">
        <v>37</v>
      </c>
      <c r="F18" s="25" t="s">
        <v>95</v>
      </c>
      <c r="G18" s="12" t="s">
        <v>35</v>
      </c>
      <c r="H18" s="11" t="s">
        <v>110</v>
      </c>
    </row>
    <row r="19" spans="2:9" ht="34.5" customHeight="1" x14ac:dyDescent="0.25">
      <c r="C19" s="25" t="s">
        <v>14</v>
      </c>
      <c r="D19" s="14">
        <v>1000000</v>
      </c>
      <c r="E19" s="14">
        <f>' WORKS I'!O7</f>
        <v>0</v>
      </c>
      <c r="F19" s="26">
        <f>D19-E19</f>
        <v>1000000</v>
      </c>
      <c r="G19" s="15">
        <f>F19-H19</f>
        <v>704628</v>
      </c>
      <c r="H19" s="26">
        <f>' WORKS I'!F7</f>
        <v>295372</v>
      </c>
      <c r="I19" s="46"/>
    </row>
    <row r="20" spans="2:9" ht="40.5" customHeight="1" x14ac:dyDescent="0.25">
      <c r="B20" s="278">
        <v>270304</v>
      </c>
      <c r="C20" s="16" t="s">
        <v>38</v>
      </c>
      <c r="D20" s="18">
        <f>D19</f>
        <v>1000000</v>
      </c>
      <c r="E20" s="18">
        <f>E19</f>
        <v>0</v>
      </c>
      <c r="F20" s="18">
        <f>F19</f>
        <v>1000000</v>
      </c>
      <c r="G20" s="18">
        <f>G19</f>
        <v>704628</v>
      </c>
      <c r="H20" s="18">
        <f>H19</f>
        <v>295372</v>
      </c>
    </row>
    <row r="21" spans="2:9" ht="51.75" customHeight="1" x14ac:dyDescent="0.25">
      <c r="H21" s="10"/>
      <c r="I21" s="48"/>
    </row>
    <row r="22" spans="2:9" ht="45" customHeight="1" x14ac:dyDescent="0.25">
      <c r="C22" s="36" t="s">
        <v>49</v>
      </c>
      <c r="D22" s="11" t="s">
        <v>32</v>
      </c>
      <c r="E22" s="11" t="s">
        <v>37</v>
      </c>
      <c r="F22" s="11" t="s">
        <v>36</v>
      </c>
      <c r="G22" s="12" t="s">
        <v>35</v>
      </c>
      <c r="H22" s="11" t="s">
        <v>110</v>
      </c>
    </row>
    <row r="23" spans="2:9" ht="47.1" customHeight="1" x14ac:dyDescent="0.25">
      <c r="C23" s="24"/>
      <c r="D23" s="14">
        <v>300000</v>
      </c>
      <c r="E23" s="14">
        <f>' CS I '!P6</f>
        <v>6250</v>
      </c>
      <c r="F23" s="14">
        <f>D23-E23</f>
        <v>293750</v>
      </c>
      <c r="G23" s="12">
        <f>D23-E23-H23</f>
        <v>293750</v>
      </c>
      <c r="H23" s="88">
        <f>' CS I '!G6</f>
        <v>0</v>
      </c>
    </row>
    <row r="24" spans="2:9" ht="41.45" customHeight="1" x14ac:dyDescent="0.25">
      <c r="B24" s="277">
        <v>1101</v>
      </c>
      <c r="C24" s="24"/>
      <c r="D24" s="35">
        <f>D23</f>
        <v>300000</v>
      </c>
      <c r="E24" s="35">
        <f>E23</f>
        <v>6250</v>
      </c>
      <c r="F24" s="35">
        <f>F23</f>
        <v>293750</v>
      </c>
      <c r="G24" s="35">
        <f>G23</f>
        <v>293750</v>
      </c>
      <c r="H24" s="35">
        <f>H23</f>
        <v>0</v>
      </c>
    </row>
    <row r="25" spans="2:9" s="22" customFormat="1" ht="27" customHeight="1" x14ac:dyDescent="0.25">
      <c r="B25" s="280"/>
      <c r="C25" s="21"/>
      <c r="D25" s="38"/>
      <c r="E25" s="38"/>
      <c r="F25" s="38"/>
      <c r="G25" s="21"/>
      <c r="H25" s="21"/>
      <c r="I25" s="47"/>
    </row>
    <row r="26" spans="2:9" ht="42.6" customHeight="1" x14ac:dyDescent="0.25">
      <c r="C26" s="23" t="s">
        <v>177</v>
      </c>
      <c r="D26" s="35">
        <f>23500000-3000000</f>
        <v>20500000</v>
      </c>
      <c r="E26" s="49"/>
      <c r="F26" s="50"/>
      <c r="G26" s="50"/>
      <c r="H26" s="21"/>
    </row>
    <row r="27" spans="2:9" ht="42.6" customHeight="1" x14ac:dyDescent="0.25">
      <c r="C27" s="211"/>
      <c r="D27" s="38"/>
      <c r="E27" s="49"/>
      <c r="F27" s="50"/>
      <c r="G27" s="50"/>
      <c r="H27" s="21"/>
      <c r="I27" s="47"/>
    </row>
    <row r="28" spans="2:9" ht="52.5" customHeight="1" x14ac:dyDescent="0.25">
      <c r="C28" s="436" t="s">
        <v>63</v>
      </c>
      <c r="D28" s="436"/>
      <c r="E28" s="39"/>
      <c r="F28" s="22"/>
      <c r="G28" s="22"/>
      <c r="H28" s="22"/>
    </row>
    <row r="29" spans="2:9" ht="57.75" customHeight="1" x14ac:dyDescent="0.25">
      <c r="C29" s="36" t="s">
        <v>60</v>
      </c>
      <c r="D29" s="37" t="s">
        <v>32</v>
      </c>
      <c r="E29" s="11" t="s">
        <v>37</v>
      </c>
      <c r="F29" s="11" t="s">
        <v>36</v>
      </c>
      <c r="G29" s="12" t="s">
        <v>35</v>
      </c>
      <c r="H29" s="11" t="s">
        <v>110</v>
      </c>
    </row>
    <row r="30" spans="2:9" ht="33" customHeight="1" x14ac:dyDescent="0.25">
      <c r="C30" s="24"/>
      <c r="D30" s="14">
        <v>300000</v>
      </c>
      <c r="E30" s="26">
        <f>'CS COMP.III'!K10</f>
        <v>160800</v>
      </c>
      <c r="F30" s="26">
        <f>D30-E30</f>
        <v>139200</v>
      </c>
      <c r="G30" s="97">
        <f>D30-E30-H30</f>
        <v>138200</v>
      </c>
      <c r="H30" s="26">
        <f>'CS COMP.III'!E10</f>
        <v>1000</v>
      </c>
    </row>
    <row r="31" spans="2:9" ht="43.5" customHeight="1" x14ac:dyDescent="0.25">
      <c r="C31" s="24"/>
      <c r="D31" s="35">
        <f>D30</f>
        <v>300000</v>
      </c>
      <c r="E31" s="35">
        <f>E30</f>
        <v>160800</v>
      </c>
      <c r="F31" s="35">
        <f>F30</f>
        <v>139200</v>
      </c>
      <c r="G31" s="35">
        <f>G30</f>
        <v>138200</v>
      </c>
      <c r="H31" s="35">
        <f>H30</f>
        <v>1000</v>
      </c>
    </row>
    <row r="35" spans="3:9" ht="15.75" thickBot="1" x14ac:dyDescent="0.3">
      <c r="E35" s="34"/>
      <c r="I35" s="9"/>
    </row>
    <row r="36" spans="3:9" ht="45.75" customHeight="1" thickBot="1" x14ac:dyDescent="0.3">
      <c r="C36" s="41" t="s">
        <v>61</v>
      </c>
      <c r="D36" s="40">
        <f>D31+D26+D24+D20+D16</f>
        <v>71300000</v>
      </c>
      <c r="E36" s="40">
        <f>E16+E20+E24+E31</f>
        <v>15938422</v>
      </c>
      <c r="F36" s="40">
        <f>F16+F20+F24+F31</f>
        <v>34861578</v>
      </c>
      <c r="I36" s="9"/>
    </row>
  </sheetData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B4" sqref="B4"/>
    </sheetView>
  </sheetViews>
  <sheetFormatPr defaultColWidth="9.140625" defaultRowHeight="12.75" x14ac:dyDescent="0.2"/>
  <cols>
    <col min="1" max="1" width="9.140625" style="2"/>
    <col min="2" max="2" width="24.42578125" style="1" customWidth="1"/>
    <col min="3" max="3" width="12.42578125" style="2" customWidth="1"/>
    <col min="4" max="4" width="12.5703125" style="2" customWidth="1"/>
    <col min="5" max="5" width="13.7109375" style="2" customWidth="1"/>
    <col min="6" max="6" width="16.42578125" style="2" bestFit="1" customWidth="1"/>
    <col min="7" max="7" width="13.5703125" style="2" customWidth="1"/>
    <col min="8" max="8" width="12.85546875" style="2" customWidth="1"/>
    <col min="9" max="9" width="11.85546875" style="2" customWidth="1"/>
    <col min="10" max="11" width="14.42578125" style="2" customWidth="1"/>
    <col min="12" max="15" width="15.7109375" style="2" customWidth="1"/>
    <col min="16" max="16384" width="9.140625" style="2"/>
  </cols>
  <sheetData>
    <row r="1" spans="1:15" s="1" customFormat="1" ht="18.75" x14ac:dyDescent="0.2">
      <c r="A1" s="69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8"/>
    </row>
    <row r="2" spans="1:15" s="55" customFormat="1" ht="63.75" x14ac:dyDescent="0.2">
      <c r="A2" s="3"/>
      <c r="B2" s="3" t="s">
        <v>0</v>
      </c>
      <c r="C2" s="3" t="s">
        <v>93</v>
      </c>
      <c r="D2" s="3" t="s">
        <v>76</v>
      </c>
      <c r="E2" s="68" t="s">
        <v>88</v>
      </c>
      <c r="F2" s="3" t="s">
        <v>91</v>
      </c>
      <c r="G2" s="3" t="s">
        <v>97</v>
      </c>
      <c r="H2" s="3" t="s">
        <v>77</v>
      </c>
      <c r="I2" s="3" t="s">
        <v>74</v>
      </c>
      <c r="J2" s="3" t="s">
        <v>75</v>
      </c>
      <c r="K2" s="3" t="s">
        <v>71</v>
      </c>
      <c r="L2" s="3" t="s">
        <v>72</v>
      </c>
      <c r="M2" s="3" t="s">
        <v>73</v>
      </c>
      <c r="N2" s="3" t="s">
        <v>78</v>
      </c>
      <c r="O2" s="3" t="s">
        <v>90</v>
      </c>
    </row>
    <row r="3" spans="1:15" s="1" customFormat="1" ht="38.25" x14ac:dyDescent="0.2">
      <c r="A3" s="60"/>
      <c r="B3" s="61" t="s">
        <v>14</v>
      </c>
      <c r="C3" s="60"/>
      <c r="D3" s="60"/>
      <c r="E3" s="60"/>
      <c r="F3" s="62">
        <f>'TOTAL '!D19</f>
        <v>1000000</v>
      </c>
      <c r="G3" s="62"/>
      <c r="H3" s="60"/>
      <c r="I3" s="60"/>
      <c r="J3" s="60"/>
      <c r="K3" s="60"/>
      <c r="L3" s="62"/>
      <c r="M3" s="62"/>
      <c r="N3" s="63" t="s">
        <v>16</v>
      </c>
      <c r="O3" s="63"/>
    </row>
    <row r="4" spans="1:15" ht="51" x14ac:dyDescent="0.2">
      <c r="A4" s="6">
        <v>1</v>
      </c>
      <c r="B4" s="64" t="s">
        <v>47</v>
      </c>
      <c r="C4" s="6"/>
      <c r="D4" s="6" t="s">
        <v>94</v>
      </c>
      <c r="E4" s="6"/>
      <c r="F4" s="66">
        <v>230000</v>
      </c>
      <c r="G4" s="66"/>
      <c r="H4" s="6"/>
      <c r="I4" s="6"/>
      <c r="J4" s="6"/>
      <c r="K4" s="6"/>
      <c r="L4" s="58"/>
      <c r="M4" s="57"/>
      <c r="N4" s="6"/>
      <c r="O4" s="58">
        <v>0</v>
      </c>
    </row>
    <row r="5" spans="1:15" ht="51" x14ac:dyDescent="0.2">
      <c r="A5" s="6">
        <v>2</v>
      </c>
      <c r="B5" s="64" t="s">
        <v>69</v>
      </c>
      <c r="C5" s="6"/>
      <c r="D5" s="6" t="s">
        <v>94</v>
      </c>
      <c r="E5" s="6"/>
      <c r="F5" s="66">
        <v>65372</v>
      </c>
      <c r="G5" s="66"/>
      <c r="H5" s="6"/>
      <c r="I5" s="6"/>
      <c r="J5" s="6"/>
      <c r="K5" s="6"/>
      <c r="L5" s="58"/>
      <c r="M5" s="57"/>
      <c r="N5" s="6"/>
      <c r="O5" s="58">
        <v>0</v>
      </c>
    </row>
    <row r="6" spans="1:15" x14ac:dyDescent="0.2">
      <c r="A6" s="6">
        <v>3</v>
      </c>
      <c r="B6" s="65" t="s">
        <v>68</v>
      </c>
      <c r="C6" s="6"/>
      <c r="D6" s="6" t="s">
        <v>94</v>
      </c>
      <c r="E6" s="6"/>
      <c r="F6" s="67"/>
      <c r="G6" s="78"/>
      <c r="H6" s="6"/>
      <c r="I6" s="6"/>
      <c r="J6" s="6"/>
      <c r="K6" s="6"/>
      <c r="L6" s="58"/>
      <c r="M6" s="57"/>
      <c r="N6" s="6"/>
      <c r="O6" s="58">
        <v>0</v>
      </c>
    </row>
    <row r="7" spans="1:15" ht="20.25" customHeight="1" x14ac:dyDescent="0.2">
      <c r="A7" s="6"/>
      <c r="B7" s="7"/>
      <c r="C7" s="6"/>
      <c r="D7" s="6"/>
      <c r="E7" s="6"/>
      <c r="F7" s="83">
        <f>SUM(F4:F6)</f>
        <v>295372</v>
      </c>
      <c r="G7" s="79"/>
      <c r="H7" s="6"/>
      <c r="I7" s="6"/>
      <c r="J7" s="6"/>
      <c r="K7" s="6"/>
      <c r="L7" s="57"/>
      <c r="M7" s="57"/>
      <c r="N7" s="6"/>
      <c r="O7" s="56">
        <f>SUM(O4:O6)</f>
        <v>0</v>
      </c>
    </row>
    <row r="43" spans="8:10" x14ac:dyDescent="0.2">
      <c r="H43" s="31"/>
      <c r="I43" s="30"/>
      <c r="J43" s="31"/>
    </row>
    <row r="47" spans="8:10" x14ac:dyDescent="0.2">
      <c r="I47" s="8"/>
      <c r="J47" s="8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view="pageBreakPreview" zoomScale="70" zoomScaleNormal="91" zoomScaleSheetLayoutView="70" workbookViewId="0">
      <pane ySplit="1" topLeftCell="A2" activePane="bottomLeft" state="frozen"/>
      <selection pane="bottomLeft" activeCell="P11" sqref="P11"/>
    </sheetView>
  </sheetViews>
  <sheetFormatPr defaultColWidth="9.140625" defaultRowHeight="15" x14ac:dyDescent="0.2"/>
  <cols>
    <col min="1" max="1" width="13.42578125" style="133" customWidth="1"/>
    <col min="2" max="2" width="34.5703125" style="120" customWidth="1"/>
    <col min="3" max="3" width="27.85546875" style="133" customWidth="1"/>
    <col min="4" max="4" width="31.42578125" style="120" customWidth="1"/>
    <col min="5" max="5" width="36" style="174" customWidth="1"/>
    <col min="6" max="6" width="26.28515625" style="133" customWidth="1"/>
    <col min="7" max="7" width="27" style="199" customWidth="1"/>
    <col min="8" max="8" width="23.42578125" style="133" customWidth="1"/>
    <col min="9" max="9" width="19.42578125" style="133" customWidth="1"/>
    <col min="10" max="10" width="17.42578125" style="133" customWidth="1"/>
    <col min="11" max="11" width="18.42578125" style="133" customWidth="1"/>
    <col min="12" max="12" width="25.42578125" style="133" customWidth="1"/>
    <col min="13" max="13" width="21.7109375" style="133" bestFit="1" customWidth="1"/>
    <col min="14" max="14" width="17.28515625" style="133" customWidth="1"/>
    <col min="15" max="15" width="15.42578125" style="133" customWidth="1"/>
    <col min="16" max="16" width="22.5703125" style="133" bestFit="1" customWidth="1"/>
    <col min="17" max="17" width="24.28515625" style="133" customWidth="1"/>
    <col min="18" max="19" width="9.140625" style="133"/>
    <col min="20" max="20" width="14.28515625" style="133" customWidth="1"/>
    <col min="21" max="22" width="9.140625" style="133"/>
    <col min="23" max="23" width="13.7109375" style="133" customWidth="1"/>
    <col min="24" max="16384" width="9.140625" style="133"/>
  </cols>
  <sheetData>
    <row r="1" spans="1:18" s="102" customFormat="1" ht="90.6" customHeight="1" thickBot="1" x14ac:dyDescent="0.25">
      <c r="A1" s="51" t="s">
        <v>21</v>
      </c>
      <c r="B1" s="99" t="s">
        <v>0</v>
      </c>
      <c r="C1" s="51" t="s">
        <v>93</v>
      </c>
      <c r="D1" s="51" t="s">
        <v>76</v>
      </c>
      <c r="E1" s="100" t="s">
        <v>156</v>
      </c>
      <c r="F1" s="51" t="s">
        <v>157</v>
      </c>
      <c r="G1" s="181" t="s">
        <v>139</v>
      </c>
      <c r="H1" s="51" t="s">
        <v>77</v>
      </c>
      <c r="I1" s="51" t="s">
        <v>74</v>
      </c>
      <c r="J1" s="51" t="s">
        <v>75</v>
      </c>
      <c r="K1" s="51" t="s">
        <v>158</v>
      </c>
      <c r="L1" s="51" t="s">
        <v>72</v>
      </c>
      <c r="M1" s="51" t="s">
        <v>73</v>
      </c>
      <c r="N1" s="101" t="s">
        <v>159</v>
      </c>
      <c r="O1" s="51" t="s">
        <v>78</v>
      </c>
      <c r="P1" s="51" t="s">
        <v>90</v>
      </c>
    </row>
    <row r="2" spans="1:18" s="20" customFormat="1" ht="72.75" customHeight="1" thickBot="1" x14ac:dyDescent="0.25">
      <c r="A2" s="103">
        <v>2.1</v>
      </c>
      <c r="B2" s="104" t="s">
        <v>34</v>
      </c>
      <c r="C2" s="105"/>
      <c r="D2" s="105"/>
      <c r="E2" s="106"/>
      <c r="F2" s="105">
        <f>'TOTAL '!D7</f>
        <v>5000000</v>
      </c>
      <c r="G2" s="182"/>
      <c r="H2" s="105"/>
      <c r="I2" s="105"/>
      <c r="J2" s="105"/>
      <c r="K2" s="105"/>
      <c r="L2" s="105"/>
      <c r="M2" s="105"/>
      <c r="N2" s="105"/>
      <c r="O2" s="105"/>
      <c r="P2" s="107"/>
    </row>
    <row r="3" spans="1:18" s="20" customFormat="1" ht="72.75" customHeight="1" x14ac:dyDescent="0.2">
      <c r="A3" s="108">
        <v>1</v>
      </c>
      <c r="B3" s="109" t="s">
        <v>66</v>
      </c>
      <c r="C3" s="52" t="s">
        <v>79</v>
      </c>
      <c r="D3" s="52" t="s">
        <v>67</v>
      </c>
      <c r="E3" s="110"/>
      <c r="F3" s="111"/>
      <c r="G3" s="183" t="s">
        <v>79</v>
      </c>
      <c r="H3" s="52" t="s">
        <v>80</v>
      </c>
      <c r="I3" s="111" t="s">
        <v>81</v>
      </c>
      <c r="J3" s="111" t="s">
        <v>82</v>
      </c>
      <c r="K3" s="52"/>
      <c r="L3" s="52" t="s">
        <v>103</v>
      </c>
      <c r="M3" s="112">
        <v>54000</v>
      </c>
      <c r="N3" s="112"/>
      <c r="O3" s="111">
        <v>3.33</v>
      </c>
      <c r="P3" s="111">
        <f>M3*O3</f>
        <v>179820</v>
      </c>
    </row>
    <row r="4" spans="1:18" s="20" customFormat="1" ht="56.25" customHeight="1" x14ac:dyDescent="0.2">
      <c r="A4" s="108">
        <v>2</v>
      </c>
      <c r="B4" s="17" t="s">
        <v>84</v>
      </c>
      <c r="C4" s="17"/>
      <c r="D4" s="17" t="s">
        <v>67</v>
      </c>
      <c r="E4" s="213">
        <v>3000000</v>
      </c>
      <c r="F4" s="214">
        <f>E4*1.5</f>
        <v>4500000</v>
      </c>
      <c r="G4" s="184"/>
      <c r="H4" s="14"/>
      <c r="I4" s="114"/>
      <c r="J4" s="114"/>
      <c r="K4" s="14"/>
      <c r="L4" s="115"/>
      <c r="M4" s="116"/>
      <c r="N4" s="116"/>
      <c r="O4" s="114"/>
      <c r="P4" s="114"/>
    </row>
    <row r="5" spans="1:18" s="20" customFormat="1" ht="86.25" customHeight="1" x14ac:dyDescent="0.2">
      <c r="A5" s="108">
        <v>3</v>
      </c>
      <c r="B5" s="17" t="s">
        <v>104</v>
      </c>
      <c r="C5" s="17"/>
      <c r="D5" s="17" t="s">
        <v>67</v>
      </c>
      <c r="E5" s="213">
        <v>230000</v>
      </c>
      <c r="F5" s="214">
        <v>250000</v>
      </c>
      <c r="G5" s="184"/>
      <c r="H5" s="14"/>
      <c r="I5" s="114"/>
      <c r="J5" s="114"/>
      <c r="K5" s="14"/>
      <c r="L5" s="115"/>
      <c r="M5" s="116"/>
      <c r="N5" s="116"/>
      <c r="O5" s="114"/>
      <c r="P5" s="114"/>
    </row>
    <row r="6" spans="1:18" s="20" customFormat="1" ht="50.25" customHeight="1" x14ac:dyDescent="0.2">
      <c r="A6" s="108">
        <v>4</v>
      </c>
      <c r="B6" s="17" t="s">
        <v>85</v>
      </c>
      <c r="C6" s="17"/>
      <c r="D6" s="17" t="s">
        <v>67</v>
      </c>
      <c r="E6" s="213">
        <v>40000</v>
      </c>
      <c r="F6" s="214">
        <v>47200</v>
      </c>
      <c r="G6" s="184"/>
      <c r="H6" s="14"/>
      <c r="I6" s="114"/>
      <c r="J6" s="114"/>
      <c r="K6" s="14"/>
      <c r="L6" s="115"/>
      <c r="M6" s="116"/>
      <c r="N6" s="116"/>
      <c r="O6" s="114"/>
      <c r="P6" s="114"/>
    </row>
    <row r="7" spans="1:18" s="20" customFormat="1" ht="53.25" customHeight="1" x14ac:dyDescent="0.2">
      <c r="A7" s="108">
        <v>5</v>
      </c>
      <c r="B7" s="17" t="s">
        <v>87</v>
      </c>
      <c r="C7" s="17"/>
      <c r="D7" s="17" t="s">
        <v>67</v>
      </c>
      <c r="E7" s="213">
        <v>50000</v>
      </c>
      <c r="F7" s="214">
        <f>E7*0.01</f>
        <v>500</v>
      </c>
      <c r="G7" s="184"/>
      <c r="H7" s="14"/>
      <c r="I7" s="114"/>
      <c r="J7" s="114"/>
      <c r="K7" s="14"/>
      <c r="L7" s="115"/>
      <c r="M7" s="116"/>
      <c r="N7" s="116"/>
      <c r="O7" s="114"/>
      <c r="P7" s="114"/>
    </row>
    <row r="8" spans="1:18" s="20" customFormat="1" ht="45" customHeight="1" x14ac:dyDescent="0.2">
      <c r="A8" s="108">
        <v>6</v>
      </c>
      <c r="B8" s="17" t="s">
        <v>86</v>
      </c>
      <c r="C8" s="17"/>
      <c r="D8" s="17" t="s">
        <v>67</v>
      </c>
      <c r="E8" s="213">
        <v>20000</v>
      </c>
      <c r="F8" s="214">
        <f>E8*0.02</f>
        <v>400</v>
      </c>
      <c r="G8" s="184"/>
      <c r="H8" s="14"/>
      <c r="I8" s="114"/>
      <c r="J8" s="114"/>
      <c r="K8" s="14"/>
      <c r="L8" s="115"/>
      <c r="M8" s="116"/>
      <c r="N8" s="116"/>
      <c r="O8" s="114"/>
      <c r="P8" s="114"/>
    </row>
    <row r="9" spans="1:18" s="20" customFormat="1" ht="51.75" customHeight="1" x14ac:dyDescent="0.2">
      <c r="A9" s="108">
        <v>7</v>
      </c>
      <c r="B9" s="17" t="s">
        <v>83</v>
      </c>
      <c r="C9" s="17"/>
      <c r="D9" s="17" t="s">
        <v>67</v>
      </c>
      <c r="E9" s="213">
        <v>4300000</v>
      </c>
      <c r="F9" s="214">
        <v>600000</v>
      </c>
      <c r="G9" s="184"/>
      <c r="H9" s="114"/>
      <c r="I9" s="114"/>
      <c r="J9" s="114"/>
      <c r="K9" s="114"/>
      <c r="L9" s="114"/>
      <c r="M9" s="114"/>
      <c r="N9" s="114"/>
      <c r="O9" s="114"/>
      <c r="P9" s="114">
        <v>0</v>
      </c>
    </row>
    <row r="10" spans="1:18" s="20" customFormat="1" ht="45" customHeight="1" x14ac:dyDescent="0.2">
      <c r="A10" s="108">
        <v>8</v>
      </c>
      <c r="B10" s="17" t="s">
        <v>89</v>
      </c>
      <c r="C10" s="214" t="s">
        <v>215</v>
      </c>
      <c r="D10" s="17" t="s">
        <v>67</v>
      </c>
      <c r="E10" s="213">
        <v>3000000</v>
      </c>
      <c r="F10" s="214">
        <v>609000</v>
      </c>
      <c r="G10" s="184"/>
      <c r="H10" s="114"/>
      <c r="I10" s="114"/>
      <c r="J10" s="114"/>
      <c r="K10" s="114"/>
      <c r="L10" s="114"/>
      <c r="M10" s="114"/>
      <c r="N10" s="114"/>
      <c r="O10" s="114"/>
      <c r="P10" s="114"/>
    </row>
    <row r="11" spans="1:18" s="120" customFormat="1" ht="54" customHeight="1" thickBot="1" x14ac:dyDescent="0.25">
      <c r="A11" s="446" t="s">
        <v>33</v>
      </c>
      <c r="B11" s="452"/>
      <c r="C11" s="452"/>
      <c r="D11" s="452"/>
      <c r="E11" s="117"/>
      <c r="F11" s="118">
        <f>SUM(F4:F10)</f>
        <v>6007100</v>
      </c>
      <c r="G11" s="185"/>
      <c r="H11" s="119"/>
      <c r="I11" s="119"/>
      <c r="J11" s="119"/>
      <c r="K11" s="119"/>
      <c r="P11" s="121">
        <f>P3+P9</f>
        <v>179820</v>
      </c>
    </row>
    <row r="12" spans="1:18" s="20" customFormat="1" ht="141" customHeight="1" x14ac:dyDescent="0.2">
      <c r="A12" s="216">
        <v>2.1</v>
      </c>
      <c r="B12" s="217" t="s">
        <v>23</v>
      </c>
      <c r="C12" s="218"/>
      <c r="D12" s="219"/>
      <c r="E12" s="218"/>
      <c r="F12" s="218">
        <f>'TOTAL '!D8</f>
        <v>7000000</v>
      </c>
      <c r="G12" s="220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8" s="20" customFormat="1" ht="66" customHeight="1" x14ac:dyDescent="0.15">
      <c r="A13" s="222"/>
      <c r="B13" s="223" t="s">
        <v>201</v>
      </c>
      <c r="C13" s="224" t="s">
        <v>193</v>
      </c>
      <c r="D13" s="223" t="s">
        <v>67</v>
      </c>
      <c r="E13" s="225">
        <v>1</v>
      </c>
      <c r="F13" s="224">
        <f>(88000*R13)/R14</f>
        <v>103980.76798128776</v>
      </c>
      <c r="G13" s="184"/>
      <c r="H13" s="114"/>
      <c r="I13" s="114"/>
      <c r="J13" s="114"/>
      <c r="K13" s="114"/>
      <c r="L13" s="114"/>
      <c r="M13" s="114"/>
      <c r="N13" s="114"/>
      <c r="O13" s="114"/>
      <c r="P13" s="114"/>
      <c r="R13" s="31">
        <v>3.6372</v>
      </c>
    </row>
    <row r="14" spans="1:18" s="20" customFormat="1" ht="61.5" customHeight="1" x14ac:dyDescent="0.15">
      <c r="A14" s="108">
        <v>1</v>
      </c>
      <c r="B14" s="123" t="s">
        <v>52</v>
      </c>
      <c r="C14" s="111"/>
      <c r="D14" s="52"/>
      <c r="E14" s="110"/>
      <c r="F14" s="111">
        <v>0</v>
      </c>
      <c r="G14" s="186"/>
      <c r="H14" s="111"/>
      <c r="I14" s="111"/>
      <c r="J14" s="111"/>
      <c r="K14" s="111"/>
      <c r="L14" s="111"/>
      <c r="M14" s="111"/>
      <c r="N14" s="111"/>
      <c r="O14" s="111"/>
      <c r="P14" s="111">
        <v>0</v>
      </c>
      <c r="R14" s="31">
        <v>3.0781999999999998</v>
      </c>
    </row>
    <row r="15" spans="1:18" s="20" customFormat="1" ht="51" customHeight="1" x14ac:dyDescent="0.2">
      <c r="A15" s="108">
        <v>1</v>
      </c>
      <c r="B15" s="123" t="s">
        <v>50</v>
      </c>
      <c r="C15" s="114"/>
      <c r="D15" s="14"/>
      <c r="E15" s="113"/>
      <c r="F15" s="114">
        <v>0</v>
      </c>
      <c r="G15" s="184"/>
      <c r="H15" s="114"/>
      <c r="I15" s="114"/>
      <c r="J15" s="114"/>
      <c r="K15" s="114"/>
      <c r="L15" s="114"/>
      <c r="M15" s="114"/>
      <c r="N15" s="114"/>
      <c r="O15" s="114"/>
      <c r="P15" s="111">
        <v>0</v>
      </c>
    </row>
    <row r="16" spans="1:18" s="20" customFormat="1" ht="54.75" customHeight="1" x14ac:dyDescent="0.2">
      <c r="A16" s="108">
        <v>1</v>
      </c>
      <c r="B16" s="123" t="s">
        <v>105</v>
      </c>
      <c r="C16" s="114"/>
      <c r="D16" s="14"/>
      <c r="E16" s="113"/>
      <c r="F16" s="114">
        <v>0</v>
      </c>
      <c r="G16" s="184"/>
      <c r="H16" s="114"/>
      <c r="I16" s="114"/>
      <c r="J16" s="114"/>
      <c r="K16" s="114"/>
      <c r="L16" s="114"/>
      <c r="M16" s="114"/>
      <c r="N16" s="114"/>
      <c r="O16" s="114"/>
      <c r="P16" s="111">
        <v>0</v>
      </c>
    </row>
    <row r="17" spans="1:16" s="20" customFormat="1" ht="52.5" customHeight="1" x14ac:dyDescent="0.2">
      <c r="A17" s="108">
        <v>1</v>
      </c>
      <c r="B17" s="226" t="s">
        <v>106</v>
      </c>
      <c r="C17" s="114"/>
      <c r="E17" s="113"/>
      <c r="F17" s="114">
        <v>0</v>
      </c>
      <c r="G17" s="184"/>
      <c r="H17" s="114"/>
      <c r="I17" s="114"/>
      <c r="J17" s="114"/>
      <c r="K17" s="114"/>
      <c r="L17" s="114"/>
      <c r="M17" s="114"/>
      <c r="N17" s="114"/>
      <c r="O17" s="114"/>
      <c r="P17" s="111">
        <v>0</v>
      </c>
    </row>
    <row r="18" spans="1:16" s="20" customFormat="1" ht="54.75" customHeight="1" x14ac:dyDescent="0.2">
      <c r="A18" s="108">
        <v>1</v>
      </c>
      <c r="B18" s="123" t="s">
        <v>151</v>
      </c>
      <c r="C18" s="114"/>
      <c r="D18" s="14"/>
      <c r="E18" s="113"/>
      <c r="F18" s="114">
        <v>0</v>
      </c>
      <c r="G18" s="184"/>
      <c r="H18" s="114"/>
      <c r="I18" s="114"/>
      <c r="J18" s="114"/>
      <c r="K18" s="114"/>
      <c r="L18" s="114"/>
      <c r="M18" s="114"/>
      <c r="N18" s="114"/>
      <c r="O18" s="114"/>
      <c r="P18" s="111">
        <v>0</v>
      </c>
    </row>
    <row r="19" spans="1:16" s="20" customFormat="1" ht="54" customHeight="1" x14ac:dyDescent="0.2">
      <c r="A19" s="108">
        <v>1</v>
      </c>
      <c r="B19" s="123" t="s">
        <v>51</v>
      </c>
      <c r="C19" s="114"/>
      <c r="D19" s="14"/>
      <c r="E19" s="113"/>
      <c r="F19" s="114">
        <v>0</v>
      </c>
      <c r="G19" s="184"/>
      <c r="H19" s="114"/>
      <c r="I19" s="114"/>
      <c r="J19" s="114"/>
      <c r="K19" s="114"/>
      <c r="L19" s="114"/>
      <c r="M19" s="114"/>
      <c r="N19" s="114"/>
      <c r="O19" s="114"/>
      <c r="P19" s="111">
        <v>0</v>
      </c>
    </row>
    <row r="20" spans="1:16" s="20" customFormat="1" ht="57.75" customHeight="1" x14ac:dyDescent="0.2">
      <c r="A20" s="155"/>
      <c r="B20" s="140" t="s">
        <v>17</v>
      </c>
      <c r="C20" s="139"/>
      <c r="D20" s="139" t="s">
        <v>1</v>
      </c>
      <c r="E20" s="141"/>
      <c r="F20" s="142">
        <v>0</v>
      </c>
      <c r="G20" s="207" t="s">
        <v>160</v>
      </c>
      <c r="H20" s="201">
        <v>43972</v>
      </c>
      <c r="I20" s="98" t="s">
        <v>161</v>
      </c>
      <c r="J20" s="139"/>
      <c r="K20" s="208" t="s">
        <v>163</v>
      </c>
      <c r="L20" s="139" t="s">
        <v>162</v>
      </c>
      <c r="M20" s="141">
        <v>30</v>
      </c>
      <c r="N20" s="139"/>
      <c r="O20" s="142">
        <v>13447.92</v>
      </c>
      <c r="P20" s="142">
        <f>M20*O20</f>
        <v>403437.6</v>
      </c>
    </row>
    <row r="21" spans="1:16" s="120" customFormat="1" ht="52.5" customHeight="1" x14ac:dyDescent="0.2">
      <c r="A21" s="108">
        <v>1</v>
      </c>
      <c r="B21" s="17" t="s">
        <v>107</v>
      </c>
      <c r="C21" s="114"/>
      <c r="D21" s="14"/>
      <c r="E21" s="113"/>
      <c r="F21" s="114">
        <v>0</v>
      </c>
      <c r="G21" s="184"/>
      <c r="H21" s="114"/>
      <c r="I21" s="114"/>
      <c r="J21" s="114"/>
      <c r="K21" s="114"/>
      <c r="L21" s="114"/>
      <c r="M21" s="114"/>
      <c r="N21" s="114"/>
      <c r="O21" s="114"/>
      <c r="P21" s="111">
        <v>0</v>
      </c>
    </row>
    <row r="22" spans="1:16" s="120" customFormat="1" ht="52.5" customHeight="1" x14ac:dyDescent="0.2">
      <c r="A22" s="108"/>
      <c r="B22" s="235" t="s">
        <v>216</v>
      </c>
      <c r="C22" s="248"/>
      <c r="D22" s="247"/>
      <c r="E22" s="264">
        <v>36</v>
      </c>
      <c r="F22" s="248">
        <f>E22*16000</f>
        <v>576000</v>
      </c>
      <c r="G22" s="263"/>
      <c r="H22" s="248"/>
      <c r="I22" s="248"/>
      <c r="J22" s="248"/>
      <c r="K22" s="248"/>
      <c r="L22" s="248"/>
      <c r="M22" s="248"/>
      <c r="N22" s="248"/>
      <c r="O22" s="248"/>
      <c r="P22" s="111"/>
    </row>
    <row r="23" spans="1:16" s="120" customFormat="1" ht="74.25" customHeight="1" x14ac:dyDescent="0.2">
      <c r="A23" s="234"/>
      <c r="B23" s="235" t="s">
        <v>205</v>
      </c>
      <c r="C23" s="238" t="s">
        <v>202</v>
      </c>
      <c r="D23" s="235" t="s">
        <v>1</v>
      </c>
      <c r="E23" s="239"/>
      <c r="F23" s="238">
        <v>6185998</v>
      </c>
      <c r="G23" s="240" t="s">
        <v>202</v>
      </c>
      <c r="H23" s="241" t="s">
        <v>203</v>
      </c>
      <c r="I23" s="238"/>
      <c r="J23" s="238"/>
      <c r="K23" s="238"/>
      <c r="L23" s="242" t="s">
        <v>204</v>
      </c>
      <c r="M23" s="238"/>
      <c r="N23" s="238"/>
      <c r="O23" s="238"/>
      <c r="P23" s="238"/>
    </row>
    <row r="24" spans="1:16" s="102" customFormat="1" ht="46.5" customHeight="1" thickBot="1" x14ac:dyDescent="0.25">
      <c r="A24" s="449" t="s">
        <v>33</v>
      </c>
      <c r="B24" s="450"/>
      <c r="C24" s="450"/>
      <c r="D24" s="451"/>
      <c r="E24" s="124"/>
      <c r="F24" s="125">
        <f>SUM(F13:F23)</f>
        <v>6865978.767981288</v>
      </c>
      <c r="G24" s="185"/>
      <c r="H24" s="119"/>
      <c r="I24" s="119"/>
      <c r="J24" s="119"/>
      <c r="K24" s="119"/>
      <c r="L24" s="120"/>
      <c r="M24" s="120"/>
      <c r="N24" s="120"/>
      <c r="O24" s="120"/>
      <c r="P24" s="233">
        <f>SUM(P14:P21)</f>
        <v>403437.6</v>
      </c>
    </row>
    <row r="25" spans="1:16" s="20" customFormat="1" ht="110.25" customHeight="1" thickBot="1" x14ac:dyDescent="0.25">
      <c r="A25" s="103">
        <v>2.1</v>
      </c>
      <c r="B25" s="122" t="s">
        <v>30</v>
      </c>
      <c r="C25" s="122"/>
      <c r="D25" s="122" t="s">
        <v>2</v>
      </c>
      <c r="E25" s="126"/>
      <c r="F25" s="122">
        <f>'TOTAL '!D9</f>
        <v>1000000</v>
      </c>
      <c r="G25" s="187"/>
      <c r="H25" s="122"/>
      <c r="I25" s="122"/>
      <c r="J25" s="122"/>
      <c r="K25" s="122"/>
      <c r="L25" s="122"/>
      <c r="M25" s="122"/>
      <c r="N25" s="122"/>
      <c r="O25" s="122"/>
      <c r="P25" s="127"/>
    </row>
    <row r="26" spans="1:16" s="120" customFormat="1" ht="82.5" customHeight="1" x14ac:dyDescent="0.2">
      <c r="A26" s="111"/>
      <c r="B26" s="128" t="s">
        <v>48</v>
      </c>
      <c r="C26" s="111"/>
      <c r="D26" s="52"/>
      <c r="E26" s="110">
        <v>50</v>
      </c>
      <c r="F26" s="129">
        <f>E26*20000</f>
        <v>1000000</v>
      </c>
      <c r="G26" s="188"/>
      <c r="H26" s="111"/>
      <c r="I26" s="111"/>
      <c r="J26" s="111"/>
      <c r="K26" s="111"/>
      <c r="L26" s="111"/>
      <c r="M26" s="111"/>
      <c r="N26" s="111"/>
      <c r="O26" s="111"/>
      <c r="P26" s="111">
        <v>0</v>
      </c>
    </row>
    <row r="27" spans="1:16" s="102" customFormat="1" ht="63" customHeight="1" thickBot="1" x14ac:dyDescent="0.25">
      <c r="A27" s="130" t="s">
        <v>33</v>
      </c>
      <c r="B27" s="443"/>
      <c r="C27" s="441"/>
      <c r="D27" s="441"/>
      <c r="E27" s="441"/>
      <c r="F27" s="131">
        <f>SUM(F26:F26)</f>
        <v>1000000</v>
      </c>
      <c r="G27" s="189"/>
      <c r="H27" s="132"/>
      <c r="I27" s="132"/>
      <c r="J27" s="132"/>
      <c r="K27" s="132"/>
      <c r="L27" s="133"/>
      <c r="M27" s="133"/>
      <c r="N27" s="133"/>
      <c r="O27" s="133"/>
      <c r="P27" s="134">
        <f>P26</f>
        <v>0</v>
      </c>
    </row>
    <row r="28" spans="1:16" s="102" customFormat="1" ht="110.25" customHeight="1" thickBot="1" x14ac:dyDescent="0.25">
      <c r="A28" s="103">
        <v>2.1</v>
      </c>
      <c r="B28" s="122" t="s">
        <v>24</v>
      </c>
      <c r="C28" s="122"/>
      <c r="D28" s="122" t="s">
        <v>2</v>
      </c>
      <c r="E28" s="126"/>
      <c r="F28" s="122">
        <f>'TOTAL '!D10</f>
        <v>2250000</v>
      </c>
      <c r="G28" s="187"/>
      <c r="H28" s="122"/>
      <c r="I28" s="122"/>
      <c r="J28" s="122"/>
      <c r="K28" s="122"/>
      <c r="L28" s="122"/>
      <c r="M28" s="122"/>
      <c r="N28" s="122"/>
      <c r="O28" s="122"/>
      <c r="P28" s="135"/>
    </row>
    <row r="29" spans="1:16" s="120" customFormat="1" ht="88.5" customHeight="1" x14ac:dyDescent="0.2">
      <c r="A29" s="52"/>
      <c r="B29" s="123" t="s">
        <v>53</v>
      </c>
      <c r="C29" s="52"/>
      <c r="D29" s="52" t="s">
        <v>28</v>
      </c>
      <c r="E29" s="110">
        <v>30</v>
      </c>
      <c r="F29" s="136">
        <f>E29*65000</f>
        <v>1950000</v>
      </c>
      <c r="G29" s="190"/>
      <c r="H29" s="52"/>
      <c r="I29" s="52"/>
      <c r="J29" s="52"/>
      <c r="K29" s="52"/>
      <c r="L29" s="52"/>
      <c r="M29" s="52"/>
      <c r="N29" s="52"/>
      <c r="O29" s="52"/>
      <c r="P29" s="52"/>
    </row>
    <row r="30" spans="1:16" s="102" customFormat="1" ht="58.5" customHeight="1" thickBot="1" x14ac:dyDescent="0.25">
      <c r="A30" s="446" t="s">
        <v>33</v>
      </c>
      <c r="B30" s="446"/>
      <c r="C30" s="446"/>
      <c r="D30" s="446"/>
      <c r="E30" s="117"/>
      <c r="F30" s="137">
        <f>SUM(F29:F29)</f>
        <v>1950000</v>
      </c>
      <c r="G30" s="185"/>
      <c r="H30" s="444"/>
      <c r="I30" s="444"/>
      <c r="J30" s="444"/>
      <c r="K30" s="444"/>
      <c r="L30" s="444"/>
      <c r="M30" s="444"/>
      <c r="N30" s="444"/>
      <c r="O30" s="445"/>
      <c r="P30" s="138">
        <f>P29</f>
        <v>0</v>
      </c>
    </row>
    <row r="31" spans="1:16" s="120" customFormat="1" ht="55.5" customHeight="1" thickBot="1" x14ac:dyDescent="0.25">
      <c r="A31" s="103">
        <v>1.1000000000000001</v>
      </c>
      <c r="B31" s="104" t="s">
        <v>25</v>
      </c>
      <c r="C31" s="122"/>
      <c r="D31" s="122" t="s">
        <v>1</v>
      </c>
      <c r="E31" s="126"/>
      <c r="F31" s="122">
        <f>'TOTAL '!D11</f>
        <v>25250000</v>
      </c>
      <c r="G31" s="187"/>
      <c r="H31" s="122"/>
      <c r="I31" s="122"/>
      <c r="J31" s="122"/>
      <c r="K31" s="122"/>
      <c r="L31" s="122"/>
      <c r="M31" s="122"/>
      <c r="N31" s="122"/>
      <c r="O31" s="122"/>
      <c r="P31" s="135"/>
    </row>
    <row r="32" spans="1:16" s="120" customFormat="1" ht="80.25" customHeight="1" x14ac:dyDescent="0.2">
      <c r="A32" s="139"/>
      <c r="B32" s="453" t="s">
        <v>125</v>
      </c>
      <c r="C32" s="139"/>
      <c r="D32" s="139" t="s">
        <v>1</v>
      </c>
      <c r="E32" s="141"/>
      <c r="F32" s="142"/>
      <c r="G32" s="447" t="s">
        <v>111</v>
      </c>
      <c r="H32" s="177" t="s">
        <v>130</v>
      </c>
      <c r="I32" s="178" t="s">
        <v>128</v>
      </c>
      <c r="J32" s="139" t="s">
        <v>82</v>
      </c>
      <c r="K32" s="52" t="s">
        <v>115</v>
      </c>
      <c r="L32" s="143" t="s">
        <v>119</v>
      </c>
      <c r="M32" s="141">
        <v>97000</v>
      </c>
      <c r="N32" s="139" t="s">
        <v>119</v>
      </c>
      <c r="O32" s="139" t="s">
        <v>112</v>
      </c>
      <c r="P32" s="142">
        <v>504400</v>
      </c>
    </row>
    <row r="33" spans="1:19" ht="62.25" customHeight="1" x14ac:dyDescent="0.2">
      <c r="A33" s="150"/>
      <c r="B33" s="454"/>
      <c r="C33" s="143"/>
      <c r="D33" s="143" t="s">
        <v>67</v>
      </c>
      <c r="E33" s="144"/>
      <c r="F33" s="144"/>
      <c r="G33" s="448"/>
      <c r="H33" s="177"/>
      <c r="I33" s="178" t="s">
        <v>128</v>
      </c>
      <c r="J33" s="144" t="s">
        <v>82</v>
      </c>
      <c r="K33" s="113" t="s">
        <v>102</v>
      </c>
      <c r="L33" s="144" t="s">
        <v>114</v>
      </c>
      <c r="M33" s="144" t="s">
        <v>113</v>
      </c>
      <c r="N33" s="139" t="s">
        <v>119</v>
      </c>
      <c r="O33" s="144" t="s">
        <v>112</v>
      </c>
      <c r="P33" s="142">
        <v>520000</v>
      </c>
    </row>
    <row r="34" spans="1:19" s="120" customFormat="1" ht="95.25" customHeight="1" x14ac:dyDescent="0.2">
      <c r="A34" s="143"/>
      <c r="B34" s="54" t="s">
        <v>126</v>
      </c>
      <c r="C34" s="143"/>
      <c r="D34" s="143" t="s">
        <v>1</v>
      </c>
      <c r="E34" s="144"/>
      <c r="F34" s="145"/>
      <c r="G34" s="191" t="s">
        <v>118</v>
      </c>
      <c r="H34" s="179" t="s">
        <v>129</v>
      </c>
      <c r="I34" s="178" t="s">
        <v>147</v>
      </c>
      <c r="J34" s="143" t="s">
        <v>82</v>
      </c>
      <c r="K34" s="143"/>
      <c r="L34" s="143" t="s">
        <v>119</v>
      </c>
      <c r="M34" s="144">
        <v>50000</v>
      </c>
      <c r="N34" s="143" t="s">
        <v>119</v>
      </c>
      <c r="O34" s="143"/>
      <c r="P34" s="145">
        <v>612200</v>
      </c>
    </row>
    <row r="35" spans="1:19" s="120" customFormat="1" ht="66" customHeight="1" x14ac:dyDescent="0.2">
      <c r="A35" s="143"/>
      <c r="B35" s="54" t="s">
        <v>12</v>
      </c>
      <c r="C35" s="143"/>
      <c r="D35" s="143" t="s">
        <v>1</v>
      </c>
      <c r="E35" s="144"/>
      <c r="F35" s="145"/>
      <c r="G35" s="193" t="s">
        <v>120</v>
      </c>
      <c r="H35" s="200" t="s">
        <v>121</v>
      </c>
      <c r="I35" s="180" t="s">
        <v>152</v>
      </c>
      <c r="J35" s="143" t="s">
        <v>124</v>
      </c>
      <c r="K35" s="143"/>
      <c r="L35" s="143" t="s">
        <v>119</v>
      </c>
      <c r="M35" s="143" t="s">
        <v>122</v>
      </c>
      <c r="N35" s="143" t="s">
        <v>119</v>
      </c>
      <c r="O35" s="143" t="s">
        <v>123</v>
      </c>
      <c r="P35" s="145">
        <v>338708</v>
      </c>
    </row>
    <row r="36" spans="1:19" s="120" customFormat="1" ht="60" x14ac:dyDescent="0.2">
      <c r="A36" s="143"/>
      <c r="B36" s="54" t="s">
        <v>127</v>
      </c>
      <c r="C36" s="143"/>
      <c r="D36" s="143" t="s">
        <v>1</v>
      </c>
      <c r="E36" s="144"/>
      <c r="F36" s="145"/>
      <c r="G36" s="191" t="s">
        <v>135</v>
      </c>
      <c r="H36" s="177" t="s">
        <v>136</v>
      </c>
      <c r="I36" s="98" t="s">
        <v>131</v>
      </c>
      <c r="J36" s="143" t="s">
        <v>124</v>
      </c>
      <c r="K36" s="143"/>
      <c r="L36" s="143" t="s">
        <v>138</v>
      </c>
      <c r="M36" s="144">
        <v>1800</v>
      </c>
      <c r="N36" s="143" t="s">
        <v>155</v>
      </c>
      <c r="O36" s="143"/>
      <c r="P36" s="145">
        <v>5685100</v>
      </c>
    </row>
    <row r="37" spans="1:19" ht="75" x14ac:dyDescent="0.2">
      <c r="A37" s="150"/>
      <c r="B37" s="14" t="s">
        <v>116</v>
      </c>
      <c r="C37" s="54"/>
      <c r="D37" s="145" t="s">
        <v>67</v>
      </c>
      <c r="E37" s="210"/>
      <c r="F37" s="145"/>
      <c r="G37" s="193" t="s">
        <v>118</v>
      </c>
      <c r="H37" s="177" t="s">
        <v>170</v>
      </c>
      <c r="I37" s="145" t="s">
        <v>147</v>
      </c>
      <c r="J37" s="145" t="s">
        <v>117</v>
      </c>
      <c r="K37" s="145"/>
      <c r="L37" s="145" t="s">
        <v>169</v>
      </c>
      <c r="M37" s="210">
        <v>100000</v>
      </c>
      <c r="N37" s="145"/>
      <c r="O37" s="145">
        <v>9.1875</v>
      </c>
      <c r="P37" s="145">
        <f>M37*O37</f>
        <v>918750</v>
      </c>
      <c r="Q37" s="120"/>
      <c r="R37" s="120"/>
      <c r="S37" s="120"/>
    </row>
    <row r="38" spans="1:19" ht="57" customHeight="1" x14ac:dyDescent="0.2">
      <c r="A38" s="212"/>
      <c r="B38" s="14" t="s">
        <v>132</v>
      </c>
      <c r="C38" s="143"/>
      <c r="D38" s="143" t="s">
        <v>1</v>
      </c>
      <c r="E38" s="144"/>
      <c r="F38" s="145"/>
      <c r="G38" s="191" t="s">
        <v>137</v>
      </c>
      <c r="H38" s="177" t="s">
        <v>134</v>
      </c>
      <c r="I38" s="98" t="s">
        <v>131</v>
      </c>
      <c r="J38" s="143" t="s">
        <v>82</v>
      </c>
      <c r="K38" s="143"/>
      <c r="L38" s="143" t="s">
        <v>172</v>
      </c>
      <c r="M38" s="144" t="s">
        <v>133</v>
      </c>
      <c r="N38" s="201">
        <v>44134</v>
      </c>
      <c r="O38" s="143"/>
      <c r="P38" s="145">
        <v>478240.4</v>
      </c>
      <c r="Q38" s="120"/>
      <c r="R38" s="120"/>
      <c r="S38" s="120"/>
    </row>
    <row r="39" spans="1:19" ht="112.5" customHeight="1" x14ac:dyDescent="0.2">
      <c r="A39" s="152"/>
      <c r="B39" s="14" t="s">
        <v>188</v>
      </c>
      <c r="C39" s="145"/>
      <c r="D39" s="145" t="s">
        <v>67</v>
      </c>
      <c r="E39" s="210"/>
      <c r="F39" s="145"/>
      <c r="G39" s="191" t="s">
        <v>189</v>
      </c>
      <c r="H39" s="177" t="s">
        <v>190</v>
      </c>
      <c r="I39" s="145" t="s">
        <v>128</v>
      </c>
      <c r="J39" s="145" t="s">
        <v>117</v>
      </c>
      <c r="K39" s="145"/>
      <c r="L39" s="145" t="s">
        <v>154</v>
      </c>
      <c r="M39" s="210">
        <v>400000</v>
      </c>
      <c r="N39" s="145"/>
      <c r="O39" s="145"/>
      <c r="P39" s="145">
        <v>4200000</v>
      </c>
      <c r="Q39" s="120"/>
      <c r="R39" s="120"/>
      <c r="S39" s="120"/>
    </row>
    <row r="40" spans="1:19" ht="90.75" customHeight="1" x14ac:dyDescent="0.2">
      <c r="A40" s="150"/>
      <c r="B40" s="145" t="s">
        <v>144</v>
      </c>
      <c r="C40" s="151"/>
      <c r="D40" s="145" t="s">
        <v>67</v>
      </c>
      <c r="E40" s="204" t="s">
        <v>171</v>
      </c>
      <c r="F40" s="151"/>
      <c r="G40" s="191" t="s">
        <v>192</v>
      </c>
      <c r="H40" s="177" t="s">
        <v>191</v>
      </c>
      <c r="I40" s="145" t="s">
        <v>148</v>
      </c>
      <c r="J40" s="145" t="s">
        <v>117</v>
      </c>
      <c r="K40" s="145"/>
      <c r="L40" s="145" t="s">
        <v>153</v>
      </c>
      <c r="M40" s="145" t="s">
        <v>187</v>
      </c>
      <c r="N40" s="145"/>
      <c r="O40" s="215">
        <v>298</v>
      </c>
      <c r="P40" s="145">
        <v>356000</v>
      </c>
      <c r="Q40" s="120"/>
      <c r="R40" s="120"/>
      <c r="S40" s="120"/>
    </row>
    <row r="41" spans="1:19" s="120" customFormat="1" ht="90.75" customHeight="1" x14ac:dyDescent="0.2">
      <c r="A41" s="143"/>
      <c r="B41" s="245" t="s">
        <v>29</v>
      </c>
      <c r="C41" s="151"/>
      <c r="D41" s="151" t="s">
        <v>1</v>
      </c>
      <c r="E41" s="204">
        <v>1</v>
      </c>
      <c r="F41" s="151"/>
      <c r="G41" s="191" t="s">
        <v>212</v>
      </c>
      <c r="H41" s="177" t="s">
        <v>211</v>
      </c>
      <c r="I41" s="145" t="s">
        <v>213</v>
      </c>
      <c r="J41" s="145" t="s">
        <v>82</v>
      </c>
      <c r="K41" s="151"/>
      <c r="L41" s="151"/>
      <c r="M41" s="246">
        <v>1</v>
      </c>
      <c r="N41" s="151"/>
      <c r="O41" s="151"/>
      <c r="P41" s="151">
        <v>493980</v>
      </c>
    </row>
    <row r="42" spans="1:19" ht="57.75" customHeight="1" x14ac:dyDescent="0.2">
      <c r="A42" s="147"/>
      <c r="B42" s="148" t="s">
        <v>20</v>
      </c>
      <c r="C42" s="148"/>
      <c r="D42" s="148" t="s">
        <v>28</v>
      </c>
      <c r="E42" s="205">
        <v>200000</v>
      </c>
      <c r="F42" s="148">
        <v>350000</v>
      </c>
      <c r="G42" s="194"/>
      <c r="H42" s="203"/>
      <c r="I42" s="151"/>
      <c r="J42" s="148"/>
      <c r="K42" s="148"/>
      <c r="L42" s="148"/>
      <c r="M42" s="148"/>
      <c r="N42" s="202"/>
      <c r="O42" s="148"/>
      <c r="P42" s="148">
        <v>0</v>
      </c>
      <c r="Q42" s="120"/>
      <c r="R42" s="120"/>
      <c r="S42" s="120"/>
    </row>
    <row r="43" spans="1:19" ht="62.25" customHeight="1" x14ac:dyDescent="0.2">
      <c r="A43" s="150"/>
      <c r="B43" s="227" t="s">
        <v>141</v>
      </c>
      <c r="C43" s="227" t="s">
        <v>140</v>
      </c>
      <c r="D43" s="227" t="s">
        <v>67</v>
      </c>
      <c r="E43" s="228">
        <v>10000</v>
      </c>
      <c r="F43" s="227">
        <v>253000</v>
      </c>
      <c r="G43" s="194"/>
      <c r="H43" s="151"/>
      <c r="I43" s="151" t="s">
        <v>142</v>
      </c>
      <c r="J43" s="151" t="s">
        <v>143</v>
      </c>
      <c r="K43" s="151"/>
      <c r="L43" s="151" t="s">
        <v>150</v>
      </c>
      <c r="M43" s="151"/>
      <c r="N43" s="151"/>
      <c r="O43" s="151"/>
      <c r="P43" s="148">
        <v>0</v>
      </c>
      <c r="Q43" s="120"/>
      <c r="R43" s="120"/>
      <c r="S43" s="120"/>
    </row>
    <row r="44" spans="1:19" ht="62.25" customHeight="1" x14ac:dyDescent="0.2">
      <c r="A44" s="152"/>
      <c r="B44" s="143" t="s">
        <v>175</v>
      </c>
      <c r="C44" s="143" t="s">
        <v>174</v>
      </c>
      <c r="D44" s="143" t="s">
        <v>67</v>
      </c>
      <c r="E44" s="144"/>
      <c r="F44" s="143"/>
      <c r="G44" s="198" t="s">
        <v>120</v>
      </c>
      <c r="H44" s="143" t="s">
        <v>195</v>
      </c>
      <c r="I44" s="143" t="s">
        <v>196</v>
      </c>
      <c r="J44" s="143"/>
      <c r="K44" s="143"/>
      <c r="L44" s="143" t="s">
        <v>197</v>
      </c>
      <c r="M44" s="143" t="s">
        <v>200</v>
      </c>
      <c r="N44" s="143"/>
      <c r="O44" s="143" t="s">
        <v>198</v>
      </c>
      <c r="P44" s="143" t="s">
        <v>199</v>
      </c>
      <c r="Q44" s="120"/>
      <c r="R44" s="120"/>
      <c r="S44" s="120"/>
    </row>
    <row r="45" spans="1:19" ht="57" customHeight="1" x14ac:dyDescent="0.2">
      <c r="A45" s="152"/>
      <c r="B45" s="227" t="s">
        <v>146</v>
      </c>
      <c r="C45" s="227" t="s">
        <v>145</v>
      </c>
      <c r="D45" s="227" t="s">
        <v>67</v>
      </c>
      <c r="E45" s="228">
        <v>150000</v>
      </c>
      <c r="F45" s="227">
        <f>E45*26.84</f>
        <v>4026000</v>
      </c>
      <c r="G45" s="194"/>
      <c r="H45" s="151"/>
      <c r="I45" s="151"/>
      <c r="J45" s="151"/>
      <c r="K45" s="151"/>
      <c r="L45" s="151"/>
      <c r="M45" s="151"/>
      <c r="N45" s="151"/>
      <c r="O45" s="151"/>
      <c r="P45" s="151">
        <f t="shared" ref="P45:P52" si="0">O45*9</f>
        <v>0</v>
      </c>
      <c r="Q45" s="120"/>
      <c r="R45" s="120"/>
      <c r="S45" s="120"/>
    </row>
    <row r="46" spans="1:19" ht="66" customHeight="1" x14ac:dyDescent="0.2">
      <c r="A46" s="152"/>
      <c r="B46" s="227" t="s">
        <v>92</v>
      </c>
      <c r="C46" s="227" t="s">
        <v>108</v>
      </c>
      <c r="D46" s="227" t="s">
        <v>67</v>
      </c>
      <c r="E46" s="228">
        <v>50000</v>
      </c>
      <c r="F46" s="227">
        <f>E46*6.75</f>
        <v>337500</v>
      </c>
      <c r="G46" s="194"/>
      <c r="H46" s="151"/>
      <c r="I46" s="151" t="s">
        <v>149</v>
      </c>
      <c r="J46" s="151" t="s">
        <v>117</v>
      </c>
      <c r="K46" s="151"/>
      <c r="L46" s="151"/>
      <c r="M46" s="151"/>
      <c r="N46" s="151"/>
      <c r="O46" s="151"/>
      <c r="P46" s="151">
        <f t="shared" si="0"/>
        <v>0</v>
      </c>
      <c r="Q46" s="120"/>
      <c r="R46" s="120"/>
      <c r="S46" s="120"/>
    </row>
    <row r="47" spans="1:19" ht="48.75" customHeight="1" x14ac:dyDescent="0.2">
      <c r="A47" s="147"/>
      <c r="B47" s="227" t="s">
        <v>186</v>
      </c>
      <c r="C47" s="227" t="s">
        <v>173</v>
      </c>
      <c r="D47" s="227" t="s">
        <v>67</v>
      </c>
      <c r="E47" s="228">
        <v>200000</v>
      </c>
      <c r="F47" s="227">
        <f>E47*10</f>
        <v>2000000</v>
      </c>
      <c r="G47" s="194"/>
      <c r="H47" s="151"/>
      <c r="I47" s="151"/>
      <c r="J47" s="151"/>
      <c r="K47" s="151"/>
      <c r="L47" s="151"/>
      <c r="M47" s="151"/>
      <c r="N47" s="151"/>
      <c r="O47" s="151"/>
      <c r="P47" s="151">
        <f t="shared" si="0"/>
        <v>0</v>
      </c>
      <c r="Q47" s="120"/>
      <c r="R47" s="120"/>
      <c r="S47" s="120"/>
    </row>
    <row r="48" spans="1:19" ht="56.25" customHeight="1" x14ac:dyDescent="0.2">
      <c r="A48" s="147"/>
      <c r="B48" s="151" t="s">
        <v>178</v>
      </c>
      <c r="C48" s="151" t="s">
        <v>182</v>
      </c>
      <c r="D48" s="151" t="s">
        <v>67</v>
      </c>
      <c r="E48" s="204">
        <v>100000</v>
      </c>
      <c r="F48" s="151"/>
      <c r="G48" s="194"/>
      <c r="H48" s="151"/>
      <c r="I48" s="151"/>
      <c r="J48" s="151"/>
      <c r="K48" s="151"/>
      <c r="L48" s="151"/>
      <c r="M48" s="151"/>
      <c r="N48" s="151"/>
      <c r="O48" s="151"/>
      <c r="P48" s="151"/>
      <c r="Q48" s="120"/>
      <c r="R48" s="120"/>
      <c r="S48" s="120"/>
    </row>
    <row r="49" spans="1:19" ht="48.75" customHeight="1" x14ac:dyDescent="0.2">
      <c r="A49" s="147"/>
      <c r="B49" s="151" t="s">
        <v>179</v>
      </c>
      <c r="C49" s="151" t="s">
        <v>182</v>
      </c>
      <c r="D49" s="151" t="s">
        <v>67</v>
      </c>
      <c r="E49" s="204">
        <v>100032</v>
      </c>
      <c r="F49" s="151"/>
      <c r="G49" s="194"/>
      <c r="H49" s="151"/>
      <c r="I49" s="151"/>
      <c r="J49" s="151"/>
      <c r="K49" s="151"/>
      <c r="L49" s="151"/>
      <c r="M49" s="151"/>
      <c r="N49" s="151"/>
      <c r="O49" s="151"/>
      <c r="P49" s="151"/>
      <c r="Q49" s="120"/>
      <c r="R49" s="120"/>
      <c r="S49" s="120"/>
    </row>
    <row r="50" spans="1:19" ht="56.25" customHeight="1" x14ac:dyDescent="0.2">
      <c r="A50" s="147"/>
      <c r="B50" s="151" t="s">
        <v>180</v>
      </c>
      <c r="C50" s="151" t="s">
        <v>183</v>
      </c>
      <c r="D50" s="151" t="s">
        <v>67</v>
      </c>
      <c r="E50" s="204">
        <v>100000</v>
      </c>
      <c r="F50" s="151"/>
      <c r="G50" s="194"/>
      <c r="H50" s="151"/>
      <c r="I50" s="151"/>
      <c r="J50" s="151"/>
      <c r="K50" s="151"/>
      <c r="L50" s="151"/>
      <c r="M50" s="151"/>
      <c r="N50" s="151"/>
      <c r="O50" s="151"/>
      <c r="P50" s="151">
        <f t="shared" si="0"/>
        <v>0</v>
      </c>
      <c r="Q50" s="120"/>
      <c r="R50" s="120"/>
      <c r="S50" s="120"/>
    </row>
    <row r="51" spans="1:19" ht="56.25" customHeight="1" x14ac:dyDescent="0.2">
      <c r="A51" s="147"/>
      <c r="B51" s="151" t="s">
        <v>181</v>
      </c>
      <c r="C51" s="151" t="s">
        <v>184</v>
      </c>
      <c r="D51" s="151" t="s">
        <v>67</v>
      </c>
      <c r="E51" s="204">
        <v>100000</v>
      </c>
      <c r="F51" s="151"/>
      <c r="G51" s="194"/>
      <c r="H51" s="151"/>
      <c r="I51" s="151"/>
      <c r="J51" s="151"/>
      <c r="K51" s="151"/>
      <c r="L51" s="151"/>
      <c r="M51" s="151"/>
      <c r="N51" s="151"/>
      <c r="O51" s="151"/>
      <c r="P51" s="151"/>
      <c r="Q51" s="120"/>
      <c r="R51" s="120"/>
      <c r="S51" s="120"/>
    </row>
    <row r="52" spans="1:19" ht="52.5" customHeight="1" x14ac:dyDescent="0.2">
      <c r="A52" s="147"/>
      <c r="B52" s="151" t="s">
        <v>176</v>
      </c>
      <c r="C52" s="151"/>
      <c r="D52" s="151" t="s">
        <v>67</v>
      </c>
      <c r="E52" s="204">
        <v>150000</v>
      </c>
      <c r="F52" s="151"/>
      <c r="G52" s="194"/>
      <c r="H52" s="151"/>
      <c r="I52" s="151"/>
      <c r="J52" s="151"/>
      <c r="K52" s="151"/>
      <c r="L52" s="151"/>
      <c r="M52" s="151"/>
      <c r="N52" s="151"/>
      <c r="O52" s="151"/>
      <c r="P52" s="151">
        <f t="shared" si="0"/>
        <v>0</v>
      </c>
      <c r="Q52" s="120"/>
      <c r="R52" s="120"/>
      <c r="S52" s="120"/>
    </row>
    <row r="53" spans="1:19" ht="63.75" customHeight="1" x14ac:dyDescent="0.2">
      <c r="A53" s="452" t="s">
        <v>33</v>
      </c>
      <c r="B53" s="452"/>
      <c r="C53" s="452"/>
      <c r="D53" s="452"/>
      <c r="E53" s="117"/>
      <c r="F53" s="153">
        <f>SUM(F32:F52)</f>
        <v>6966500</v>
      </c>
      <c r="G53" s="189"/>
      <c r="P53" s="154">
        <f>SUM(P32:P50)</f>
        <v>14107378.4</v>
      </c>
    </row>
    <row r="54" spans="1:19" s="102" customFormat="1" ht="93.75" customHeight="1" x14ac:dyDescent="0.2">
      <c r="A54" s="23"/>
      <c r="B54" s="23" t="s">
        <v>26</v>
      </c>
      <c r="C54" s="23"/>
      <c r="D54" s="23" t="s">
        <v>15</v>
      </c>
      <c r="E54" s="206"/>
      <c r="F54" s="23">
        <f>'TOTAL '!D12</f>
        <v>5300000</v>
      </c>
      <c r="G54" s="198"/>
      <c r="H54" s="23"/>
      <c r="I54" s="23"/>
      <c r="J54" s="23"/>
      <c r="K54" s="23"/>
      <c r="L54" s="23"/>
      <c r="M54" s="23"/>
      <c r="N54" s="23"/>
      <c r="O54" s="23"/>
      <c r="P54" s="23"/>
    </row>
    <row r="55" spans="1:19" ht="90" x14ac:dyDescent="0.2">
      <c r="A55" s="156">
        <v>2</v>
      </c>
      <c r="B55" s="54" t="s">
        <v>13</v>
      </c>
      <c r="C55" s="143"/>
      <c r="D55" s="139" t="s">
        <v>1</v>
      </c>
      <c r="E55" s="144"/>
      <c r="F55" s="145">
        <v>0</v>
      </c>
      <c r="G55" s="207" t="s">
        <v>164</v>
      </c>
      <c r="H55" s="201">
        <v>43971</v>
      </c>
      <c r="I55" s="98" t="s">
        <v>165</v>
      </c>
      <c r="J55" s="143" t="s">
        <v>166</v>
      </c>
      <c r="K55" s="209" t="s">
        <v>167</v>
      </c>
      <c r="L55" s="143" t="s">
        <v>168</v>
      </c>
      <c r="M55" s="144">
        <v>20</v>
      </c>
      <c r="N55" s="143"/>
      <c r="O55" s="143"/>
      <c r="P55" s="145">
        <v>313476</v>
      </c>
    </row>
    <row r="56" spans="1:19" s="120" customFormat="1" ht="87" customHeight="1" x14ac:dyDescent="0.2">
      <c r="A56" s="149"/>
      <c r="B56" s="157" t="s">
        <v>109</v>
      </c>
      <c r="C56" s="143"/>
      <c r="D56" s="149"/>
      <c r="E56" s="144"/>
      <c r="F56" s="151">
        <v>3000000</v>
      </c>
      <c r="G56" s="194"/>
      <c r="H56" s="143"/>
      <c r="I56" s="143"/>
      <c r="J56" s="143"/>
      <c r="K56" s="143"/>
      <c r="L56" s="143"/>
      <c r="M56" s="144"/>
      <c r="N56" s="143"/>
      <c r="O56" s="143"/>
      <c r="P56" s="143">
        <v>0</v>
      </c>
    </row>
    <row r="57" spans="1:19" s="120" customFormat="1" ht="57" customHeight="1" thickBot="1" x14ac:dyDescent="0.25">
      <c r="A57" s="443" t="s">
        <v>33</v>
      </c>
      <c r="B57" s="441"/>
      <c r="C57" s="441"/>
      <c r="D57" s="441"/>
      <c r="E57" s="442"/>
      <c r="F57" s="158">
        <f>SUM(F55:F56)</f>
        <v>3000000</v>
      </c>
      <c r="G57" s="195"/>
      <c r="H57" s="439"/>
      <c r="I57" s="439"/>
      <c r="J57" s="439"/>
      <c r="K57" s="439"/>
      <c r="L57" s="439"/>
      <c r="M57" s="439"/>
      <c r="N57" s="439"/>
      <c r="O57" s="440"/>
      <c r="P57" s="138">
        <f>P55+P56</f>
        <v>313476</v>
      </c>
    </row>
    <row r="58" spans="1:19" s="102" customFormat="1" ht="75" customHeight="1" thickBot="1" x14ac:dyDescent="0.25">
      <c r="A58" s="159"/>
      <c r="B58" s="104" t="s">
        <v>27</v>
      </c>
      <c r="C58" s="160"/>
      <c r="D58" s="160" t="s">
        <v>15</v>
      </c>
      <c r="E58" s="161"/>
      <c r="F58" s="122">
        <f>'TOTAL '!D13</f>
        <v>50000</v>
      </c>
      <c r="G58" s="187"/>
      <c r="H58" s="160"/>
      <c r="I58" s="160"/>
      <c r="J58" s="160"/>
      <c r="K58" s="160"/>
      <c r="L58" s="160"/>
      <c r="M58" s="160"/>
      <c r="N58" s="160"/>
      <c r="O58" s="160"/>
      <c r="P58" s="162"/>
    </row>
    <row r="59" spans="1:19" s="102" customFormat="1" ht="27.75" customHeight="1" x14ac:dyDescent="0.2">
      <c r="A59" s="52"/>
      <c r="B59" s="123" t="s">
        <v>41</v>
      </c>
      <c r="C59" s="139"/>
      <c r="D59" s="139"/>
      <c r="E59" s="141"/>
      <c r="F59" s="52"/>
      <c r="G59" s="183"/>
      <c r="H59" s="139"/>
      <c r="I59" s="139"/>
      <c r="J59" s="139"/>
      <c r="K59" s="139"/>
      <c r="L59" s="139"/>
      <c r="M59" s="139"/>
      <c r="N59" s="139"/>
      <c r="O59" s="139"/>
      <c r="P59" s="139"/>
    </row>
    <row r="60" spans="1:19" s="102" customFormat="1" ht="34.5" customHeight="1" x14ac:dyDescent="0.2">
      <c r="A60" s="14"/>
      <c r="B60" s="123" t="s">
        <v>40</v>
      </c>
      <c r="C60" s="139"/>
      <c r="D60" s="139"/>
      <c r="E60" s="141"/>
      <c r="F60" s="52"/>
      <c r="G60" s="183"/>
      <c r="H60" s="139"/>
      <c r="I60" s="139"/>
      <c r="J60" s="139"/>
      <c r="K60" s="139"/>
      <c r="L60" s="139"/>
      <c r="M60" s="139"/>
      <c r="N60" s="139"/>
      <c r="O60" s="139"/>
      <c r="P60" s="139"/>
    </row>
    <row r="61" spans="1:19" s="102" customFormat="1" ht="46.5" customHeight="1" x14ac:dyDescent="0.2">
      <c r="A61" s="14"/>
      <c r="B61" s="123" t="s">
        <v>39</v>
      </c>
      <c r="C61" s="139"/>
      <c r="D61" s="139"/>
      <c r="E61" s="141"/>
      <c r="F61" s="52"/>
      <c r="G61" s="183"/>
      <c r="H61" s="139"/>
      <c r="I61" s="139"/>
      <c r="J61" s="139"/>
      <c r="K61" s="139"/>
      <c r="L61" s="139"/>
      <c r="M61" s="139"/>
      <c r="N61" s="139"/>
      <c r="O61" s="139"/>
      <c r="P61" s="139"/>
    </row>
    <row r="62" spans="1:19" s="102" customFormat="1" ht="31.5" customHeight="1" thickBot="1" x14ac:dyDescent="0.25">
      <c r="A62" s="14"/>
      <c r="B62" s="163" t="s">
        <v>42</v>
      </c>
      <c r="C62" s="143"/>
      <c r="D62" s="143"/>
      <c r="E62" s="144"/>
      <c r="F62" s="143"/>
      <c r="G62" s="192"/>
      <c r="H62" s="143"/>
      <c r="I62" s="143"/>
      <c r="J62" s="143"/>
      <c r="K62" s="139"/>
      <c r="L62" s="139"/>
      <c r="M62" s="139"/>
      <c r="N62" s="139"/>
      <c r="O62" s="139"/>
      <c r="P62" s="139"/>
    </row>
    <row r="63" spans="1:19" s="120" customFormat="1" ht="36.75" customHeight="1" thickBot="1" x14ac:dyDescent="0.25">
      <c r="A63" s="446" t="s">
        <v>33</v>
      </c>
      <c r="B63" s="446"/>
      <c r="C63" s="446"/>
      <c r="D63" s="446"/>
      <c r="E63" s="117"/>
      <c r="F63" s="164">
        <f>SUM(F59:F62)</f>
        <v>0</v>
      </c>
      <c r="G63" s="196"/>
      <c r="H63" s="165"/>
      <c r="I63" s="165"/>
      <c r="J63" s="165"/>
      <c r="K63" s="165"/>
      <c r="P63" s="134">
        <f>P59+P60+P61+P62</f>
        <v>0</v>
      </c>
    </row>
    <row r="64" spans="1:19" s="102" customFormat="1" ht="90" customHeight="1" thickBot="1" x14ac:dyDescent="0.25">
      <c r="A64" s="159"/>
      <c r="B64" s="104" t="s">
        <v>31</v>
      </c>
      <c r="C64" s="122"/>
      <c r="D64" s="122" t="s">
        <v>15</v>
      </c>
      <c r="E64" s="126"/>
      <c r="F64" s="122">
        <f>'TOTAL '!D14</f>
        <v>350000</v>
      </c>
      <c r="G64" s="187"/>
      <c r="H64" s="122"/>
      <c r="I64" s="122"/>
      <c r="J64" s="122"/>
      <c r="K64" s="122"/>
      <c r="L64" s="122"/>
      <c r="M64" s="122"/>
      <c r="N64" s="122"/>
      <c r="O64" s="122"/>
      <c r="P64" s="135"/>
    </row>
    <row r="65" spans="1:16" ht="87.75" customHeight="1" x14ac:dyDescent="0.2">
      <c r="A65" s="166"/>
      <c r="B65" s="269" t="s">
        <v>43</v>
      </c>
      <c r="C65" s="266"/>
      <c r="D65" s="243" t="s">
        <v>28</v>
      </c>
      <c r="E65" s="267"/>
      <c r="F65" s="268"/>
      <c r="G65" s="262" t="s">
        <v>218</v>
      </c>
      <c r="H65" s="111" t="s">
        <v>221</v>
      </c>
      <c r="I65" s="111"/>
      <c r="J65" s="111"/>
      <c r="K65" s="111"/>
      <c r="L65" s="271" t="s">
        <v>219</v>
      </c>
      <c r="M65" s="271" t="s">
        <v>220</v>
      </c>
      <c r="N65" s="111"/>
      <c r="O65" s="111"/>
      <c r="P65" s="111">
        <v>379240</v>
      </c>
    </row>
    <row r="66" spans="1:16" ht="72.75" customHeight="1" x14ac:dyDescent="0.2">
      <c r="A66" s="166"/>
      <c r="B66" s="14"/>
      <c r="C66" s="147"/>
      <c r="D66" s="143"/>
      <c r="E66" s="144"/>
      <c r="F66" s="147"/>
      <c r="G66" s="197"/>
      <c r="H66" s="147"/>
      <c r="I66" s="147"/>
      <c r="J66" s="147"/>
      <c r="K66" s="147"/>
      <c r="L66" s="270"/>
      <c r="M66" s="270"/>
      <c r="N66" s="147"/>
      <c r="O66" s="147"/>
      <c r="P66" s="147"/>
    </row>
    <row r="67" spans="1:16" s="120" customFormat="1" ht="27.95" customHeight="1" x14ac:dyDescent="0.2">
      <c r="A67" s="167" t="s">
        <v>33</v>
      </c>
      <c r="B67" s="167"/>
      <c r="C67" s="167"/>
      <c r="D67" s="167"/>
      <c r="E67" s="100"/>
      <c r="F67" s="137">
        <f>F65+F66</f>
        <v>0</v>
      </c>
      <c r="G67" s="195"/>
      <c r="H67" s="441"/>
      <c r="I67" s="441"/>
      <c r="J67" s="441"/>
      <c r="K67" s="441"/>
      <c r="L67" s="441"/>
      <c r="M67" s="441"/>
      <c r="N67" s="441"/>
      <c r="O67" s="442"/>
      <c r="P67" s="168">
        <f>P65+P66</f>
        <v>379240</v>
      </c>
    </row>
    <row r="68" spans="1:16" s="120" customFormat="1" ht="39" customHeight="1" x14ac:dyDescent="0.2">
      <c r="A68" s="169"/>
      <c r="B68" s="170" t="s">
        <v>70</v>
      </c>
      <c r="C68" s="171"/>
      <c r="D68" s="172"/>
      <c r="E68" s="173"/>
      <c r="F68" s="170">
        <f>'TOTAL '!D15</f>
        <v>3000000</v>
      </c>
      <c r="G68" s="198"/>
      <c r="H68" s="171"/>
      <c r="I68" s="171"/>
      <c r="J68" s="171"/>
      <c r="K68" s="171"/>
      <c r="L68" s="146"/>
      <c r="M68" s="146"/>
      <c r="N68" s="146"/>
      <c r="O68" s="146"/>
      <c r="P68" s="146"/>
    </row>
    <row r="69" spans="1:16" s="120" customFormat="1" ht="73.5" customHeight="1" x14ac:dyDescent="0.2">
      <c r="A69" s="155">
        <v>1</v>
      </c>
      <c r="B69" s="140" t="s">
        <v>206</v>
      </c>
      <c r="C69" s="139"/>
      <c r="D69" s="139" t="s">
        <v>1</v>
      </c>
      <c r="E69" s="141"/>
      <c r="F69" s="243"/>
      <c r="G69" s="184" t="s">
        <v>208</v>
      </c>
      <c r="H69" s="139" t="s">
        <v>207</v>
      </c>
      <c r="I69" s="244" t="s">
        <v>208</v>
      </c>
      <c r="J69" s="139" t="s">
        <v>209</v>
      </c>
      <c r="K69" s="139"/>
      <c r="L69" s="139"/>
      <c r="M69" s="139"/>
      <c r="N69" s="139"/>
      <c r="O69" s="139"/>
      <c r="P69" s="243">
        <v>60000</v>
      </c>
    </row>
    <row r="70" spans="1:16" s="120" customFormat="1" ht="42.95" customHeight="1" x14ac:dyDescent="0.2">
      <c r="A70" s="156">
        <v>2</v>
      </c>
      <c r="B70" s="230" t="s">
        <v>185</v>
      </c>
      <c r="C70" s="231"/>
      <c r="D70" s="229" t="s">
        <v>1</v>
      </c>
      <c r="E70" s="232"/>
      <c r="F70" s="265"/>
      <c r="G70" s="184" t="s">
        <v>217</v>
      </c>
      <c r="H70" s="143"/>
      <c r="I70" s="143"/>
      <c r="J70" s="143"/>
      <c r="K70" s="143"/>
      <c r="L70" s="143" t="s">
        <v>210</v>
      </c>
      <c r="M70" s="143"/>
      <c r="N70" s="143"/>
      <c r="O70" s="143"/>
      <c r="P70" s="265">
        <v>328020</v>
      </c>
    </row>
    <row r="71" spans="1:16" s="120" customFormat="1" ht="42" customHeight="1" x14ac:dyDescent="0.2">
      <c r="A71" s="143"/>
      <c r="B71" s="143"/>
      <c r="C71" s="143"/>
      <c r="D71" s="143"/>
      <c r="E71" s="144"/>
      <c r="F71" s="151"/>
      <c r="G71" s="194"/>
      <c r="H71" s="143"/>
      <c r="I71" s="143"/>
      <c r="J71" s="143"/>
      <c r="K71" s="143"/>
      <c r="L71" s="143"/>
      <c r="M71" s="143"/>
      <c r="N71" s="143"/>
      <c r="O71" s="143"/>
      <c r="P71" s="145"/>
    </row>
    <row r="72" spans="1:16" ht="29.25" customHeight="1" x14ac:dyDescent="0.2">
      <c r="F72" s="175">
        <f>F69+F70</f>
        <v>0</v>
      </c>
      <c r="P72" s="176">
        <f>P69+P70</f>
        <v>388020</v>
      </c>
    </row>
  </sheetData>
  <mergeCells count="12">
    <mergeCell ref="A24:D24"/>
    <mergeCell ref="A11:D11"/>
    <mergeCell ref="A30:D30"/>
    <mergeCell ref="A53:D53"/>
    <mergeCell ref="A57:E57"/>
    <mergeCell ref="B32:B33"/>
    <mergeCell ref="H57:O57"/>
    <mergeCell ref="H67:O67"/>
    <mergeCell ref="B27:E27"/>
    <mergeCell ref="H30:O30"/>
    <mergeCell ref="A63:D63"/>
    <mergeCell ref="G32:G33"/>
  </mergeCells>
  <pageMargins left="0.7" right="0.7" top="0.75" bottom="0.75" header="0.3" footer="0.3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view="pageBreakPreview" topLeftCell="B1" zoomScaleNormal="100" zoomScaleSheetLayoutView="100" workbookViewId="0">
      <selection activeCell="F10" sqref="F10"/>
    </sheetView>
  </sheetViews>
  <sheetFormatPr defaultColWidth="9.140625" defaultRowHeight="88.5" customHeight="1" x14ac:dyDescent="0.2"/>
  <cols>
    <col min="1" max="1" width="9.140625" style="2"/>
    <col min="2" max="2" width="36.7109375" style="2" customWidth="1"/>
    <col min="3" max="3" width="29.28515625" style="1" customWidth="1"/>
    <col min="4" max="4" width="13.5703125" style="2" customWidth="1"/>
    <col min="5" max="5" width="12.140625" style="2" customWidth="1"/>
    <col min="6" max="6" width="16.28515625" style="2" customWidth="1"/>
    <col min="7" max="7" width="25.140625" style="2" customWidth="1"/>
    <col min="8" max="8" width="16.5703125" style="2" customWidth="1"/>
    <col min="9" max="9" width="17.5703125" style="2" customWidth="1"/>
    <col min="10" max="11" width="16.28515625" style="2" customWidth="1"/>
    <col min="12" max="13" width="13.42578125" style="2" customWidth="1"/>
    <col min="14" max="14" width="13.140625" style="2" customWidth="1"/>
    <col min="15" max="15" width="12.5703125" style="2" customWidth="1"/>
    <col min="16" max="16" width="15.85546875" style="2" customWidth="1"/>
    <col min="17" max="16384" width="9.140625" style="2"/>
  </cols>
  <sheetData>
    <row r="1" spans="1:16" s="1" customFormat="1" ht="67.5" customHeight="1" x14ac:dyDescent="0.2">
      <c r="B1" s="3"/>
      <c r="C1" s="3" t="s">
        <v>0</v>
      </c>
      <c r="D1" s="3" t="s">
        <v>93</v>
      </c>
      <c r="E1" s="3" t="s">
        <v>76</v>
      </c>
      <c r="F1" s="68" t="s">
        <v>88</v>
      </c>
      <c r="G1" s="3" t="s">
        <v>91</v>
      </c>
      <c r="H1" s="3" t="s">
        <v>96</v>
      </c>
      <c r="I1" s="3" t="s">
        <v>77</v>
      </c>
      <c r="J1" s="3" t="s">
        <v>74</v>
      </c>
      <c r="K1" s="3" t="s">
        <v>75</v>
      </c>
      <c r="L1" s="3" t="s">
        <v>71</v>
      </c>
      <c r="M1" s="3" t="s">
        <v>72</v>
      </c>
      <c r="N1" s="3" t="s">
        <v>73</v>
      </c>
      <c r="O1" s="3" t="s">
        <v>78</v>
      </c>
      <c r="P1" s="3" t="s">
        <v>90</v>
      </c>
    </row>
    <row r="2" spans="1:16" s="1" customFormat="1" ht="25.5" x14ac:dyDescent="0.2">
      <c r="B2" s="60" t="s">
        <v>3</v>
      </c>
      <c r="C2" s="60"/>
      <c r="D2" s="60"/>
      <c r="E2" s="60"/>
      <c r="F2" s="60"/>
      <c r="G2" s="75">
        <f>'TOTAL '!D23</f>
        <v>300000</v>
      </c>
      <c r="H2" s="75"/>
      <c r="I2" s="60"/>
      <c r="J2" s="63"/>
      <c r="K2" s="63"/>
      <c r="L2" s="60"/>
      <c r="M2" s="60"/>
      <c r="N2" s="60"/>
      <c r="O2" s="60"/>
      <c r="P2" s="60"/>
    </row>
    <row r="3" spans="1:16" s="1" customFormat="1" ht="38.25" x14ac:dyDescent="0.2">
      <c r="A3" s="7">
        <v>1</v>
      </c>
      <c r="B3" s="7" t="s">
        <v>5</v>
      </c>
      <c r="C3" s="7" t="s">
        <v>4</v>
      </c>
      <c r="D3" s="7"/>
      <c r="E3" s="7" t="s">
        <v>67</v>
      </c>
      <c r="F3" s="7"/>
      <c r="G3" s="85">
        <v>0</v>
      </c>
      <c r="H3" s="84"/>
      <c r="I3" s="7"/>
      <c r="J3" s="59"/>
      <c r="K3" s="70"/>
      <c r="L3" s="7"/>
      <c r="M3" s="7"/>
      <c r="N3" s="7"/>
      <c r="O3" s="7"/>
      <c r="P3" s="58">
        <v>3125</v>
      </c>
    </row>
    <row r="4" spans="1:16" s="1" customFormat="1" ht="38.25" x14ac:dyDescent="0.2">
      <c r="A4" s="7">
        <v>2</v>
      </c>
      <c r="B4" s="7" t="s">
        <v>6</v>
      </c>
      <c r="C4" s="7" t="s">
        <v>4</v>
      </c>
      <c r="D4" s="7"/>
      <c r="E4" s="4" t="s">
        <v>67</v>
      </c>
      <c r="F4" s="4"/>
      <c r="G4" s="76">
        <v>0</v>
      </c>
      <c r="H4" s="76"/>
      <c r="I4" s="4"/>
      <c r="J4" s="5"/>
      <c r="K4" s="72"/>
      <c r="L4" s="7"/>
      <c r="M4" s="7"/>
      <c r="N4" s="7"/>
      <c r="O4" s="7"/>
      <c r="P4" s="58">
        <v>3125</v>
      </c>
    </row>
    <row r="5" spans="1:16" s="1" customFormat="1" ht="51.6" customHeight="1" x14ac:dyDescent="0.2">
      <c r="A5" s="7"/>
      <c r="B5" s="7"/>
      <c r="C5" s="7"/>
      <c r="D5" s="7"/>
      <c r="E5" s="7"/>
      <c r="F5" s="7"/>
      <c r="G5" s="77"/>
      <c r="H5" s="77"/>
      <c r="I5" s="7"/>
      <c r="J5" s="59"/>
      <c r="K5" s="70"/>
      <c r="L5" s="7"/>
      <c r="M5" s="7"/>
      <c r="N5" s="7"/>
      <c r="O5" s="7"/>
      <c r="P5" s="59"/>
    </row>
    <row r="6" spans="1:16" ht="31.5" customHeight="1" x14ac:dyDescent="0.2">
      <c r="B6" s="2" t="s">
        <v>33</v>
      </c>
      <c r="F6" s="71"/>
      <c r="G6" s="80">
        <f>G3+G4+G5</f>
        <v>0</v>
      </c>
      <c r="H6" s="81"/>
      <c r="I6" s="71"/>
      <c r="J6" s="73"/>
      <c r="K6" s="74"/>
      <c r="L6" s="71"/>
      <c r="P6" s="82">
        <f>SUM(P3:P4)</f>
        <v>6250</v>
      </c>
    </row>
  </sheetData>
  <pageMargins left="0.7" right="0.7" top="0.75" bottom="0.75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B1" zoomScale="81" zoomScaleNormal="41" zoomScaleSheetLayoutView="81" workbookViewId="0">
      <selection activeCell="E16" sqref="E16"/>
    </sheetView>
  </sheetViews>
  <sheetFormatPr defaultColWidth="9.140625" defaultRowHeight="12.75" x14ac:dyDescent="0.2"/>
  <cols>
    <col min="1" max="1" width="25" style="86" customWidth="1"/>
    <col min="2" max="2" width="22.28515625" style="1" customWidth="1"/>
    <col min="3" max="3" width="16.140625" style="2" customWidth="1"/>
    <col min="4" max="4" width="19.42578125" style="2" customWidth="1"/>
    <col min="5" max="5" width="18.140625" style="2" customWidth="1"/>
    <col min="6" max="6" width="17.5703125" style="2" customWidth="1"/>
    <col min="7" max="7" width="20.42578125" style="2" customWidth="1"/>
    <col min="8" max="8" width="19.28515625" style="2" customWidth="1"/>
    <col min="9" max="9" width="17.5703125" style="2" customWidth="1"/>
    <col min="10" max="10" width="19.5703125" style="2" customWidth="1"/>
    <col min="11" max="11" width="21.42578125" style="2" customWidth="1"/>
    <col min="12" max="16384" width="9.140625" style="2"/>
  </cols>
  <sheetData>
    <row r="1" spans="1:11" s="1" customFormat="1" ht="51" x14ac:dyDescent="0.2">
      <c r="A1" s="89"/>
      <c r="B1" s="3" t="s">
        <v>0</v>
      </c>
      <c r="C1" s="3" t="s">
        <v>93</v>
      </c>
      <c r="D1" s="3" t="s">
        <v>76</v>
      </c>
      <c r="E1" s="3" t="s">
        <v>91</v>
      </c>
      <c r="F1" s="3" t="s">
        <v>96</v>
      </c>
      <c r="G1" s="3" t="s">
        <v>77</v>
      </c>
      <c r="H1" s="3" t="s">
        <v>99</v>
      </c>
      <c r="I1" s="3" t="s">
        <v>71</v>
      </c>
      <c r="J1" s="3" t="s">
        <v>98</v>
      </c>
      <c r="K1" s="3" t="s">
        <v>90</v>
      </c>
    </row>
    <row r="2" spans="1:11" s="1" customFormat="1" x14ac:dyDescent="0.2">
      <c r="A2" s="90" t="s">
        <v>62</v>
      </c>
      <c r="B2" s="60"/>
      <c r="C2" s="60"/>
      <c r="D2" s="60"/>
      <c r="E2" s="94">
        <f>'TOTAL '!D30</f>
        <v>300000</v>
      </c>
      <c r="F2" s="60"/>
      <c r="G2" s="60"/>
      <c r="H2" s="60"/>
      <c r="I2" s="60"/>
      <c r="J2" s="60"/>
      <c r="K2" s="60"/>
    </row>
    <row r="3" spans="1:11" s="1" customFormat="1" ht="25.5" x14ac:dyDescent="0.2">
      <c r="A3" s="91" t="s">
        <v>7</v>
      </c>
      <c r="B3" s="7" t="s">
        <v>18</v>
      </c>
      <c r="C3" s="7"/>
      <c r="D3" s="7" t="s">
        <v>67</v>
      </c>
      <c r="E3" s="92"/>
      <c r="F3" s="7"/>
      <c r="G3" s="3"/>
      <c r="H3" s="3"/>
      <c r="I3" s="7"/>
      <c r="J3" s="7"/>
      <c r="K3" s="3">
        <f>72000/2</f>
        <v>36000</v>
      </c>
    </row>
    <row r="4" spans="1:11" s="1" customFormat="1" ht="25.5" x14ac:dyDescent="0.2">
      <c r="A4" s="91" t="s">
        <v>11</v>
      </c>
      <c r="B4" s="7" t="s">
        <v>55</v>
      </c>
      <c r="C4" s="7"/>
      <c r="D4" s="7" t="s">
        <v>67</v>
      </c>
      <c r="E4" s="92"/>
      <c r="F4" s="7"/>
      <c r="G4" s="3"/>
      <c r="H4" s="3"/>
      <c r="I4" s="7"/>
      <c r="J4" s="7"/>
      <c r="K4" s="3">
        <f>38400/2</f>
        <v>19200</v>
      </c>
    </row>
    <row r="5" spans="1:11" s="1" customFormat="1" ht="25.5" x14ac:dyDescent="0.2">
      <c r="A5" s="91" t="s">
        <v>10</v>
      </c>
      <c r="B5" s="7" t="s">
        <v>56</v>
      </c>
      <c r="C5" s="7"/>
      <c r="D5" s="7" t="s">
        <v>67</v>
      </c>
      <c r="E5" s="92"/>
      <c r="F5" s="7"/>
      <c r="G5" s="3"/>
      <c r="H5" s="3"/>
      <c r="I5" s="7"/>
      <c r="J5" s="7"/>
      <c r="K5" s="3">
        <f>60000/2</f>
        <v>30000</v>
      </c>
    </row>
    <row r="6" spans="1:11" s="1" customFormat="1" ht="38.25" x14ac:dyDescent="0.2">
      <c r="A6" s="91" t="s">
        <v>19</v>
      </c>
      <c r="B6" s="7" t="s">
        <v>57</v>
      </c>
      <c r="C6" s="7"/>
      <c r="D6" s="7" t="s">
        <v>67</v>
      </c>
      <c r="E6" s="92"/>
      <c r="F6" s="7"/>
      <c r="G6" s="3"/>
      <c r="H6" s="3"/>
      <c r="I6" s="7"/>
      <c r="J6" s="7"/>
      <c r="K6" s="3">
        <f>38400/2</f>
        <v>19200</v>
      </c>
    </row>
    <row r="7" spans="1:11" s="1" customFormat="1" ht="25.5" x14ac:dyDescent="0.2">
      <c r="A7" s="91" t="s">
        <v>9</v>
      </c>
      <c r="B7" s="7" t="s">
        <v>58</v>
      </c>
      <c r="C7" s="7"/>
      <c r="D7" s="7" t="s">
        <v>67</v>
      </c>
      <c r="E7" s="92"/>
      <c r="F7" s="7"/>
      <c r="G7" s="3"/>
      <c r="H7" s="3"/>
      <c r="I7" s="7"/>
      <c r="J7" s="7"/>
      <c r="K7" s="3">
        <f>60000/2</f>
        <v>30000</v>
      </c>
    </row>
    <row r="8" spans="1:11" s="1" customFormat="1" ht="25.5" x14ac:dyDescent="0.2">
      <c r="A8" s="91" t="s">
        <v>8</v>
      </c>
      <c r="B8" s="7" t="s">
        <v>59</v>
      </c>
      <c r="C8" s="7"/>
      <c r="D8" s="7" t="s">
        <v>67</v>
      </c>
      <c r="E8" s="92"/>
      <c r="F8" s="7"/>
      <c r="G8" s="3"/>
      <c r="H8" s="3"/>
      <c r="I8" s="7"/>
      <c r="J8" s="7"/>
      <c r="K8" s="3">
        <f>52800/2</f>
        <v>26400</v>
      </c>
    </row>
    <row r="9" spans="1:11" s="1" customFormat="1" ht="25.5" customHeight="1" x14ac:dyDescent="0.2">
      <c r="A9" s="7" t="s">
        <v>100</v>
      </c>
      <c r="B9" s="7" t="s">
        <v>101</v>
      </c>
      <c r="C9" s="7"/>
      <c r="D9" s="7" t="s">
        <v>67</v>
      </c>
      <c r="E9" s="92">
        <v>1000</v>
      </c>
      <c r="F9" s="7"/>
      <c r="G9" s="3"/>
      <c r="H9" s="3"/>
      <c r="I9" s="7"/>
      <c r="J9" s="7"/>
      <c r="K9" s="3"/>
    </row>
    <row r="10" spans="1:11" ht="27.95" customHeight="1" x14ac:dyDescent="0.2">
      <c r="A10" s="93"/>
      <c r="B10" s="7"/>
      <c r="C10" s="6"/>
      <c r="D10" s="6"/>
      <c r="E10" s="95">
        <f>SUM(E9)</f>
        <v>1000</v>
      </c>
      <c r="F10" s="6"/>
      <c r="G10" s="3"/>
      <c r="H10" s="3"/>
      <c r="I10" s="6"/>
      <c r="J10" s="6"/>
      <c r="K10" s="96">
        <f>SUM(K3:K8)</f>
        <v>160800</v>
      </c>
    </row>
  </sheetData>
  <pageMargins left="0.7" right="0.7" top="0.75" bottom="0.75" header="0.3" footer="0.3"/>
  <pageSetup scale="3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K18" sqref="K18"/>
    </sheetView>
  </sheetViews>
  <sheetFormatPr defaultColWidth="9.140625" defaultRowHeight="15" x14ac:dyDescent="0.25"/>
  <cols>
    <col min="1" max="1" width="13.42578125" style="133" customWidth="1"/>
    <col min="2" max="2" width="29.85546875" style="120" customWidth="1"/>
    <col min="3" max="3" width="20.85546875" style="133" customWidth="1"/>
    <col min="4" max="4" width="23.42578125" style="133" customWidth="1"/>
    <col min="5" max="5" width="19.42578125" style="133" customWidth="1"/>
    <col min="6" max="6" width="17.42578125" style="133" customWidth="1"/>
    <col min="7" max="7" width="29.140625" style="133" customWidth="1"/>
    <col min="8" max="8" width="18.42578125" style="260" customWidth="1"/>
    <col min="9" max="9" width="17.28515625" style="133" customWidth="1"/>
    <col min="10" max="10" width="15.42578125" style="133" customWidth="1"/>
    <col min="11" max="11" width="22.5703125" style="133" bestFit="1" customWidth="1"/>
    <col min="12" max="12" width="24.28515625" style="133" customWidth="1"/>
    <col min="13" max="14" width="9.140625" style="133"/>
    <col min="15" max="15" width="14.28515625" style="133" customWidth="1"/>
    <col min="16" max="17" width="9.140625" style="133"/>
    <col min="18" max="18" width="13.7109375" style="133" customWidth="1"/>
    <col min="19" max="16384" width="9.140625" style="133"/>
  </cols>
  <sheetData>
    <row r="1" spans="1:14" s="236" customFormat="1" ht="71.25" x14ac:dyDescent="0.2">
      <c r="A1" s="251" t="s">
        <v>21</v>
      </c>
      <c r="B1" s="251" t="s">
        <v>0</v>
      </c>
      <c r="C1" s="251" t="s">
        <v>139</v>
      </c>
      <c r="D1" s="251" t="s">
        <v>77</v>
      </c>
      <c r="E1" s="251" t="s">
        <v>74</v>
      </c>
      <c r="F1" s="251" t="s">
        <v>75</v>
      </c>
      <c r="G1" s="251" t="s">
        <v>72</v>
      </c>
      <c r="H1" s="252" t="s">
        <v>73</v>
      </c>
      <c r="I1" s="251" t="s">
        <v>159</v>
      </c>
      <c r="J1" s="251" t="s">
        <v>78</v>
      </c>
      <c r="K1" s="251" t="s">
        <v>90</v>
      </c>
    </row>
    <row r="2" spans="1:14" s="20" customFormat="1" ht="42.75" x14ac:dyDescent="0.2">
      <c r="A2" s="108">
        <v>1</v>
      </c>
      <c r="B2" s="109" t="s">
        <v>66</v>
      </c>
      <c r="C2" s="237" t="s">
        <v>79</v>
      </c>
      <c r="D2" s="237" t="s">
        <v>80</v>
      </c>
      <c r="E2" s="111" t="s">
        <v>81</v>
      </c>
      <c r="F2" s="111" t="s">
        <v>82</v>
      </c>
      <c r="G2" s="237" t="s">
        <v>103</v>
      </c>
      <c r="H2" s="253">
        <v>54000</v>
      </c>
      <c r="I2" s="112"/>
      <c r="J2" s="111">
        <v>3.33</v>
      </c>
      <c r="K2" s="111">
        <f>H2*J2</f>
        <v>179820</v>
      </c>
    </row>
    <row r="3" spans="1:14" s="20" customFormat="1" ht="57.75" thickBot="1" x14ac:dyDescent="0.3">
      <c r="A3" s="108">
        <v>2</v>
      </c>
      <c r="B3" s="140" t="s">
        <v>17</v>
      </c>
      <c r="C3" s="109" t="s">
        <v>160</v>
      </c>
      <c r="D3" s="201">
        <v>43972</v>
      </c>
      <c r="E3" s="98" t="s">
        <v>161</v>
      </c>
      <c r="F3" s="139"/>
      <c r="G3" s="139" t="s">
        <v>162</v>
      </c>
      <c r="H3" s="254">
        <v>30</v>
      </c>
      <c r="I3" s="139"/>
      <c r="J3" s="142">
        <v>13447.92</v>
      </c>
      <c r="K3" s="142">
        <f>H3*J3</f>
        <v>403437.6</v>
      </c>
    </row>
    <row r="4" spans="1:14" s="120" customFormat="1" ht="30" customHeight="1" x14ac:dyDescent="0.25">
      <c r="A4" s="455">
        <v>3</v>
      </c>
      <c r="B4" s="453" t="s">
        <v>125</v>
      </c>
      <c r="C4" s="457" t="s">
        <v>111</v>
      </c>
      <c r="D4" s="177" t="s">
        <v>130</v>
      </c>
      <c r="E4" s="178" t="s">
        <v>128</v>
      </c>
      <c r="F4" s="139" t="s">
        <v>82</v>
      </c>
      <c r="G4" s="143" t="s">
        <v>119</v>
      </c>
      <c r="H4" s="254">
        <v>97000</v>
      </c>
      <c r="I4" s="139" t="s">
        <v>119</v>
      </c>
      <c r="J4" s="139" t="s">
        <v>112</v>
      </c>
      <c r="K4" s="142">
        <v>504400</v>
      </c>
    </row>
    <row r="5" spans="1:14" ht="21.75" customHeight="1" x14ac:dyDescent="0.25">
      <c r="A5" s="456"/>
      <c r="B5" s="454"/>
      <c r="C5" s="458"/>
      <c r="D5" s="177"/>
      <c r="E5" s="178" t="s">
        <v>128</v>
      </c>
      <c r="F5" s="144" t="s">
        <v>82</v>
      </c>
      <c r="G5" s="144" t="s">
        <v>114</v>
      </c>
      <c r="H5" s="255" t="s">
        <v>113</v>
      </c>
      <c r="I5" s="139" t="s">
        <v>119</v>
      </c>
      <c r="J5" s="144" t="s">
        <v>112</v>
      </c>
      <c r="K5" s="142">
        <v>520000</v>
      </c>
    </row>
    <row r="6" spans="1:14" s="120" customFormat="1" ht="43.5" x14ac:dyDescent="0.25">
      <c r="A6" s="108">
        <v>4</v>
      </c>
      <c r="B6" s="54" t="s">
        <v>126</v>
      </c>
      <c r="C6" s="44" t="s">
        <v>118</v>
      </c>
      <c r="D6" s="179" t="s">
        <v>129</v>
      </c>
      <c r="E6" s="178" t="s">
        <v>147</v>
      </c>
      <c r="F6" s="143" t="s">
        <v>82</v>
      </c>
      <c r="G6" s="143" t="s">
        <v>119</v>
      </c>
      <c r="H6" s="255">
        <v>50000</v>
      </c>
      <c r="I6" s="143" t="s">
        <v>119</v>
      </c>
      <c r="J6" s="143"/>
      <c r="K6" s="145">
        <v>612200</v>
      </c>
    </row>
    <row r="7" spans="1:14" s="120" customFormat="1" ht="48" customHeight="1" x14ac:dyDescent="0.25">
      <c r="A7" s="261">
        <v>5</v>
      </c>
      <c r="B7" s="54" t="s">
        <v>12</v>
      </c>
      <c r="C7" s="177" t="s">
        <v>120</v>
      </c>
      <c r="D7" s="200" t="s">
        <v>121</v>
      </c>
      <c r="E7" s="180" t="s">
        <v>152</v>
      </c>
      <c r="F7" s="143" t="s">
        <v>124</v>
      </c>
      <c r="G7" s="143" t="s">
        <v>119</v>
      </c>
      <c r="H7" s="256" t="s">
        <v>122</v>
      </c>
      <c r="I7" s="143" t="s">
        <v>119</v>
      </c>
      <c r="J7" s="143" t="s">
        <v>123</v>
      </c>
      <c r="K7" s="145">
        <v>338708</v>
      </c>
    </row>
    <row r="8" spans="1:14" s="120" customFormat="1" ht="60" x14ac:dyDescent="0.25">
      <c r="A8" s="261">
        <v>6</v>
      </c>
      <c r="B8" s="54" t="s">
        <v>127</v>
      </c>
      <c r="C8" s="44" t="s">
        <v>135</v>
      </c>
      <c r="D8" s="177" t="s">
        <v>136</v>
      </c>
      <c r="E8" s="98" t="s">
        <v>131</v>
      </c>
      <c r="F8" s="143" t="s">
        <v>124</v>
      </c>
      <c r="G8" s="143" t="s">
        <v>138</v>
      </c>
      <c r="H8" s="255">
        <v>1800</v>
      </c>
      <c r="I8" s="143" t="s">
        <v>155</v>
      </c>
      <c r="J8" s="143"/>
      <c r="K8" s="145">
        <v>5685100</v>
      </c>
    </row>
    <row r="9" spans="1:14" ht="60" x14ac:dyDescent="0.25">
      <c r="A9" s="261">
        <v>7</v>
      </c>
      <c r="B9" s="14" t="s">
        <v>116</v>
      </c>
      <c r="C9" s="177" t="s">
        <v>118</v>
      </c>
      <c r="D9" s="177" t="s">
        <v>170</v>
      </c>
      <c r="E9" s="145" t="s">
        <v>147</v>
      </c>
      <c r="F9" s="145" t="s">
        <v>117</v>
      </c>
      <c r="G9" s="145" t="s">
        <v>169</v>
      </c>
      <c r="H9" s="257">
        <v>100000</v>
      </c>
      <c r="I9" s="145"/>
      <c r="J9" s="145">
        <v>9.1875</v>
      </c>
      <c r="K9" s="145">
        <f>H9*J9</f>
        <v>918750</v>
      </c>
      <c r="L9" s="120"/>
      <c r="M9" s="120"/>
      <c r="N9" s="120"/>
    </row>
    <row r="10" spans="1:14" ht="28.5" x14ac:dyDescent="0.25">
      <c r="A10" s="261">
        <v>8</v>
      </c>
      <c r="B10" s="14" t="s">
        <v>132</v>
      </c>
      <c r="C10" s="44" t="s">
        <v>137</v>
      </c>
      <c r="D10" s="177" t="s">
        <v>134</v>
      </c>
      <c r="E10" s="98" t="s">
        <v>131</v>
      </c>
      <c r="F10" s="143" t="s">
        <v>82</v>
      </c>
      <c r="G10" s="143" t="s">
        <v>172</v>
      </c>
      <c r="H10" s="255" t="s">
        <v>133</v>
      </c>
      <c r="I10" s="201">
        <v>44134</v>
      </c>
      <c r="J10" s="143"/>
      <c r="K10" s="145">
        <v>478240.4</v>
      </c>
      <c r="L10" s="120"/>
      <c r="M10" s="120"/>
      <c r="N10" s="120"/>
    </row>
    <row r="11" spans="1:14" ht="38.25" customHeight="1" x14ac:dyDescent="0.25">
      <c r="A11" s="261">
        <v>9</v>
      </c>
      <c r="B11" s="14" t="s">
        <v>188</v>
      </c>
      <c r="C11" s="44" t="s">
        <v>189</v>
      </c>
      <c r="D11" s="177" t="s">
        <v>190</v>
      </c>
      <c r="E11" s="145" t="s">
        <v>128</v>
      </c>
      <c r="F11" s="145" t="s">
        <v>117</v>
      </c>
      <c r="G11" s="145" t="s">
        <v>154</v>
      </c>
      <c r="H11" s="257">
        <v>400000</v>
      </c>
      <c r="I11" s="145"/>
      <c r="J11" s="145"/>
      <c r="K11" s="145">
        <v>4200000</v>
      </c>
      <c r="L11" s="120"/>
      <c r="M11" s="120"/>
      <c r="N11" s="120"/>
    </row>
    <row r="12" spans="1:14" ht="60" x14ac:dyDescent="0.25">
      <c r="A12" s="261">
        <v>10</v>
      </c>
      <c r="B12" s="145" t="s">
        <v>144</v>
      </c>
      <c r="C12" s="44" t="s">
        <v>192</v>
      </c>
      <c r="D12" s="177" t="s">
        <v>191</v>
      </c>
      <c r="E12" s="145" t="s">
        <v>148</v>
      </c>
      <c r="F12" s="145" t="s">
        <v>117</v>
      </c>
      <c r="G12" s="145" t="s">
        <v>153</v>
      </c>
      <c r="H12" s="258" t="s">
        <v>187</v>
      </c>
      <c r="I12" s="145"/>
      <c r="J12" s="215">
        <v>298</v>
      </c>
      <c r="K12" s="145">
        <v>356000</v>
      </c>
      <c r="L12" s="120"/>
      <c r="M12" s="120"/>
      <c r="N12" s="120"/>
    </row>
    <row r="13" spans="1:14" s="120" customFormat="1" ht="60" x14ac:dyDescent="0.2">
      <c r="A13" s="261">
        <v>11</v>
      </c>
      <c r="B13" s="245" t="s">
        <v>29</v>
      </c>
      <c r="C13" s="44" t="s">
        <v>212</v>
      </c>
      <c r="D13" s="177" t="s">
        <v>211</v>
      </c>
      <c r="E13" s="145" t="s">
        <v>213</v>
      </c>
      <c r="F13" s="145" t="s">
        <v>82</v>
      </c>
      <c r="G13" s="151"/>
      <c r="H13" s="246">
        <v>1</v>
      </c>
      <c r="I13" s="151"/>
      <c r="J13" s="151"/>
      <c r="K13" s="151">
        <v>493980</v>
      </c>
    </row>
    <row r="14" spans="1:14" ht="30" x14ac:dyDescent="0.25">
      <c r="A14" s="261">
        <v>12</v>
      </c>
      <c r="B14" s="143" t="s">
        <v>175</v>
      </c>
      <c r="C14" s="14" t="s">
        <v>120</v>
      </c>
      <c r="D14" s="143" t="s">
        <v>195</v>
      </c>
      <c r="E14" s="143" t="s">
        <v>196</v>
      </c>
      <c r="F14" s="143"/>
      <c r="G14" s="143" t="s">
        <v>197</v>
      </c>
      <c r="H14" s="256" t="s">
        <v>200</v>
      </c>
      <c r="I14" s="143"/>
      <c r="J14" s="143" t="s">
        <v>198</v>
      </c>
      <c r="K14" s="143" t="s">
        <v>199</v>
      </c>
      <c r="L14" s="120"/>
      <c r="M14" s="120"/>
      <c r="N14" s="120"/>
    </row>
    <row r="15" spans="1:14" ht="90" x14ac:dyDescent="0.2">
      <c r="A15" s="261">
        <v>13</v>
      </c>
      <c r="B15" s="54" t="s">
        <v>13</v>
      </c>
      <c r="C15" s="109" t="s">
        <v>164</v>
      </c>
      <c r="D15" s="201">
        <v>43971</v>
      </c>
      <c r="E15" s="98" t="s">
        <v>165</v>
      </c>
      <c r="F15" s="143" t="s">
        <v>166</v>
      </c>
      <c r="G15" s="143" t="s">
        <v>168</v>
      </c>
      <c r="H15" s="144">
        <v>20</v>
      </c>
      <c r="I15" s="143"/>
      <c r="J15" s="143"/>
      <c r="K15" s="145">
        <v>313476</v>
      </c>
    </row>
    <row r="16" spans="1:14" s="120" customFormat="1" ht="28.5" x14ac:dyDescent="0.25">
      <c r="A16" s="261">
        <v>14</v>
      </c>
      <c r="B16" s="247" t="s">
        <v>206</v>
      </c>
      <c r="C16" s="248" t="s">
        <v>208</v>
      </c>
      <c r="D16" s="249" t="s">
        <v>207</v>
      </c>
      <c r="E16" s="250" t="s">
        <v>208</v>
      </c>
      <c r="F16" s="249" t="s">
        <v>209</v>
      </c>
      <c r="G16" s="249" t="s">
        <v>214</v>
      </c>
      <c r="H16" s="259"/>
      <c r="I16" s="249"/>
      <c r="J16" s="249"/>
      <c r="K16" s="242">
        <v>60000</v>
      </c>
    </row>
    <row r="18" spans="11:11" x14ac:dyDescent="0.25">
      <c r="K18" s="133">
        <f>15064112-K13-K16</f>
        <v>14510132</v>
      </c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Total geo</vt:lpstr>
      <vt:lpstr>საბიუჯეტო</vt:lpstr>
      <vt:lpstr>soci</vt:lpstr>
      <vt:lpstr>TOTAL </vt:lpstr>
      <vt:lpstr> WORKS I</vt:lpstr>
      <vt:lpstr> GOODS I</vt:lpstr>
      <vt:lpstr> CS I </vt:lpstr>
      <vt:lpstr>CS COMP.III</vt:lpstr>
      <vt:lpstr>signed contracts</vt:lpstr>
      <vt:lpstr>' GOODS I'!Print_Area</vt:lpstr>
      <vt:lpstr>' WORKS I'!Print_Area</vt:lpstr>
      <vt:lpstr>'TOTAL '!Print_Area</vt:lpstr>
      <vt:lpstr>'Total geo'!Print_Area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Maia Gotiashvili</cp:lastModifiedBy>
  <cp:lastPrinted>2020-10-06T15:45:46Z</cp:lastPrinted>
  <dcterms:created xsi:type="dcterms:W3CDTF">2008-08-01T19:30:21Z</dcterms:created>
  <dcterms:modified xsi:type="dcterms:W3CDTF">2020-10-07T07:55:08Z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