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tgabunia\Desktop\COVAX 2021\FINAL\"/>
    </mc:Choice>
  </mc:AlternateContent>
  <bookViews>
    <workbookView xWindow="0" yWindow="0" windowWidth="20490" windowHeight="7650"/>
  </bookViews>
  <sheets>
    <sheet name="-მარტი აპრილი-გეგმა" sheetId="2" r:id="rId1"/>
    <sheet name="საერთო გეგმა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" i="2" l="1"/>
  <c r="D3" i="2"/>
  <c r="D19" i="2"/>
  <c r="E8" i="2"/>
  <c r="C5" i="2"/>
  <c r="C6" i="2"/>
  <c r="C12" i="2"/>
  <c r="D22" i="2"/>
  <c r="D21" i="2"/>
  <c r="D20" i="2"/>
  <c r="N1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5" i="1"/>
  <c r="C13" i="2" l="1"/>
  <c r="E6" i="1"/>
  <c r="X32" i="1"/>
  <c r="F3" i="2" l="1"/>
  <c r="D10" i="2"/>
  <c r="D6" i="2"/>
  <c r="D9" i="2"/>
  <c r="D11" i="2"/>
  <c r="D7" i="2"/>
  <c r="T33" i="1"/>
  <c r="V33" i="1"/>
  <c r="Y33" i="1"/>
  <c r="Z33" i="1"/>
  <c r="AB33" i="1"/>
  <c r="AD33" i="1"/>
  <c r="AE33" i="1"/>
  <c r="AF33" i="1"/>
  <c r="AG33" i="1"/>
  <c r="K6" i="1"/>
  <c r="L6" i="1" s="1"/>
  <c r="F9" i="2" l="1"/>
  <c r="F6" i="2"/>
  <c r="F11" i="2"/>
  <c r="F5" i="2"/>
  <c r="F10" i="2"/>
  <c r="K27" i="1"/>
  <c r="L27" i="1" l="1"/>
  <c r="V27" i="1"/>
  <c r="X27" i="1" s="1"/>
  <c r="K24" i="1"/>
  <c r="L24" i="1" l="1"/>
  <c r="V24" i="1"/>
  <c r="X24" i="1" s="1"/>
  <c r="K28" i="1"/>
  <c r="K29" i="1"/>
  <c r="K26" i="1"/>
  <c r="K25" i="1"/>
  <c r="K23" i="1"/>
  <c r="L29" i="1" l="1"/>
  <c r="V29" i="1"/>
  <c r="X29" i="1" s="1"/>
  <c r="L23" i="1"/>
  <c r="V23" i="1"/>
  <c r="X23" i="1" s="1"/>
  <c r="L28" i="1"/>
  <c r="V28" i="1"/>
  <c r="X28" i="1" s="1"/>
  <c r="L25" i="1"/>
  <c r="V25" i="1"/>
  <c r="X25" i="1" s="1"/>
  <c r="L26" i="1"/>
  <c r="V26" i="1"/>
  <c r="X26" i="1" s="1"/>
  <c r="K22" i="1"/>
  <c r="L22" i="1" l="1"/>
  <c r="V22" i="1"/>
  <c r="M22" i="1"/>
  <c r="M23" i="1" s="1"/>
  <c r="M24" i="1" s="1"/>
  <c r="M25" i="1" s="1"/>
  <c r="M26" i="1" s="1"/>
  <c r="M27" i="1" s="1"/>
  <c r="M28" i="1" s="1"/>
  <c r="M29" i="1" s="1"/>
  <c r="K7" i="1"/>
  <c r="P6" i="1"/>
  <c r="X22" i="1" l="1"/>
  <c r="Q30" i="1"/>
  <c r="H5" i="1"/>
  <c r="I5" i="1" s="1"/>
  <c r="L7" i="1"/>
  <c r="S32" i="1" l="1"/>
  <c r="S33" i="1" s="1"/>
  <c r="X33" i="1"/>
  <c r="H11" i="1"/>
  <c r="I11" i="1" s="1"/>
  <c r="K11" i="1" s="1"/>
  <c r="H8" i="1"/>
  <c r="I8" i="1" s="1"/>
  <c r="K8" i="1" s="1"/>
  <c r="S8" i="1" s="1"/>
  <c r="H10" i="1"/>
  <c r="I10" i="1" s="1"/>
  <c r="K10" i="1" s="1"/>
  <c r="H9" i="1"/>
  <c r="I9" i="1" s="1"/>
  <c r="K9" i="1" s="1"/>
  <c r="K5" i="1"/>
  <c r="U8" i="1" l="1"/>
  <c r="T30" i="1"/>
  <c r="S30" i="1"/>
  <c r="P30" i="1"/>
  <c r="K30" i="1"/>
  <c r="L10" i="1"/>
  <c r="Y10" i="1"/>
  <c r="L11" i="1"/>
  <c r="AA11" i="1"/>
  <c r="AC11" i="1" s="1"/>
  <c r="U9" i="1"/>
  <c r="L8" i="1"/>
  <c r="L5" i="1"/>
  <c r="M5" i="1" s="1"/>
  <c r="M6" i="1" s="1"/>
  <c r="M7" i="1" s="1"/>
  <c r="M8" i="1" s="1"/>
  <c r="L9" i="1"/>
  <c r="Q31" i="1" l="1"/>
  <c r="Y30" i="1"/>
  <c r="Z30" i="1"/>
  <c r="U32" i="1"/>
  <c r="U33" i="1" s="1"/>
  <c r="U30" i="1"/>
  <c r="U31" i="1" s="1"/>
  <c r="V30" i="1"/>
  <c r="N30" i="1" s="1"/>
  <c r="R32" i="1"/>
  <c r="R33" i="1" s="1"/>
  <c r="R34" i="1" s="1"/>
  <c r="S34" i="1" s="1"/>
  <c r="T34" i="1" s="1"/>
  <c r="R30" i="1"/>
  <c r="S31" i="1" s="1"/>
  <c r="AA10" i="1"/>
  <c r="AC32" i="1"/>
  <c r="AC33" i="1" s="1"/>
  <c r="AC30" i="1"/>
  <c r="W9" i="1"/>
  <c r="M9" i="1"/>
  <c r="M10" i="1" s="1"/>
  <c r="M11" i="1" s="1"/>
  <c r="M30" i="1" s="1"/>
  <c r="U34" i="1" l="1"/>
  <c r="V34" i="1" s="1"/>
  <c r="AB30" i="1"/>
  <c r="AC31" i="1" s="1"/>
  <c r="AA30" i="1"/>
  <c r="AA31" i="1" s="1"/>
  <c r="X30" i="1"/>
  <c r="Y31" i="1" s="1"/>
  <c r="W32" i="1"/>
  <c r="W30" i="1"/>
  <c r="W31" i="1" s="1"/>
  <c r="W33" i="1"/>
  <c r="W34" i="1" s="1"/>
  <c r="X34" i="1" s="1"/>
  <c r="Y34" i="1" s="1"/>
  <c r="Z34" i="1" s="1"/>
  <c r="AA32" i="1"/>
  <c r="AA33" i="1" s="1"/>
  <c r="AA34" i="1" l="1"/>
  <c r="AB34" i="1" s="1"/>
  <c r="AC34" i="1" s="1"/>
  <c r="AD34" i="1" s="1"/>
  <c r="AE34" i="1" s="1"/>
  <c r="AF34" i="1" s="1"/>
  <c r="AG34" i="1" s="1"/>
</calcChain>
</file>

<file path=xl/comments1.xml><?xml version="1.0" encoding="utf-8"?>
<comments xmlns="http://schemas.openxmlformats.org/spreadsheetml/2006/main">
  <authors>
    <author>tc={049CC2A5-ABD7-634D-80EF-101702FC4358}</author>
  </authors>
  <commentList>
    <comment ref="E11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Obesity BMI&gt;40 - 69,5
00, Obesity &gt;35 - 176,500</t>
        </r>
      </text>
    </comment>
  </commentList>
</comments>
</file>

<file path=xl/sharedStrings.xml><?xml version="1.0" encoding="utf-8"?>
<sst xmlns="http://schemas.openxmlformats.org/spreadsheetml/2006/main" count="158" uniqueCount="125">
  <si>
    <t>ჯგუფი</t>
  </si>
  <si>
    <t>რა-ობა</t>
  </si>
  <si>
    <t>ინფორმაციის წყარო</t>
  </si>
  <si>
    <t>შესწორება (აღწერა)</t>
  </si>
  <si>
    <t>შესწორება (N)</t>
  </si>
  <si>
    <t>შესწორებული რა-ბა</t>
  </si>
  <si>
    <t>მოცვის სამიზნე მაჩვენებელი</t>
  </si>
  <si>
    <t xml:space="preserve">ასაცრელი კონტინგენტი </t>
  </si>
  <si>
    <t>საერთო მოსახლეობის % (შესწორებული)</t>
  </si>
  <si>
    <t>მოსახლეობის კუმულაციური %</t>
  </si>
  <si>
    <t>სამედიცინო სტატისტიკის დეპ, დკსჯეც</t>
  </si>
  <si>
    <t>https://www.geostat.ge</t>
  </si>
  <si>
    <t>NA</t>
  </si>
  <si>
    <t>ეტაპი</t>
  </si>
  <si>
    <t>ეს ჯგუფი 20-69 წლ. ასაკობრივ ჯგუფში - 8%. სამედიცინო პერსონალის 8% აკლდება ამ ასაკობრივ ჯგუფს</t>
  </si>
  <si>
    <t>ეს ჯგუფი 20-69 წლ. ასაკობრივ ჯგუფში - 10%. სამედიცინო პერსონალის 21% აკლდება ამ ასაკობრივ ჯგუფს</t>
  </si>
  <si>
    <t>ეს ჯგუფი 20-69 წლ. ასაკობრივ ჯგუფში  - 21%. სამედიცინო პერსონალის  21% აკლდება ამ ასაკობრივ ჯგუფს</t>
  </si>
  <si>
    <t>ადრეული სკოლამდელი აღზრდისა და განათლების დაწესებულებების მომსახურე პერსონალი</t>
  </si>
  <si>
    <t>თავდაცვის სამინისტრო</t>
  </si>
  <si>
    <t>დაიბეტი (I, II ტიპი)</t>
  </si>
  <si>
    <t>90+37 (ფსიქიატრიულის და ხანგრძლივი მოვლის 2 თავშეასაფარი)</t>
  </si>
  <si>
    <t>65-74 წლის მოსახლეობა</t>
  </si>
  <si>
    <t>55-64 წლის მოსახლეობა</t>
  </si>
  <si>
    <t>50-54 წლის მოსახლეობა</t>
  </si>
  <si>
    <t>ქრონიკული რესპირატორული დაავადებები</t>
  </si>
  <si>
    <t>დანარჩენი მოზრდილი მოსახლეობა</t>
  </si>
  <si>
    <t>სოც. მომსახურების სააგენტო;
ჯეს</t>
  </si>
  <si>
    <t xml:space="preserve">პატიმრები </t>
  </si>
  <si>
    <t>ესენციური სერვისები და მომატებულუ რისკის სოც. ჯგ.</t>
  </si>
  <si>
    <t xml:space="preserve">III
მოსახლეობის 20%-ზე მეტი   
(3 თვე )
</t>
  </si>
  <si>
    <t>ჯანდაცვის დაწესებულებების სამედიცინო და 
და არასამედიცინო პერსონალი*</t>
  </si>
  <si>
    <t>Iა   
3% 
(1 თვე)</t>
  </si>
  <si>
    <t>Iბ
4-10% 
(1 თვე)</t>
  </si>
  <si>
    <t xml:space="preserve">შორეული გადაზიდვის ოპერატორები </t>
  </si>
  <si>
    <t>სულ აცრილი მე-2 დოზით</t>
  </si>
  <si>
    <t>მოსახლეობის %</t>
  </si>
  <si>
    <t>კუმულაციური %</t>
  </si>
  <si>
    <t>სულ დოზები 4 კვირიან ინტერვალში</t>
  </si>
  <si>
    <t xml:space="preserve">კიბო </t>
  </si>
  <si>
    <t>I
მოსახლეობის 1–10%.   
(2 თვე )</t>
  </si>
  <si>
    <t xml:space="preserve">II
მოსახლეობის 11–20%.   
</t>
  </si>
  <si>
    <r>
      <t xml:space="preserve"> სხვადასხვა დაწესებულებაში დასაქმებული ერთი და იგივე პირი, დაშვება -</t>
    </r>
    <r>
      <rPr>
        <sz val="10"/>
        <color rgb="FFFF0000"/>
        <rFont val="Sylfaen"/>
        <family val="1"/>
      </rPr>
      <t>10%</t>
    </r>
  </si>
  <si>
    <t>ხანგრძლივი მოვლის დაწესებულების ბენეფიციარები და პერსონალი</t>
  </si>
  <si>
    <r>
      <rPr>
        <u/>
        <sz val="10"/>
        <color theme="1"/>
        <rFont val="Sylfaen"/>
        <family val="1"/>
      </rPr>
      <t>&gt;</t>
    </r>
    <r>
      <rPr>
        <sz val="10"/>
        <color theme="1"/>
        <rFont val="Sylfaen"/>
        <family val="1"/>
      </rPr>
      <t xml:space="preserve"> 75 წლის მოსახლეობა</t>
    </r>
  </si>
  <si>
    <r>
      <t xml:space="preserve">ქრონიკული დაავადების მქონე 18-49 წლ. </t>
    </r>
    <r>
      <rPr>
        <sz val="10"/>
        <color rgb="FFFF0000"/>
        <rFont val="Sylfaen"/>
        <family val="1"/>
      </rPr>
      <t>(TBD)</t>
    </r>
  </si>
  <si>
    <r>
      <t xml:space="preserve">აფთიაქის წინა ხაზის პერსონალი </t>
    </r>
    <r>
      <rPr>
        <sz val="10"/>
        <color rgb="FFFF0000"/>
        <rFont val="Sylfaen"/>
        <family val="1"/>
      </rPr>
      <t>(TBD)</t>
    </r>
  </si>
  <si>
    <r>
      <t>შსს:</t>
    </r>
    <r>
      <rPr>
        <sz val="10"/>
        <color rgb="FFFF0000"/>
        <rFont val="Sylfaen"/>
        <family val="1"/>
      </rPr>
      <t xml:space="preserve"> (TBD)</t>
    </r>
  </si>
  <si>
    <r>
      <t xml:space="preserve">ტრანსპორტის თანამშრომლები </t>
    </r>
    <r>
      <rPr>
        <sz val="10"/>
        <color rgb="FFFF0000"/>
        <rFont val="Sylfaen"/>
        <family val="1"/>
      </rPr>
      <t>(TBD)</t>
    </r>
  </si>
  <si>
    <r>
      <t xml:space="preserve">მაღაროელები </t>
    </r>
    <r>
      <rPr>
        <sz val="10"/>
        <color rgb="FFFF0000"/>
        <rFont val="Sylfaen"/>
        <family val="1"/>
      </rPr>
      <t>(TBD)</t>
    </r>
  </si>
  <si>
    <r>
      <t>* სამკურნალო სამედიცინო დაწესებულებების ს</t>
    </r>
    <r>
      <rPr>
        <b/>
        <sz val="10"/>
        <color theme="1"/>
        <rFont val="Sylfaen"/>
        <family val="1"/>
      </rPr>
      <t>ამედიცინო პერსონალი</t>
    </r>
    <r>
      <rPr>
        <sz val="10"/>
        <color theme="1"/>
        <rFont val="Sylfaen"/>
        <family val="1"/>
      </rPr>
      <t xml:space="preserve">: ექიმები, ექთნები, პროფესიული/საშუალო განათლების სხვა პერსონალი, უმცროსი მედ. პერსონალი, ლაბორატორიული პერსონალი, სხვა სამედიცინო პერსონალი; სასწრაფო სამედიცინო დახმარების სამედიცინო პერსონალი; სისხლის დამამზადებელი სადგურის სამედიცინო პერსონალი; ჯანდაცვის მართვის აპარატი და </t>
    </r>
    <r>
      <rPr>
        <b/>
        <sz val="10"/>
        <color theme="1"/>
        <rFont val="Sylfaen"/>
        <family val="1"/>
      </rPr>
      <t xml:space="preserve">არასამკურნალო სამედიცინო დაწესებულების პერსონალი;
</t>
    </r>
    <r>
      <rPr>
        <sz val="10"/>
        <color theme="1"/>
        <rFont val="Sylfaen"/>
        <family val="1"/>
      </rPr>
      <t>მოიცავს ასევე სასჯელაღსრულების თავდაცვის, და შს სამინისტროების დაქვემდებარებაში არსებულ სამედიცინო დაწესებულებებს</t>
    </r>
    <r>
      <rPr>
        <b/>
        <sz val="10"/>
        <color theme="1"/>
        <rFont val="Sylfaen"/>
        <family val="1"/>
      </rPr>
      <t xml:space="preserve">
</t>
    </r>
  </si>
  <si>
    <t>AZ</t>
  </si>
  <si>
    <t>24 მარტი</t>
  </si>
  <si>
    <t>25 მარტი</t>
  </si>
  <si>
    <t>26 მარტი</t>
  </si>
  <si>
    <t>27 მარტი</t>
  </si>
  <si>
    <t>28 მარტი</t>
  </si>
  <si>
    <t>29 მარტი</t>
  </si>
  <si>
    <t>30 მარტი</t>
  </si>
  <si>
    <t>31 მარტი</t>
  </si>
  <si>
    <t>1 აპრილი</t>
  </si>
  <si>
    <t>Pfizer</t>
  </si>
  <si>
    <t>2 აპრილი</t>
  </si>
  <si>
    <t>3 აპრილი</t>
  </si>
  <si>
    <t>4 აპრილი</t>
  </si>
  <si>
    <t>5 აპრილი</t>
  </si>
  <si>
    <t>6 აპრილი</t>
  </si>
  <si>
    <t>7 აპრილი</t>
  </si>
  <si>
    <t>8 აპრილი</t>
  </si>
  <si>
    <t>9 აპრილი</t>
  </si>
  <si>
    <t>10 აპრილი</t>
  </si>
  <si>
    <t>11 აპრილი</t>
  </si>
  <si>
    <t>12 აპრილი</t>
  </si>
  <si>
    <t>13 აპრილი</t>
  </si>
  <si>
    <t>14 აპრილი</t>
  </si>
  <si>
    <t>15 აპრილი</t>
  </si>
  <si>
    <t>16 აპრილი</t>
  </si>
  <si>
    <t>17 აპრილი</t>
  </si>
  <si>
    <t>18 აპრილი</t>
  </si>
  <si>
    <t>19 აპრილი</t>
  </si>
  <si>
    <t>20 აპრილი</t>
  </si>
  <si>
    <t>21 აპრილი</t>
  </si>
  <si>
    <t>22 აპრილი</t>
  </si>
  <si>
    <t>23 აპრილი</t>
  </si>
  <si>
    <t>24 აპრილი</t>
  </si>
  <si>
    <t>25 აპრილი</t>
  </si>
  <si>
    <t>26 აპრილი</t>
  </si>
  <si>
    <t>27 აპრილი</t>
  </si>
  <si>
    <t>28 აპრილი</t>
  </si>
  <si>
    <t>29 აპრილი</t>
  </si>
  <si>
    <t>30 აპრილი</t>
  </si>
  <si>
    <t>Synopharm</t>
  </si>
  <si>
    <t>100 000</t>
  </si>
  <si>
    <t>ჯავშნების კვოტა %</t>
  </si>
  <si>
    <t>ასაცრელი ჯგუფები</t>
  </si>
  <si>
    <t>სამედიცინო პერსონალი</t>
  </si>
  <si>
    <t>გრძელვადიანი მოვლის დაწესებულებების ბენეფიციარები</t>
  </si>
  <si>
    <t>75 წლის ზემოთ</t>
  </si>
  <si>
    <t>65 წლის ზემოთ</t>
  </si>
  <si>
    <t xml:space="preserve">55 წლის ზემოთ </t>
  </si>
  <si>
    <t>55 წლამდე</t>
  </si>
  <si>
    <t>ასაცრელი კონტიგენტის რაოდენობა</t>
  </si>
  <si>
    <t xml:space="preserve">ვაქცინების მოწოდების გრაფიკი </t>
  </si>
  <si>
    <t xml:space="preserve">15 მარტი </t>
  </si>
  <si>
    <t>ასტრა ზენეკა</t>
  </si>
  <si>
    <t>ფაიზერი</t>
  </si>
  <si>
    <t>სინოფარმი</t>
  </si>
  <si>
    <t>სულ</t>
  </si>
  <si>
    <t>რამდენი ადამიანის მოცვაა შესაძლებელი პირველი დოზით აპრილის ბოლომდე</t>
  </si>
  <si>
    <t>არსებული ვაქცინებით შესაძლო მოცვის პროცენტი</t>
  </si>
  <si>
    <t>22 მარტიდან კვოტების რეკომენდებული განაწილება</t>
  </si>
  <si>
    <t>მარტი</t>
  </si>
  <si>
    <t>აპრილი</t>
  </si>
  <si>
    <t xml:space="preserve">ასაკობრივი ჯგუფები </t>
  </si>
  <si>
    <t>კვოტა %</t>
  </si>
  <si>
    <t>საკომუნიკაციო კამპანიის მიზნებისთვის დოზების რაოდენობა</t>
  </si>
  <si>
    <t xml:space="preserve">დანაკარგი </t>
  </si>
  <si>
    <t>განმარტებები:</t>
  </si>
  <si>
    <t>22 მარტს გამოცხადდეს, რომ სამედიცინო პერსონალთან ერთად რეგისტრაციის და რიგის დაჯავშნის საშუალება ექნებათ 55 წლის ზემოთ ასაკის პირებს</t>
  </si>
  <si>
    <t xml:space="preserve">რეგისტრაციის პორტალი უნდა იძლეოდეს რიგის დაჯავშნის საშუალებას 30 აპრილის ჩათვლით </t>
  </si>
  <si>
    <t>ასევე აუცილებლად უნდა დავიწყოთ საერთო რეგისტრაცია ყველა ასაკობრივ ჯგუფში იმისთვის, რომ ვნახოთ ვინ არის აცრით დაინტერესებული.</t>
  </si>
  <si>
    <t xml:space="preserve">უნდა შეიქმნას მექანიზმი, რაც საერთო რეგისტრაციიდან აცრის რიგში გადმოყვანის შესაძლებლობას მისცემს პირს, თუკი ვინმე ჯავშანს გააუქმებს ან დამატებითი დოზები გამოჩნდება ვაქცინის </t>
  </si>
  <si>
    <t xml:space="preserve">საკომუნიკაციო კამპანიის წარმოებისთვის გამოიყოს 1000 დოზა (500 ცნობადი სახის ასაცრელად მაღალი ასაკობრივი ჯგუფებიდან) </t>
  </si>
  <si>
    <t>აცრების დღიური მინიმალური რაოდენობა დაგეგმილი მოცვის მისაღწევად</t>
  </si>
  <si>
    <t xml:space="preserve">პრიორიტეტული რეგისტრაცია შენარჩუნდება 55 წლის ზემოთ სამედიცინო პერსონალისთვის- არსებული დოზების გარკვეული პროცენტი (იხილეთ ცხრილში) უნდა იქნას დარეზერვებული სამედიცინო პერსონალისთვის </t>
  </si>
  <si>
    <t>ასევე რეგისტრაცია პრიორიტეტული იქნება 65 წლის ზემოთ პირებისთვის ანუ ვაქცინების არსებულის დოზენის გარკვეული პროცენტი უნდა დარეზერვდეს ამ ჯგუფისთვის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</si>
</sst>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rgb="FFFF0000"/>
      <name val="Sylfaen"/>
      <family val="1"/>
    </font>
    <font>
      <b/>
      <sz val="10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u/>
      <sz val="10"/>
      <color theme="1"/>
      <name val="Sylfaen"/>
      <family val="1"/>
    </font>
    <font>
      <u/>
      <sz val="10"/>
      <color theme="10"/>
      <name val="Sylfaen"/>
      <family val="1"/>
    </font>
    <font>
      <b/>
      <sz val="10"/>
      <color theme="9" tint="-0.249977111117893"/>
      <name val="Sylfaen"/>
      <family val="1"/>
    </font>
    <font>
      <b/>
      <sz val="11"/>
      <color theme="9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6" fillId="2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4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1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vertical="center"/>
    </xf>
    <xf numFmtId="9" fontId="7" fillId="0" borderId="0" xfId="2" applyFont="1" applyAlignment="1">
      <alignment vertical="center"/>
    </xf>
    <xf numFmtId="165" fontId="7" fillId="0" borderId="0" xfId="2" applyNumberFormat="1" applyFont="1" applyAlignment="1">
      <alignment vertical="center"/>
    </xf>
    <xf numFmtId="43" fontId="7" fillId="0" borderId="3" xfId="0" applyNumberFormat="1" applyFont="1" applyBorder="1" applyAlignment="1">
      <alignment vertical="center"/>
    </xf>
    <xf numFmtId="164" fontId="7" fillId="3" borderId="0" xfId="0" applyNumberFormat="1" applyFont="1" applyFill="1" applyAlignment="1">
      <alignment vertical="center"/>
    </xf>
    <xf numFmtId="164" fontId="7" fillId="4" borderId="0" xfId="0" applyNumberFormat="1" applyFont="1" applyFill="1" applyAlignment="1">
      <alignment vertical="center"/>
    </xf>
    <xf numFmtId="0" fontId="7" fillId="0" borderId="0" xfId="0" applyFont="1" applyAlignment="1">
      <alignment horizontal="right" vertical="center"/>
    </xf>
    <xf numFmtId="10" fontId="7" fillId="0" borderId="0" xfId="2" applyNumberFormat="1" applyFont="1" applyAlignment="1">
      <alignment vertical="center"/>
    </xf>
    <xf numFmtId="0" fontId="7" fillId="0" borderId="3" xfId="0" applyFont="1" applyBorder="1"/>
    <xf numFmtId="0" fontId="10" fillId="0" borderId="0" xfId="3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9" fontId="7" fillId="0" borderId="0" xfId="0" applyNumberFormat="1" applyFont="1" applyAlignment="1">
      <alignment vertical="center"/>
    </xf>
    <xf numFmtId="0" fontId="7" fillId="4" borderId="0" xfId="0" applyFont="1" applyFill="1"/>
    <xf numFmtId="0" fontId="7" fillId="3" borderId="0" xfId="0" applyFont="1" applyFill="1"/>
    <xf numFmtId="164" fontId="7" fillId="4" borderId="0" xfId="0" applyNumberFormat="1" applyFont="1" applyFill="1"/>
    <xf numFmtId="0" fontId="7" fillId="0" borderId="0" xfId="0" applyFont="1" applyFill="1" applyAlignment="1">
      <alignment vertical="center" wrapText="1"/>
    </xf>
    <xf numFmtId="164" fontId="7" fillId="0" borderId="0" xfId="1" applyNumberFormat="1" applyFon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9" fontId="7" fillId="0" borderId="0" xfId="0" applyNumberFormat="1" applyFont="1" applyFill="1" applyAlignment="1">
      <alignment vertical="center"/>
    </xf>
    <xf numFmtId="165" fontId="7" fillId="0" borderId="0" xfId="2" applyNumberFormat="1" applyFont="1" applyFill="1" applyAlignment="1">
      <alignment vertical="center"/>
    </xf>
    <xf numFmtId="43" fontId="7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164" fontId="7" fillId="3" borderId="0" xfId="0" applyNumberFormat="1" applyFont="1" applyFill="1"/>
    <xf numFmtId="0" fontId="7" fillId="0" borderId="0" xfId="0" applyFont="1" applyAlignment="1">
      <alignment horizontal="left" vertical="center" wrapText="1" indent="1"/>
    </xf>
    <xf numFmtId="10" fontId="7" fillId="0" borderId="0" xfId="0" applyNumberFormat="1" applyFont="1" applyAlignment="1">
      <alignment vertical="center"/>
    </xf>
    <xf numFmtId="43" fontId="7" fillId="0" borderId="0" xfId="1" applyFont="1" applyAlignment="1">
      <alignment vertical="center"/>
    </xf>
    <xf numFmtId="165" fontId="8" fillId="0" borderId="0" xfId="0" applyNumberFormat="1" applyFont="1"/>
    <xf numFmtId="164" fontId="7" fillId="0" borderId="3" xfId="0" applyNumberFormat="1" applyFont="1" applyBorder="1" applyAlignment="1">
      <alignment vertical="center" wrapText="1"/>
    </xf>
    <xf numFmtId="164" fontId="7" fillId="4" borderId="3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164" fontId="7" fillId="4" borderId="7" xfId="0" applyNumberFormat="1" applyFont="1" applyFill="1" applyBorder="1" applyAlignment="1">
      <alignment vertical="center"/>
    </xf>
    <xf numFmtId="0" fontId="7" fillId="4" borderId="1" xfId="0" applyFont="1" applyFill="1" applyBorder="1"/>
    <xf numFmtId="0" fontId="7" fillId="4" borderId="2" xfId="0" applyFont="1" applyFill="1" applyBorder="1"/>
    <xf numFmtId="165" fontId="7" fillId="0" borderId="3" xfId="0" applyNumberFormat="1" applyFont="1" applyBorder="1" applyAlignment="1">
      <alignment vertical="center"/>
    </xf>
    <xf numFmtId="165" fontId="7" fillId="0" borderId="4" xfId="2" applyNumberFormat="1" applyFont="1" applyBorder="1" applyAlignment="1">
      <alignment vertical="center"/>
    </xf>
    <xf numFmtId="165" fontId="7" fillId="0" borderId="3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7" fillId="0" borderId="5" xfId="0" applyNumberFormat="1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165" fontId="7" fillId="0" borderId="8" xfId="0" applyNumberFormat="1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14" fontId="7" fillId="5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3" fontId="7" fillId="0" borderId="0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 wrapText="1"/>
    </xf>
    <xf numFmtId="9" fontId="7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 wrapText="1"/>
    </xf>
    <xf numFmtId="164" fontId="3" fillId="0" borderId="0" xfId="1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7" borderId="0" xfId="0" applyFont="1" applyFill="1" applyAlignment="1">
      <alignment wrapText="1"/>
    </xf>
    <xf numFmtId="0" fontId="4" fillId="8" borderId="0" xfId="0" applyFont="1" applyFill="1"/>
    <xf numFmtId="164" fontId="3" fillId="0" borderId="0" xfId="0" applyNumberFormat="1" applyFont="1"/>
    <xf numFmtId="0" fontId="3" fillId="8" borderId="0" xfId="0" applyFont="1" applyFill="1"/>
    <xf numFmtId="9" fontId="3" fillId="8" borderId="0" xfId="2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9" fontId="3" fillId="0" borderId="0" xfId="0" applyNumberFormat="1" applyFont="1"/>
    <xf numFmtId="1" fontId="3" fillId="0" borderId="0" xfId="0" applyNumberFormat="1" applyFont="1" applyAlignment="1">
      <alignment horizontal="center" vertical="center"/>
    </xf>
    <xf numFmtId="0" fontId="3" fillId="9" borderId="0" xfId="0" applyFont="1" applyFill="1"/>
    <xf numFmtId="164" fontId="3" fillId="9" borderId="0" xfId="1" applyNumberFormat="1" applyFont="1" applyFill="1"/>
    <xf numFmtId="9" fontId="3" fillId="9" borderId="0" xfId="0" applyNumberFormat="1" applyFont="1" applyFill="1"/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6" borderId="0" xfId="0" applyFont="1" applyFill="1" applyAlignment="1">
      <alignment horizontal="center" vertic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vdity Chikovani" id="{F3163E65-05C9-1949-B84C-4D329EEF04A2}" userId="S::i.chikovani@curatio.com::88c3af89-cfad-4844-9d52-51bd03c6575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0-12-12T14:25:34.72" personId="{F3163E65-05C9-1949-B84C-4D329EEF04A2}" id="{049CC2A5-ABD7-634D-80EF-101702FC4358}">
    <text>Obesity BMI&gt;40 - 69,5
00, Obesity &gt;35 - 176,500</text>
  </threadedComment>
</ThreadedComment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geostat.ge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geostat.ge/" TargetMode="External"/><Relationship Id="rId1" Type="http://schemas.openxmlformats.org/officeDocument/2006/relationships/hyperlink" Target="https://www.geostat.g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geostat.ge/" TargetMode="External"/><Relationship Id="rId4" Type="http://schemas.openxmlformats.org/officeDocument/2006/relationships/hyperlink" Target="https://www.geostat.ge/" TargetMode="External"/><Relationship Id="rId9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tabSelected="1" workbookViewId="0">
      <selection activeCell="C27" sqref="C27"/>
    </sheetView>
  </sheetViews>
  <sheetFormatPr defaultRowHeight="15" x14ac:dyDescent="0.25"/>
  <cols>
    <col min="2" max="2" width="64.7109375" style="2" customWidth="1"/>
    <col min="3" max="3" width="14.140625" style="2" customWidth="1"/>
    <col min="4" max="5" width="17" style="2" customWidth="1"/>
    <col min="6" max="6" width="15.28515625" style="2" customWidth="1"/>
    <col min="7" max="7" width="14.140625" style="2" customWidth="1"/>
    <col min="8" max="8" width="26" customWidth="1"/>
  </cols>
  <sheetData>
    <row r="1" spans="2:9" ht="81" customHeight="1" x14ac:dyDescent="0.25">
      <c r="D1" s="87" t="s">
        <v>109</v>
      </c>
      <c r="E1" s="87"/>
      <c r="F1" s="87"/>
      <c r="H1" s="86" t="s">
        <v>122</v>
      </c>
      <c r="I1" s="95">
        <f>50*60</f>
        <v>3000</v>
      </c>
    </row>
    <row r="2" spans="2:9" ht="60" x14ac:dyDescent="0.25">
      <c r="B2" s="2" t="s">
        <v>93</v>
      </c>
      <c r="C2" s="86" t="s">
        <v>100</v>
      </c>
      <c r="D2" s="85" t="s">
        <v>110</v>
      </c>
      <c r="E2" s="85" t="s">
        <v>113</v>
      </c>
      <c r="F2" s="85" t="s">
        <v>111</v>
      </c>
      <c r="G2" s="3" t="s">
        <v>113</v>
      </c>
    </row>
    <row r="3" spans="2:9" x14ac:dyDescent="0.25">
      <c r="C3" s="76"/>
      <c r="D3" s="89">
        <f>D19*30%</f>
        <v>36529.125</v>
      </c>
      <c r="E3" s="89"/>
      <c r="F3" s="89">
        <f>D19-D3</f>
        <v>85234.625</v>
      </c>
    </row>
    <row r="4" spans="2:9" x14ac:dyDescent="0.25">
      <c r="B4" s="2" t="s">
        <v>94</v>
      </c>
      <c r="C4" s="77">
        <v>34360</v>
      </c>
    </row>
    <row r="5" spans="2:9" x14ac:dyDescent="0.25">
      <c r="B5" s="2" t="s">
        <v>99</v>
      </c>
      <c r="C5" s="77">
        <f>C4*40%</f>
        <v>13744</v>
      </c>
      <c r="E5" s="88"/>
      <c r="F5" s="89">
        <f>F3*G5</f>
        <v>8523.4624999999996</v>
      </c>
      <c r="G5" s="88">
        <v>0.1</v>
      </c>
    </row>
    <row r="6" spans="2:9" x14ac:dyDescent="0.25">
      <c r="B6" s="2" t="s">
        <v>98</v>
      </c>
      <c r="C6" s="77">
        <f>C4*60%</f>
        <v>20616</v>
      </c>
      <c r="D6" s="89">
        <f>D3*E6</f>
        <v>10958.737499999999</v>
      </c>
      <c r="E6" s="88">
        <v>0.3</v>
      </c>
      <c r="F6" s="89">
        <f>F3*G6</f>
        <v>25570.387500000001</v>
      </c>
      <c r="G6" s="88">
        <v>0.3</v>
      </c>
    </row>
    <row r="7" spans="2:9" x14ac:dyDescent="0.25">
      <c r="B7" s="2" t="s">
        <v>95</v>
      </c>
      <c r="C7" s="77">
        <v>1560</v>
      </c>
      <c r="D7" s="89">
        <f>D3*E7</f>
        <v>1095.87375</v>
      </c>
      <c r="E7" s="88">
        <v>0.03</v>
      </c>
    </row>
    <row r="8" spans="2:9" x14ac:dyDescent="0.25">
      <c r="B8" s="90" t="s">
        <v>112</v>
      </c>
      <c r="C8" s="91"/>
      <c r="D8" s="92"/>
      <c r="E8" s="92">
        <f>100%-E6-E7</f>
        <v>0.66999999999999993</v>
      </c>
      <c r="F8" s="90"/>
      <c r="G8" s="92">
        <v>0.6</v>
      </c>
    </row>
    <row r="9" spans="2:9" x14ac:dyDescent="0.25">
      <c r="B9" s="2" t="s">
        <v>96</v>
      </c>
      <c r="C9" s="77">
        <v>68040</v>
      </c>
      <c r="D9" s="93">
        <f>D3*E9</f>
        <v>10958.737499999999</v>
      </c>
      <c r="E9" s="88">
        <v>0.3</v>
      </c>
      <c r="F9" s="93">
        <f>F3*G9</f>
        <v>25570.387500000001</v>
      </c>
      <c r="G9" s="88">
        <v>0.3</v>
      </c>
    </row>
    <row r="10" spans="2:9" x14ac:dyDescent="0.25">
      <c r="B10" s="2" t="s">
        <v>97</v>
      </c>
      <c r="C10" s="77">
        <v>131674.6912</v>
      </c>
      <c r="D10" s="93">
        <f>D3*E10</f>
        <v>10958.737499999999</v>
      </c>
      <c r="E10" s="88">
        <v>0.3</v>
      </c>
      <c r="F10" s="93">
        <f>F3*G10</f>
        <v>17046.924999999999</v>
      </c>
      <c r="G10" s="88">
        <v>0.2</v>
      </c>
    </row>
    <row r="11" spans="2:9" x14ac:dyDescent="0.25">
      <c r="B11" s="2" t="s">
        <v>98</v>
      </c>
      <c r="C11" s="77">
        <v>239201.33050000001</v>
      </c>
      <c r="D11" s="93">
        <f>D3*E11</f>
        <v>2557.0387500000002</v>
      </c>
      <c r="E11" s="88">
        <v>7.0000000000000007E-2</v>
      </c>
      <c r="F11" s="93">
        <f>F3*G11</f>
        <v>8523.4624999999996</v>
      </c>
      <c r="G11" s="88">
        <v>0.1</v>
      </c>
    </row>
    <row r="12" spans="2:9" x14ac:dyDescent="0.25">
      <c r="B12" s="2" t="s">
        <v>106</v>
      </c>
      <c r="C12" s="82">
        <f>SUM(C4:C11)</f>
        <v>509196.02170000004</v>
      </c>
    </row>
    <row r="13" spans="2:9" x14ac:dyDescent="0.25">
      <c r="B13" s="83" t="s">
        <v>108</v>
      </c>
      <c r="C13" s="84">
        <f>D19/C12</f>
        <v>0.23912942130513898</v>
      </c>
    </row>
    <row r="15" spans="2:9" x14ac:dyDescent="0.25">
      <c r="B15" s="81" t="s">
        <v>101</v>
      </c>
      <c r="D15" s="2" t="s">
        <v>102</v>
      </c>
      <c r="E15" s="2" t="s">
        <v>53</v>
      </c>
      <c r="F15" s="2" t="s">
        <v>58</v>
      </c>
      <c r="G15" s="2" t="s">
        <v>85</v>
      </c>
    </row>
    <row r="16" spans="2:9" x14ac:dyDescent="0.25">
      <c r="B16" s="2" t="s">
        <v>103</v>
      </c>
      <c r="D16" s="2">
        <v>43200</v>
      </c>
      <c r="G16" s="2">
        <v>86000</v>
      </c>
    </row>
    <row r="17" spans="2:7" x14ac:dyDescent="0.25">
      <c r="B17" s="2" t="s">
        <v>104</v>
      </c>
      <c r="E17" s="2">
        <v>29250</v>
      </c>
      <c r="G17"/>
    </row>
    <row r="18" spans="2:7" x14ac:dyDescent="0.25">
      <c r="B18" s="2" t="s">
        <v>105</v>
      </c>
      <c r="F18" s="2">
        <v>100000</v>
      </c>
      <c r="G18"/>
    </row>
    <row r="19" spans="2:7" ht="30" x14ac:dyDescent="0.25">
      <c r="B19" s="80" t="s">
        <v>107</v>
      </c>
      <c r="D19" s="94">
        <f>(D20+D21+D22)*95%-1000</f>
        <v>121763.75</v>
      </c>
      <c r="E19" s="78"/>
    </row>
    <row r="20" spans="2:7" x14ac:dyDescent="0.25">
      <c r="B20" s="2" t="s">
        <v>103</v>
      </c>
      <c r="D20" s="2">
        <f>(D16+G16)/2</f>
        <v>64600</v>
      </c>
    </row>
    <row r="21" spans="2:7" x14ac:dyDescent="0.25">
      <c r="B21" s="2" t="s">
        <v>104</v>
      </c>
      <c r="D21" s="2">
        <f>E17/2</f>
        <v>14625</v>
      </c>
    </row>
    <row r="22" spans="2:7" x14ac:dyDescent="0.25">
      <c r="B22" s="2" t="s">
        <v>105</v>
      </c>
      <c r="D22" s="2">
        <f>F18/2</f>
        <v>50000</v>
      </c>
    </row>
    <row r="23" spans="2:7" x14ac:dyDescent="0.25">
      <c r="B23" s="2" t="s">
        <v>114</v>
      </c>
      <c r="D23" s="2">
        <v>1000</v>
      </c>
    </row>
    <row r="24" spans="2:7" x14ac:dyDescent="0.25">
      <c r="B24" s="2" t="s">
        <v>115</v>
      </c>
      <c r="D24" s="88">
        <v>0.05</v>
      </c>
    </row>
    <row r="26" spans="2:7" x14ac:dyDescent="0.25">
      <c r="B26" s="78" t="s">
        <v>116</v>
      </c>
    </row>
    <row r="27" spans="2:7" ht="45" x14ac:dyDescent="0.25">
      <c r="B27" s="79" t="s">
        <v>117</v>
      </c>
      <c r="C27" s="79"/>
      <c r="D27" s="79"/>
      <c r="E27" s="79"/>
      <c r="F27" s="79"/>
      <c r="G27" s="79"/>
    </row>
    <row r="28" spans="2:7" ht="60" x14ac:dyDescent="0.25">
      <c r="B28" s="79" t="s">
        <v>123</v>
      </c>
      <c r="C28" s="79"/>
      <c r="D28" s="79"/>
      <c r="E28" s="79"/>
      <c r="F28" s="79"/>
      <c r="G28" s="79"/>
    </row>
    <row r="29" spans="2:7" ht="45" x14ac:dyDescent="0.25">
      <c r="B29" s="79" t="s">
        <v>124</v>
      </c>
      <c r="C29" s="79"/>
      <c r="D29" s="79"/>
      <c r="E29" s="79"/>
      <c r="F29" s="79"/>
      <c r="G29" s="79"/>
    </row>
    <row r="30" spans="2:7" ht="30" x14ac:dyDescent="0.25">
      <c r="B30" s="79" t="s">
        <v>118</v>
      </c>
      <c r="C30" s="79"/>
      <c r="D30" s="79"/>
      <c r="E30" s="79"/>
      <c r="F30" s="79"/>
      <c r="G30" s="79"/>
    </row>
    <row r="31" spans="2:7" ht="45" x14ac:dyDescent="0.25">
      <c r="B31" s="79" t="s">
        <v>119</v>
      </c>
      <c r="C31" s="79"/>
      <c r="D31" s="79"/>
      <c r="E31" s="79"/>
      <c r="F31" s="79"/>
      <c r="G31" s="79"/>
    </row>
    <row r="32" spans="2:7" ht="60" x14ac:dyDescent="0.25">
      <c r="B32" s="79" t="s">
        <v>120</v>
      </c>
      <c r="C32" s="79"/>
      <c r="D32" s="79"/>
      <c r="E32" s="79"/>
      <c r="F32" s="79"/>
      <c r="G32" s="79"/>
    </row>
    <row r="33" spans="2:7" ht="45" x14ac:dyDescent="0.25">
      <c r="B33" s="79" t="s">
        <v>121</v>
      </c>
      <c r="C33" s="79"/>
      <c r="D33" s="79"/>
      <c r="E33" s="79"/>
      <c r="F33" s="79"/>
      <c r="G33" s="79"/>
    </row>
  </sheetData>
  <mergeCells count="1"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39"/>
  <sheetViews>
    <sheetView zoomScale="125" workbookViewId="0">
      <pane xSplit="3" ySplit="4" topLeftCell="K7" activePane="bottomRight" state="frozen"/>
      <selection pane="topRight" activeCell="B1" sqref="B1"/>
      <selection pane="bottomLeft" activeCell="A3" sqref="A3"/>
      <selection pane="bottomRight" activeCell="C8" sqref="C8"/>
    </sheetView>
  </sheetViews>
  <sheetFormatPr defaultColWidth="11.42578125" defaultRowHeight="15.75" x14ac:dyDescent="0.3"/>
  <cols>
    <col min="1" max="1" width="9.28515625" style="7" customWidth="1"/>
    <col min="2" max="2" width="10.140625" style="7" hidden="1" customWidth="1"/>
    <col min="3" max="3" width="27.42578125" style="8" customWidth="1"/>
    <col min="4" max="4" width="25.42578125" style="8" hidden="1" customWidth="1"/>
    <col min="5" max="5" width="11" style="7" hidden="1" customWidth="1"/>
    <col min="6" max="6" width="15.140625" style="7" hidden="1" customWidth="1"/>
    <col min="7" max="7" width="27.42578125" style="7" hidden="1" customWidth="1"/>
    <col min="8" max="8" width="9.85546875" style="7" hidden="1" customWidth="1"/>
    <col min="9" max="9" width="10.42578125" style="7" hidden="1" customWidth="1"/>
    <col min="10" max="10" width="15.5703125" style="7" hidden="1" customWidth="1"/>
    <col min="11" max="11" width="12.28515625" style="7" customWidth="1"/>
    <col min="12" max="12" width="17.28515625" style="7" customWidth="1"/>
    <col min="13" max="13" width="19.42578125" style="7" customWidth="1"/>
    <col min="14" max="14" width="16.7109375" style="7" customWidth="1"/>
    <col min="15" max="15" width="17.42578125" style="7" customWidth="1"/>
    <col min="16" max="16" width="15" style="9" customWidth="1"/>
    <col min="17" max="17" width="8.42578125" style="9" customWidth="1"/>
    <col min="18" max="18" width="10.28515625" style="9" customWidth="1"/>
    <col min="19" max="19" width="11.85546875" style="9" customWidth="1"/>
    <col min="20" max="20" width="8.42578125" style="9" customWidth="1"/>
    <col min="21" max="21" width="12.7109375" style="9" customWidth="1"/>
    <col min="22" max="23" width="8.42578125" style="9" customWidth="1"/>
    <col min="24" max="24" width="8.42578125" style="7" customWidth="1"/>
    <col min="25" max="33" width="11.42578125" style="7"/>
  </cols>
  <sheetData>
    <row r="1" spans="1:63" x14ac:dyDescent="0.3">
      <c r="N1" s="7">
        <f>42*60</f>
        <v>2520</v>
      </c>
      <c r="P1" s="68" t="s">
        <v>50</v>
      </c>
      <c r="AD1" s="7" t="s">
        <v>60</v>
      </c>
      <c r="AG1" s="7" t="s">
        <v>90</v>
      </c>
      <c r="BF1" t="s">
        <v>50</v>
      </c>
    </row>
    <row r="2" spans="1:63" ht="62.25" customHeight="1" x14ac:dyDescent="0.3">
      <c r="A2" s="10" t="s">
        <v>13</v>
      </c>
      <c r="C2" s="10" t="s">
        <v>0</v>
      </c>
      <c r="D2" s="10"/>
      <c r="E2" s="11" t="s">
        <v>1</v>
      </c>
      <c r="F2" s="11" t="s">
        <v>2</v>
      </c>
      <c r="G2" s="11" t="s">
        <v>3</v>
      </c>
      <c r="H2" s="11" t="s">
        <v>4</v>
      </c>
      <c r="I2" s="11" t="s">
        <v>5</v>
      </c>
      <c r="J2" s="11" t="s">
        <v>6</v>
      </c>
      <c r="K2" s="11" t="s">
        <v>7</v>
      </c>
      <c r="L2" s="11" t="s">
        <v>8</v>
      </c>
      <c r="M2" s="11" t="s">
        <v>9</v>
      </c>
      <c r="N2" s="12"/>
      <c r="O2" s="71"/>
      <c r="P2" s="69">
        <v>43200</v>
      </c>
      <c r="U2" s="4"/>
      <c r="V2" s="43"/>
      <c r="W2" s="43"/>
      <c r="AD2" s="69">
        <v>29250</v>
      </c>
      <c r="AG2" s="69" t="s">
        <v>91</v>
      </c>
      <c r="BF2" s="70">
        <v>86000</v>
      </c>
    </row>
    <row r="3" spans="1:63" ht="37.5" customHeight="1" x14ac:dyDescent="0.3">
      <c r="A3" s="10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2"/>
      <c r="O3" s="71" t="s">
        <v>92</v>
      </c>
      <c r="P3" s="67">
        <v>44270</v>
      </c>
      <c r="Q3" s="67">
        <v>44636</v>
      </c>
      <c r="R3" s="67">
        <v>44272</v>
      </c>
      <c r="S3" s="67">
        <v>44273</v>
      </c>
      <c r="T3" s="67">
        <v>44274</v>
      </c>
      <c r="U3" s="67">
        <v>44275</v>
      </c>
      <c r="V3" s="67">
        <v>44276</v>
      </c>
      <c r="W3" s="67">
        <v>44277</v>
      </c>
      <c r="X3" s="67">
        <v>44278</v>
      </c>
      <c r="Y3" s="14" t="s">
        <v>51</v>
      </c>
      <c r="Z3" s="14" t="s">
        <v>52</v>
      </c>
      <c r="AA3" s="14" t="s">
        <v>53</v>
      </c>
      <c r="AB3" s="14" t="s">
        <v>54</v>
      </c>
      <c r="AC3" s="14" t="s">
        <v>55</v>
      </c>
      <c r="AD3" s="14" t="s">
        <v>56</v>
      </c>
      <c r="AE3" s="14" t="s">
        <v>57</v>
      </c>
      <c r="AF3" s="14" t="s">
        <v>58</v>
      </c>
      <c r="AG3" s="14" t="s">
        <v>59</v>
      </c>
      <c r="AH3" s="14" t="s">
        <v>61</v>
      </c>
      <c r="AI3" s="14" t="s">
        <v>62</v>
      </c>
      <c r="AJ3" s="14" t="s">
        <v>63</v>
      </c>
      <c r="AK3" s="14" t="s">
        <v>64</v>
      </c>
      <c r="AL3" s="14" t="s">
        <v>65</v>
      </c>
      <c r="AM3" s="14" t="s">
        <v>66</v>
      </c>
      <c r="AN3" s="14" t="s">
        <v>67</v>
      </c>
      <c r="AO3" s="14" t="s">
        <v>68</v>
      </c>
      <c r="AP3" s="14" t="s">
        <v>69</v>
      </c>
      <c r="AQ3" s="14" t="s">
        <v>70</v>
      </c>
      <c r="AR3" s="14" t="s">
        <v>71</v>
      </c>
      <c r="AS3" s="14" t="s">
        <v>72</v>
      </c>
      <c r="AT3" s="14" t="s">
        <v>73</v>
      </c>
      <c r="AU3" s="14" t="s">
        <v>74</v>
      </c>
      <c r="AV3" s="14" t="s">
        <v>75</v>
      </c>
      <c r="AW3" s="14" t="s">
        <v>76</v>
      </c>
      <c r="AX3" s="14" t="s">
        <v>77</v>
      </c>
      <c r="AY3" s="14" t="s">
        <v>78</v>
      </c>
      <c r="AZ3" s="14" t="s">
        <v>79</v>
      </c>
      <c r="BA3" s="14" t="s">
        <v>80</v>
      </c>
      <c r="BB3" s="14" t="s">
        <v>81</v>
      </c>
      <c r="BC3" s="14" t="s">
        <v>82</v>
      </c>
      <c r="BD3" s="14" t="s">
        <v>83</v>
      </c>
      <c r="BE3" s="14" t="s">
        <v>84</v>
      </c>
      <c r="BF3" s="14" t="s">
        <v>85</v>
      </c>
      <c r="BG3" s="14" t="s">
        <v>86</v>
      </c>
      <c r="BH3" s="14" t="s">
        <v>87</v>
      </c>
      <c r="BI3" s="14" t="s">
        <v>88</v>
      </c>
      <c r="BJ3" s="14" t="s">
        <v>89</v>
      </c>
      <c r="BK3" s="14"/>
    </row>
    <row r="4" spans="1:63" ht="33" hidden="1" customHeight="1" x14ac:dyDescent="0.3">
      <c r="C4" s="10"/>
      <c r="D4" s="10"/>
      <c r="E4" s="11"/>
      <c r="F4" s="11"/>
      <c r="G4" s="11"/>
      <c r="H4" s="11"/>
      <c r="I4" s="11"/>
      <c r="J4" s="11"/>
      <c r="K4" s="11"/>
      <c r="L4" s="5">
        <v>3716858</v>
      </c>
      <c r="M4" s="6"/>
      <c r="N4" s="15"/>
      <c r="O4" s="72"/>
    </row>
    <row r="5" spans="1:63" ht="45" customHeight="1" x14ac:dyDescent="0.3">
      <c r="A5" s="16" t="s">
        <v>39</v>
      </c>
      <c r="B5" s="16" t="s">
        <v>31</v>
      </c>
      <c r="C5" s="6" t="s">
        <v>30</v>
      </c>
      <c r="D5" s="6"/>
      <c r="E5" s="17">
        <v>79351</v>
      </c>
      <c r="F5" s="6" t="s">
        <v>10</v>
      </c>
      <c r="G5" s="18" t="s">
        <v>41</v>
      </c>
      <c r="H5" s="19">
        <f>E5*0.1</f>
        <v>7935.1</v>
      </c>
      <c r="I5" s="20">
        <f>E5-H5</f>
        <v>71415.899999999994</v>
      </c>
      <c r="J5" s="21">
        <v>0.65</v>
      </c>
      <c r="K5" s="20">
        <f>I5*J5</f>
        <v>46420.334999999999</v>
      </c>
      <c r="L5" s="22">
        <f t="shared" ref="L5:L11" si="0">K5/$L$4</f>
        <v>1.2489133294842041E-2</v>
      </c>
      <c r="M5" s="22">
        <f>L5</f>
        <v>1.2489133294842041E-2</v>
      </c>
      <c r="N5" s="23">
        <f>SUM(P5:BJ5)</f>
        <v>5978</v>
      </c>
      <c r="O5" s="75">
        <v>0.3</v>
      </c>
      <c r="P5" s="24">
        <v>727</v>
      </c>
      <c r="Q5" s="9">
        <v>720</v>
      </c>
      <c r="R5" s="25">
        <v>1312</v>
      </c>
      <c r="S5" s="9">
        <v>819</v>
      </c>
      <c r="T5" s="9">
        <v>800</v>
      </c>
      <c r="U5" s="9">
        <v>800</v>
      </c>
      <c r="V5" s="9">
        <v>800</v>
      </c>
    </row>
    <row r="6" spans="1:63" ht="63.75" customHeight="1" x14ac:dyDescent="0.3">
      <c r="A6" s="16"/>
      <c r="B6" s="16"/>
      <c r="C6" s="6" t="s">
        <v>42</v>
      </c>
      <c r="D6" s="6" t="s">
        <v>20</v>
      </c>
      <c r="E6" s="17">
        <f>2600</f>
        <v>2600</v>
      </c>
      <c r="F6" s="6" t="s">
        <v>26</v>
      </c>
      <c r="G6" s="9"/>
      <c r="H6" s="26" t="s">
        <v>12</v>
      </c>
      <c r="I6" s="26" t="s">
        <v>12</v>
      </c>
      <c r="J6" s="21">
        <v>0.6</v>
      </c>
      <c r="K6" s="20">
        <f>E6*J6</f>
        <v>1560</v>
      </c>
      <c r="L6" s="27">
        <f t="shared" si="0"/>
        <v>4.1970933514274693E-4</v>
      </c>
      <c r="M6" s="22">
        <f t="shared" ref="M6:M10" si="1">M5+L6</f>
        <v>1.2908842629984789E-2</v>
      </c>
      <c r="N6" s="23">
        <f t="shared" ref="N6:N30" si="2">SUM(P6:BJ6)</f>
        <v>1560</v>
      </c>
      <c r="O6" s="75">
        <v>0.2</v>
      </c>
      <c r="P6" s="24">
        <f>K6</f>
        <v>1560</v>
      </c>
      <c r="R6" s="25"/>
    </row>
    <row r="7" spans="1:63" ht="26.1" customHeight="1" x14ac:dyDescent="0.3">
      <c r="A7" s="16"/>
      <c r="B7" s="16"/>
      <c r="C7" s="6" t="s">
        <v>43</v>
      </c>
      <c r="D7" s="6"/>
      <c r="E7" s="17">
        <v>226800</v>
      </c>
      <c r="F7" s="29" t="s">
        <v>11</v>
      </c>
      <c r="G7" s="9"/>
      <c r="H7" s="26" t="s">
        <v>12</v>
      </c>
      <c r="I7" s="26" t="s">
        <v>12</v>
      </c>
      <c r="J7" s="21">
        <v>0.3</v>
      </c>
      <c r="K7" s="20">
        <f>E7*J7</f>
        <v>68040</v>
      </c>
      <c r="L7" s="22">
        <f t="shared" si="0"/>
        <v>1.830578407891827E-2</v>
      </c>
      <c r="M7" s="22">
        <f t="shared" si="1"/>
        <v>3.1214626708903057E-2</v>
      </c>
      <c r="N7" s="23">
        <f t="shared" si="2"/>
        <v>0</v>
      </c>
      <c r="O7" s="75">
        <v>0.25</v>
      </c>
      <c r="Q7" s="24"/>
      <c r="S7" s="25"/>
      <c r="V7" s="20"/>
    </row>
    <row r="8" spans="1:63" ht="54" customHeight="1" x14ac:dyDescent="0.3">
      <c r="A8" s="16"/>
      <c r="B8" s="30" t="s">
        <v>32</v>
      </c>
      <c r="C8" s="6" t="s">
        <v>21</v>
      </c>
      <c r="D8" s="6"/>
      <c r="E8" s="17">
        <v>334900</v>
      </c>
      <c r="F8" s="29" t="s">
        <v>11</v>
      </c>
      <c r="G8" s="6" t="s">
        <v>14</v>
      </c>
      <c r="H8" s="20">
        <f>$I$5*0.08</f>
        <v>5713.2719999999999</v>
      </c>
      <c r="I8" s="20">
        <f>E8-H8</f>
        <v>329186.728</v>
      </c>
      <c r="J8" s="21">
        <v>0.4</v>
      </c>
      <c r="K8" s="20">
        <f>I8*J8</f>
        <v>131674.6912</v>
      </c>
      <c r="L8" s="22">
        <f t="shared" si="0"/>
        <v>3.5426344294024685E-2</v>
      </c>
      <c r="M8" s="22">
        <f t="shared" si="1"/>
        <v>6.6640971002927735E-2</v>
      </c>
      <c r="N8" s="23">
        <f t="shared" si="2"/>
        <v>263349.3824</v>
      </c>
      <c r="O8" s="75">
        <v>0.25</v>
      </c>
      <c r="P8" s="31"/>
      <c r="Q8" s="31"/>
      <c r="R8" s="20"/>
      <c r="S8" s="24">
        <f>K8</f>
        <v>131674.6912</v>
      </c>
      <c r="T8" s="24"/>
      <c r="U8" s="25">
        <f>S8</f>
        <v>131674.6912</v>
      </c>
      <c r="V8" s="13"/>
      <c r="W8" s="32"/>
    </row>
    <row r="9" spans="1:63" ht="78.95" customHeight="1" x14ac:dyDescent="0.3">
      <c r="A9" s="16" t="s">
        <v>40</v>
      </c>
      <c r="B9" s="16"/>
      <c r="C9" s="6" t="s">
        <v>22</v>
      </c>
      <c r="D9" s="6"/>
      <c r="E9" s="17">
        <v>493400</v>
      </c>
      <c r="F9" s="29" t="s">
        <v>11</v>
      </c>
      <c r="G9" s="6" t="s">
        <v>16</v>
      </c>
      <c r="H9" s="20">
        <f>$I$5*0.21</f>
        <v>14997.338999999998</v>
      </c>
      <c r="I9" s="20">
        <f>E9-H9</f>
        <v>478402.66100000002</v>
      </c>
      <c r="J9" s="33">
        <v>0.5</v>
      </c>
      <c r="K9" s="20">
        <f>I9*J9</f>
        <v>239201.33050000001</v>
      </c>
      <c r="L9" s="22">
        <f t="shared" si="0"/>
        <v>6.4355789352189399E-2</v>
      </c>
      <c r="M9" s="22">
        <f t="shared" si="1"/>
        <v>0.13099676035511715</v>
      </c>
      <c r="N9" s="23">
        <f t="shared" si="2"/>
        <v>478402.66100000002</v>
      </c>
      <c r="O9" s="73"/>
      <c r="P9" s="31"/>
      <c r="Q9" s="31"/>
      <c r="R9" s="20"/>
      <c r="S9" s="20"/>
      <c r="T9" s="20"/>
      <c r="U9" s="24">
        <f>K9</f>
        <v>239201.33050000001</v>
      </c>
      <c r="V9" s="24"/>
      <c r="W9" s="25">
        <f>U9</f>
        <v>239201.33050000001</v>
      </c>
      <c r="X9" s="34"/>
    </row>
    <row r="10" spans="1:63" ht="30" customHeight="1" x14ac:dyDescent="0.3">
      <c r="A10" s="16"/>
      <c r="B10" s="16"/>
      <c r="C10" s="6" t="s">
        <v>23</v>
      </c>
      <c r="D10" s="6"/>
      <c r="E10" s="17">
        <v>230000</v>
      </c>
      <c r="F10" s="29" t="s">
        <v>11</v>
      </c>
      <c r="G10" s="6" t="s">
        <v>15</v>
      </c>
      <c r="H10" s="20">
        <f>$I$5*0.1</f>
        <v>7141.59</v>
      </c>
      <c r="I10" s="20">
        <f>E10-H10</f>
        <v>222858.41</v>
      </c>
      <c r="J10" s="33">
        <v>0.6</v>
      </c>
      <c r="K10" s="20">
        <f>I10*J10</f>
        <v>133715.046</v>
      </c>
      <c r="L10" s="22">
        <f t="shared" si="0"/>
        <v>3.5975290420026805E-2</v>
      </c>
      <c r="M10" s="22">
        <f t="shared" si="1"/>
        <v>0.16697205077514396</v>
      </c>
      <c r="N10" s="23">
        <f t="shared" si="2"/>
        <v>267430.092</v>
      </c>
      <c r="O10" s="73"/>
      <c r="R10" s="20"/>
      <c r="S10" s="20"/>
      <c r="Y10" s="24">
        <f>K10</f>
        <v>133715.046</v>
      </c>
      <c r="Z10" s="35"/>
      <c r="AA10" s="36">
        <f>Y10</f>
        <v>133715.046</v>
      </c>
      <c r="AB10" s="34"/>
    </row>
    <row r="11" spans="1:63" s="1" customFormat="1" ht="41.1" customHeight="1" x14ac:dyDescent="0.3">
      <c r="A11" s="16"/>
      <c r="B11" s="16"/>
      <c r="C11" s="37" t="s">
        <v>44</v>
      </c>
      <c r="D11" s="37"/>
      <c r="E11" s="38">
        <v>69500</v>
      </c>
      <c r="F11" s="37" t="s">
        <v>10</v>
      </c>
      <c r="G11" s="37"/>
      <c r="H11" s="39">
        <f>$I$5*0.65*0.013</f>
        <v>603.46435499999995</v>
      </c>
      <c r="I11" s="39">
        <f>E11-H11</f>
        <v>68896.535644999996</v>
      </c>
      <c r="J11" s="40">
        <v>0.6</v>
      </c>
      <c r="K11" s="39">
        <f>I11*J11</f>
        <v>41337.921386999995</v>
      </c>
      <c r="L11" s="41">
        <f t="shared" si="0"/>
        <v>1.1121738142000581E-2</v>
      </c>
      <c r="M11" s="41">
        <f>M10+L11</f>
        <v>0.17809378891714453</v>
      </c>
      <c r="N11" s="23">
        <f t="shared" si="2"/>
        <v>82675.84277399999</v>
      </c>
      <c r="O11" s="73"/>
      <c r="P11" s="42"/>
      <c r="Q11" s="42"/>
      <c r="R11" s="39"/>
      <c r="S11" s="39"/>
      <c r="T11" s="43"/>
      <c r="U11" s="43"/>
      <c r="V11" s="39"/>
      <c r="W11" s="44"/>
      <c r="X11" s="44"/>
      <c r="Y11" s="43"/>
      <c r="Z11" s="44"/>
      <c r="AA11" s="45">
        <f>K11</f>
        <v>41337.921386999995</v>
      </c>
      <c r="AB11" s="35"/>
      <c r="AC11" s="36">
        <f>AA11</f>
        <v>41337.921386999995</v>
      </c>
      <c r="AD11" s="34"/>
      <c r="AE11" s="44"/>
      <c r="AF11" s="44"/>
      <c r="AG11" s="44"/>
    </row>
    <row r="12" spans="1:63" ht="15.95" hidden="1" customHeight="1" x14ac:dyDescent="0.3">
      <c r="A12" s="16"/>
      <c r="B12" s="16"/>
      <c r="C12" s="6"/>
      <c r="D12" s="6"/>
      <c r="E12" s="17"/>
      <c r="F12" s="9"/>
      <c r="G12" s="9"/>
      <c r="H12" s="9"/>
      <c r="I12" s="9"/>
      <c r="J12" s="9"/>
      <c r="K12" s="9"/>
      <c r="L12" s="22"/>
      <c r="M12" s="22"/>
      <c r="N12" s="23">
        <f t="shared" si="2"/>
        <v>0</v>
      </c>
      <c r="O12" s="73"/>
    </row>
    <row r="13" spans="1:63" ht="15.95" hidden="1" customHeight="1" x14ac:dyDescent="0.3">
      <c r="A13" s="16"/>
      <c r="B13" s="16"/>
      <c r="C13" s="46" t="s">
        <v>19</v>
      </c>
      <c r="D13" s="46"/>
      <c r="E13" s="17"/>
      <c r="F13" s="9"/>
      <c r="G13" s="9"/>
      <c r="H13" s="9"/>
      <c r="I13" s="9"/>
      <c r="J13" s="9"/>
      <c r="K13" s="9"/>
      <c r="L13" s="22"/>
      <c r="M13" s="22"/>
      <c r="N13" s="23">
        <f t="shared" si="2"/>
        <v>0</v>
      </c>
      <c r="O13" s="73"/>
    </row>
    <row r="14" spans="1:63" ht="15.95" hidden="1" customHeight="1" x14ac:dyDescent="0.3">
      <c r="A14" s="16"/>
      <c r="B14" s="16"/>
      <c r="C14" s="46" t="s">
        <v>38</v>
      </c>
      <c r="D14" s="46"/>
      <c r="E14" s="17"/>
      <c r="F14" s="9"/>
      <c r="G14" s="9"/>
      <c r="H14" s="9"/>
      <c r="I14" s="9"/>
      <c r="J14" s="9"/>
      <c r="K14" s="9"/>
      <c r="L14" s="22"/>
      <c r="M14" s="22"/>
      <c r="N14" s="23">
        <f t="shared" si="2"/>
        <v>0</v>
      </c>
      <c r="O14" s="73"/>
    </row>
    <row r="15" spans="1:63" ht="48" hidden="1" customHeight="1" x14ac:dyDescent="0.3">
      <c r="A15" s="16"/>
      <c r="B15" s="16"/>
      <c r="C15" s="46" t="s">
        <v>24</v>
      </c>
      <c r="D15" s="46"/>
      <c r="E15" s="17"/>
      <c r="F15" s="9"/>
      <c r="G15" s="9"/>
      <c r="H15" s="9"/>
      <c r="I15" s="9"/>
      <c r="J15" s="9"/>
      <c r="K15" s="9"/>
      <c r="L15" s="22"/>
      <c r="M15" s="22"/>
      <c r="N15" s="23">
        <f t="shared" si="2"/>
        <v>0</v>
      </c>
      <c r="O15" s="73"/>
    </row>
    <row r="16" spans="1:63" ht="15.95" hidden="1" customHeight="1" x14ac:dyDescent="0.3">
      <c r="A16" s="16"/>
      <c r="B16" s="16"/>
      <c r="C16" s="46"/>
      <c r="D16" s="46"/>
      <c r="E16" s="17"/>
      <c r="F16" s="9"/>
      <c r="G16" s="9"/>
      <c r="H16" s="9"/>
      <c r="I16" s="9"/>
      <c r="J16" s="9"/>
      <c r="K16" s="9"/>
      <c r="L16" s="22"/>
      <c r="M16" s="22"/>
      <c r="N16" s="23">
        <f t="shared" si="2"/>
        <v>0</v>
      </c>
      <c r="O16" s="73"/>
    </row>
    <row r="17" spans="1:33" ht="15.95" hidden="1" customHeight="1" x14ac:dyDescent="0.3">
      <c r="A17" s="16"/>
      <c r="B17" s="16"/>
      <c r="C17" s="46"/>
      <c r="D17" s="46"/>
      <c r="E17" s="17"/>
      <c r="F17" s="9"/>
      <c r="G17" s="9"/>
      <c r="H17" s="9"/>
      <c r="I17" s="9"/>
      <c r="J17" s="9"/>
      <c r="K17" s="9"/>
      <c r="L17" s="22"/>
      <c r="M17" s="22"/>
      <c r="N17" s="23">
        <f t="shared" si="2"/>
        <v>0</v>
      </c>
      <c r="O17" s="73"/>
    </row>
    <row r="18" spans="1:33" ht="15.95" hidden="1" customHeight="1" x14ac:dyDescent="0.3">
      <c r="A18" s="16"/>
      <c r="B18" s="16"/>
      <c r="C18" s="46"/>
      <c r="D18" s="46"/>
      <c r="E18" s="17"/>
      <c r="F18" s="9"/>
      <c r="G18" s="9"/>
      <c r="H18" s="9"/>
      <c r="I18" s="9"/>
      <c r="J18" s="9"/>
      <c r="K18" s="9"/>
      <c r="L18" s="22"/>
      <c r="M18" s="22"/>
      <c r="N18" s="23">
        <f t="shared" si="2"/>
        <v>0</v>
      </c>
      <c r="O18" s="73"/>
    </row>
    <row r="19" spans="1:33" ht="15.95" hidden="1" customHeight="1" x14ac:dyDescent="0.3">
      <c r="A19" s="16"/>
      <c r="B19" s="16"/>
      <c r="C19" s="6"/>
      <c r="D19" s="6"/>
      <c r="E19" s="17"/>
      <c r="F19" s="9"/>
      <c r="G19" s="9"/>
      <c r="H19" s="9"/>
      <c r="I19" s="9"/>
      <c r="J19" s="9"/>
      <c r="K19" s="9"/>
      <c r="L19" s="22"/>
      <c r="M19" s="22"/>
      <c r="N19" s="23">
        <f t="shared" si="2"/>
        <v>0</v>
      </c>
      <c r="O19" s="73"/>
    </row>
    <row r="20" spans="1:33" ht="15.95" customHeight="1" x14ac:dyDescent="0.3">
      <c r="A20" s="16"/>
      <c r="B20" s="16"/>
      <c r="C20" s="6"/>
      <c r="D20" s="6"/>
      <c r="E20" s="17"/>
      <c r="F20" s="9"/>
      <c r="G20" s="9"/>
      <c r="H20" s="9"/>
      <c r="I20" s="9"/>
      <c r="J20" s="9"/>
      <c r="K20" s="9"/>
      <c r="L20" s="22"/>
      <c r="M20" s="22"/>
      <c r="N20" s="23">
        <f t="shared" si="2"/>
        <v>0</v>
      </c>
      <c r="O20" s="73"/>
    </row>
    <row r="21" spans="1:33" ht="39" customHeight="1" x14ac:dyDescent="0.3">
      <c r="A21" s="16"/>
      <c r="B21" s="16"/>
      <c r="C21" s="11" t="s">
        <v>28</v>
      </c>
      <c r="D21" s="6"/>
      <c r="E21" s="17"/>
      <c r="F21" s="9"/>
      <c r="G21" s="9"/>
      <c r="H21" s="9"/>
      <c r="I21" s="9"/>
      <c r="J21" s="9"/>
      <c r="K21" s="9"/>
      <c r="L21" s="22"/>
      <c r="M21" s="22"/>
      <c r="N21" s="23">
        <f t="shared" si="2"/>
        <v>0</v>
      </c>
      <c r="O21" s="73"/>
      <c r="R21" s="20"/>
      <c r="S21" s="20"/>
      <c r="T21" s="39"/>
      <c r="U21" s="39"/>
      <c r="W21" s="39"/>
    </row>
    <row r="22" spans="1:33" ht="30" x14ac:dyDescent="0.3">
      <c r="A22" s="16"/>
      <c r="B22" s="16"/>
      <c r="C22" s="6" t="s">
        <v>45</v>
      </c>
      <c r="D22" s="6"/>
      <c r="E22" s="17">
        <v>3000</v>
      </c>
      <c r="F22" s="29"/>
      <c r="G22" s="6"/>
      <c r="H22" s="9" t="s">
        <v>12</v>
      </c>
      <c r="I22" s="9" t="s">
        <v>12</v>
      </c>
      <c r="J22" s="21">
        <v>0.6</v>
      </c>
      <c r="K22" s="20">
        <f t="shared" ref="K22:K29" si="3">E22*J22</f>
        <v>1800</v>
      </c>
      <c r="L22" s="27">
        <f t="shared" ref="L22:L29" si="4">K22/$L$4</f>
        <v>4.8428000208778488E-4</v>
      </c>
      <c r="M22" s="47">
        <f>L22</f>
        <v>4.8428000208778488E-4</v>
      </c>
      <c r="N22" s="23">
        <f t="shared" si="2"/>
        <v>3600</v>
      </c>
      <c r="O22" s="73"/>
      <c r="P22" s="20"/>
      <c r="Q22" s="20"/>
      <c r="V22" s="45">
        <f t="shared" ref="V22:V29" si="5">K22</f>
        <v>1800</v>
      </c>
      <c r="W22" s="7"/>
      <c r="X22" s="36">
        <f>V22</f>
        <v>1800</v>
      </c>
    </row>
    <row r="23" spans="1:33" ht="21.95" customHeight="1" x14ac:dyDescent="0.3">
      <c r="A23" s="16"/>
      <c r="B23" s="16"/>
      <c r="C23" s="6" t="s">
        <v>46</v>
      </c>
      <c r="D23" s="6"/>
      <c r="E23" s="17">
        <v>29000</v>
      </c>
      <c r="F23" s="9"/>
      <c r="G23" s="9"/>
      <c r="H23" s="9" t="s">
        <v>12</v>
      </c>
      <c r="I23" s="9" t="s">
        <v>12</v>
      </c>
      <c r="J23" s="21">
        <v>0.6</v>
      </c>
      <c r="K23" s="20">
        <f t="shared" si="3"/>
        <v>17400</v>
      </c>
      <c r="L23" s="27">
        <f t="shared" si="4"/>
        <v>4.6813733535152544E-3</v>
      </c>
      <c r="M23" s="47">
        <f>M22+L23</f>
        <v>5.1656533556030393E-3</v>
      </c>
      <c r="N23" s="23">
        <f t="shared" si="2"/>
        <v>34800</v>
      </c>
      <c r="O23" s="73"/>
      <c r="P23" s="48"/>
      <c r="Q23" s="48"/>
      <c r="V23" s="45">
        <f t="shared" si="5"/>
        <v>17400</v>
      </c>
      <c r="W23" s="7"/>
      <c r="X23" s="36">
        <f t="shared" ref="X23:X29" si="6">V23</f>
        <v>17400</v>
      </c>
    </row>
    <row r="24" spans="1:33" x14ac:dyDescent="0.3">
      <c r="A24" s="16"/>
      <c r="B24" s="16"/>
      <c r="C24" s="6" t="s">
        <v>18</v>
      </c>
      <c r="D24" s="6"/>
      <c r="E24" s="17">
        <v>11000</v>
      </c>
      <c r="F24" s="9"/>
      <c r="G24" s="9"/>
      <c r="H24" s="9" t="s">
        <v>12</v>
      </c>
      <c r="I24" s="9" t="s">
        <v>12</v>
      </c>
      <c r="J24" s="21">
        <v>0.6</v>
      </c>
      <c r="K24" s="20">
        <f t="shared" ref="K24" si="7">E24*J24</f>
        <v>6600</v>
      </c>
      <c r="L24" s="27">
        <f t="shared" si="4"/>
        <v>1.7756933409885445E-3</v>
      </c>
      <c r="M24" s="47">
        <f t="shared" ref="M24:M26" si="8">M23+L24</f>
        <v>6.941346696591584E-3</v>
      </c>
      <c r="N24" s="23">
        <f t="shared" si="2"/>
        <v>13200</v>
      </c>
      <c r="O24" s="73"/>
      <c r="P24" s="20"/>
      <c r="Q24" s="20"/>
      <c r="V24" s="45">
        <f t="shared" si="5"/>
        <v>6600</v>
      </c>
      <c r="W24" s="7"/>
      <c r="X24" s="36">
        <f t="shared" si="6"/>
        <v>6600</v>
      </c>
    </row>
    <row r="25" spans="1:33" ht="60" x14ac:dyDescent="0.3">
      <c r="A25" s="16"/>
      <c r="B25" s="16"/>
      <c r="C25" s="6" t="s">
        <v>17</v>
      </c>
      <c r="D25" s="6"/>
      <c r="E25" s="17">
        <v>30860</v>
      </c>
      <c r="F25" s="9"/>
      <c r="G25" s="9"/>
      <c r="H25" s="9" t="s">
        <v>12</v>
      </c>
      <c r="I25" s="9" t="s">
        <v>12</v>
      </c>
      <c r="J25" s="21">
        <v>0.6</v>
      </c>
      <c r="K25" s="20">
        <f t="shared" si="3"/>
        <v>18516</v>
      </c>
      <c r="L25" s="27">
        <f t="shared" si="4"/>
        <v>4.9816269548096804E-3</v>
      </c>
      <c r="M25" s="47">
        <f t="shared" si="8"/>
        <v>1.1922973651401264E-2</v>
      </c>
      <c r="N25" s="23">
        <f t="shared" si="2"/>
        <v>37032</v>
      </c>
      <c r="O25" s="73"/>
      <c r="V25" s="45">
        <f t="shared" si="5"/>
        <v>18516</v>
      </c>
      <c r="W25" s="7"/>
      <c r="X25" s="36">
        <f t="shared" si="6"/>
        <v>18516</v>
      </c>
    </row>
    <row r="26" spans="1:33" ht="30" x14ac:dyDescent="0.3">
      <c r="A26" s="16"/>
      <c r="B26" s="16"/>
      <c r="C26" s="6" t="s">
        <v>47</v>
      </c>
      <c r="D26" s="6"/>
      <c r="E26" s="17">
        <v>4000</v>
      </c>
      <c r="F26" s="9"/>
      <c r="G26" s="9"/>
      <c r="H26" s="9" t="s">
        <v>12</v>
      </c>
      <c r="I26" s="9" t="s">
        <v>12</v>
      </c>
      <c r="J26" s="21">
        <v>0.6</v>
      </c>
      <c r="K26" s="20">
        <f t="shared" si="3"/>
        <v>2400</v>
      </c>
      <c r="L26" s="27">
        <f t="shared" si="4"/>
        <v>6.4570666945037991E-4</v>
      </c>
      <c r="M26" s="47">
        <f t="shared" si="8"/>
        <v>1.2568680320851644E-2</v>
      </c>
      <c r="N26" s="23">
        <f t="shared" si="2"/>
        <v>4800</v>
      </c>
      <c r="O26" s="73"/>
      <c r="P26" s="20"/>
      <c r="Q26" s="20"/>
      <c r="V26" s="45">
        <f t="shared" si="5"/>
        <v>2400</v>
      </c>
      <c r="W26" s="7"/>
      <c r="X26" s="36">
        <f t="shared" si="6"/>
        <v>2400</v>
      </c>
    </row>
    <row r="27" spans="1:33" ht="30" x14ac:dyDescent="0.3">
      <c r="A27" s="16"/>
      <c r="B27" s="16"/>
      <c r="C27" s="6" t="s">
        <v>33</v>
      </c>
      <c r="D27" s="6"/>
      <c r="E27" s="17">
        <v>2000</v>
      </c>
      <c r="F27" s="9"/>
      <c r="G27" s="9"/>
      <c r="H27" s="9" t="s">
        <v>12</v>
      </c>
      <c r="I27" s="9" t="s">
        <v>12</v>
      </c>
      <c r="J27" s="21">
        <v>0.6</v>
      </c>
      <c r="K27" s="20">
        <f t="shared" ref="K27" si="9">E27*J27</f>
        <v>1200</v>
      </c>
      <c r="L27" s="27">
        <f t="shared" ref="L27" si="10">K27/$L$4</f>
        <v>3.2285333472518996E-4</v>
      </c>
      <c r="M27" s="47">
        <f t="shared" ref="M27" si="11">M26+L27</f>
        <v>1.2891533655576834E-2</v>
      </c>
      <c r="N27" s="23">
        <f t="shared" si="2"/>
        <v>2400</v>
      </c>
      <c r="O27" s="73"/>
      <c r="P27" s="48"/>
      <c r="Q27" s="48"/>
      <c r="R27" s="32"/>
      <c r="S27" s="32"/>
      <c r="V27" s="45">
        <f t="shared" si="5"/>
        <v>1200</v>
      </c>
      <c r="W27" s="7"/>
      <c r="X27" s="36">
        <f t="shared" si="6"/>
        <v>1200</v>
      </c>
    </row>
    <row r="28" spans="1:33" x14ac:dyDescent="0.3">
      <c r="A28" s="16"/>
      <c r="B28" s="16"/>
      <c r="C28" s="6" t="s">
        <v>27</v>
      </c>
      <c r="D28" s="6"/>
      <c r="E28" s="17">
        <v>9575</v>
      </c>
      <c r="F28" s="29" t="s">
        <v>11</v>
      </c>
      <c r="G28" s="9"/>
      <c r="H28" s="9" t="s">
        <v>12</v>
      </c>
      <c r="I28" s="9" t="s">
        <v>12</v>
      </c>
      <c r="J28" s="21">
        <v>0.6</v>
      </c>
      <c r="K28" s="20">
        <f t="shared" si="3"/>
        <v>5745</v>
      </c>
      <c r="L28" s="27">
        <f t="shared" si="4"/>
        <v>1.5456603399968468E-3</v>
      </c>
      <c r="M28" s="47">
        <f>M27+L28</f>
        <v>1.4437193995573682E-2</v>
      </c>
      <c r="N28" s="23">
        <f t="shared" si="2"/>
        <v>11490</v>
      </c>
      <c r="O28" s="73"/>
      <c r="V28" s="45">
        <f t="shared" si="5"/>
        <v>5745</v>
      </c>
      <c r="W28" s="7"/>
      <c r="X28" s="36">
        <f t="shared" si="6"/>
        <v>5745</v>
      </c>
    </row>
    <row r="29" spans="1:33" x14ac:dyDescent="0.3">
      <c r="A29" s="16"/>
      <c r="B29" s="16"/>
      <c r="C29" s="6" t="s">
        <v>48</v>
      </c>
      <c r="D29" s="6"/>
      <c r="E29" s="17">
        <v>1000</v>
      </c>
      <c r="F29" s="9"/>
      <c r="G29" s="9"/>
      <c r="H29" s="9" t="s">
        <v>12</v>
      </c>
      <c r="I29" s="9" t="s">
        <v>12</v>
      </c>
      <c r="J29" s="21">
        <v>0.6</v>
      </c>
      <c r="K29" s="20">
        <f t="shared" si="3"/>
        <v>600</v>
      </c>
      <c r="L29" s="27">
        <f t="shared" si="4"/>
        <v>1.6142666736259498E-4</v>
      </c>
      <c r="M29" s="47">
        <f>M28+L29</f>
        <v>1.4598620662936277E-2</v>
      </c>
      <c r="N29" s="23">
        <f t="shared" si="2"/>
        <v>1200</v>
      </c>
      <c r="O29" s="73"/>
      <c r="V29" s="45">
        <f t="shared" si="5"/>
        <v>600</v>
      </c>
      <c r="W29" s="7"/>
      <c r="X29" s="36">
        <f t="shared" si="6"/>
        <v>600</v>
      </c>
    </row>
    <row r="30" spans="1:33" ht="27.95" customHeight="1" x14ac:dyDescent="0.3">
      <c r="A30" s="16"/>
      <c r="B30" s="16"/>
      <c r="C30" s="6"/>
      <c r="D30" s="6"/>
      <c r="E30" s="17"/>
      <c r="F30" s="9"/>
      <c r="G30" s="9"/>
      <c r="H30" s="9"/>
      <c r="I30" s="9"/>
      <c r="J30" s="21"/>
      <c r="K30" s="20">
        <f>SUM(K5:K29)</f>
        <v>716210.32408699999</v>
      </c>
      <c r="L30" s="27"/>
      <c r="M30" s="49">
        <f>M11+M29</f>
        <v>0.1926924095800808</v>
      </c>
      <c r="N30" s="23">
        <f t="shared" si="2"/>
        <v>1165632.0897573335</v>
      </c>
      <c r="O30" s="73"/>
      <c r="P30" s="20">
        <f>SUM(P5:P29)</f>
        <v>2287</v>
      </c>
      <c r="Q30" s="20">
        <f>SUM(Q5:Q29)</f>
        <v>720</v>
      </c>
      <c r="R30" s="20">
        <f>SUM(R5:R29)</f>
        <v>1312</v>
      </c>
      <c r="S30" s="20">
        <f>S7+S8/2</f>
        <v>65837.345600000001</v>
      </c>
      <c r="T30" s="20">
        <f>S8/2</f>
        <v>65837.345600000001</v>
      </c>
      <c r="U30" s="20">
        <f>U8/2+U9/2</f>
        <v>185438.01085000002</v>
      </c>
      <c r="V30" s="20">
        <f>(U8/2+U9/2)+SUM(V5:V29)</f>
        <v>240499.01085000002</v>
      </c>
      <c r="W30" s="20">
        <f>SUM(W5:W29)/3</f>
        <v>79733.776833333337</v>
      </c>
      <c r="X30" s="20">
        <f>(W9/2)+SUM(X5:X29)</f>
        <v>173861.66525000002</v>
      </c>
      <c r="Y30" s="20">
        <f>Y10/2</f>
        <v>66857.523000000001</v>
      </c>
      <c r="Z30" s="20">
        <f>Y10/2</f>
        <v>66857.523000000001</v>
      </c>
      <c r="AA30" s="20">
        <f>SUM(AA5:AA29)/2</f>
        <v>87526.483693499991</v>
      </c>
      <c r="AB30" s="20">
        <f>(AA10+AA11)/2</f>
        <v>87526.483693499991</v>
      </c>
      <c r="AC30" s="20">
        <f>SUM(AC5:AC29)</f>
        <v>41337.921386999995</v>
      </c>
    </row>
    <row r="31" spans="1:33" ht="119.1" customHeight="1" x14ac:dyDescent="0.3">
      <c r="A31" s="16" t="s">
        <v>29</v>
      </c>
      <c r="B31" s="16"/>
      <c r="C31" s="11" t="s">
        <v>25</v>
      </c>
      <c r="D31" s="6"/>
      <c r="E31" s="17"/>
      <c r="F31" s="9"/>
      <c r="G31" s="9"/>
      <c r="H31" s="9"/>
      <c r="I31" s="9"/>
      <c r="J31" s="9"/>
      <c r="K31" s="20"/>
      <c r="L31" s="22"/>
      <c r="M31" s="22"/>
      <c r="N31" s="50" t="s">
        <v>37</v>
      </c>
      <c r="O31" s="74"/>
      <c r="Q31" s="20">
        <f>P30+Q30</f>
        <v>3007</v>
      </c>
      <c r="S31" s="20">
        <f>R30+S30</f>
        <v>67149.345600000001</v>
      </c>
      <c r="U31" s="20">
        <f>T30+U30</f>
        <v>251275.35645000002</v>
      </c>
      <c r="W31" s="20">
        <f>V30+W30</f>
        <v>320232.78768333339</v>
      </c>
      <c r="Y31" s="20">
        <f>X30+Y30</f>
        <v>240719.18825000001</v>
      </c>
      <c r="AA31" s="20">
        <f>Z30+AA30</f>
        <v>154384.00669349998</v>
      </c>
      <c r="AC31" s="20">
        <f>AB30+AC30</f>
        <v>128864.40508049999</v>
      </c>
    </row>
    <row r="32" spans="1:33" ht="45" customHeight="1" x14ac:dyDescent="0.3">
      <c r="A32" s="30"/>
      <c r="B32" s="30"/>
      <c r="C32" s="11"/>
      <c r="D32" s="6"/>
      <c r="E32" s="17"/>
      <c r="F32" s="9"/>
      <c r="G32" s="9"/>
      <c r="H32" s="9"/>
      <c r="I32" s="9"/>
      <c r="J32" s="9"/>
      <c r="K32" s="20"/>
      <c r="L32" s="22"/>
      <c r="M32" s="22"/>
      <c r="N32" s="51" t="s">
        <v>34</v>
      </c>
      <c r="O32" s="51"/>
      <c r="P32" s="52"/>
      <c r="Q32" s="53"/>
      <c r="R32" s="54">
        <f>R5+R6</f>
        <v>1312</v>
      </c>
      <c r="S32" s="53">
        <f>S7</f>
        <v>0</v>
      </c>
      <c r="T32" s="52"/>
      <c r="U32" s="55">
        <f>U8</f>
        <v>131674.6912</v>
      </c>
      <c r="V32" s="52"/>
      <c r="W32" s="53">
        <f>W9</f>
        <v>239201.33050000001</v>
      </c>
      <c r="X32" s="54">
        <f>SUM(X22:X29)</f>
        <v>54261</v>
      </c>
      <c r="Y32" s="53"/>
      <c r="Z32" s="56"/>
      <c r="AA32" s="53">
        <f>AA10</f>
        <v>133715.046</v>
      </c>
      <c r="AB32" s="56"/>
      <c r="AC32" s="53">
        <f>AC11</f>
        <v>41337.921386999995</v>
      </c>
      <c r="AD32" s="56"/>
      <c r="AE32" s="57"/>
      <c r="AF32" s="56"/>
      <c r="AG32" s="57"/>
    </row>
    <row r="33" spans="1:33" x14ac:dyDescent="0.3">
      <c r="A33" s="30"/>
      <c r="C33" s="6"/>
      <c r="D33" s="6"/>
      <c r="E33" s="17"/>
      <c r="F33" s="9"/>
      <c r="G33" s="9"/>
      <c r="H33" s="9"/>
      <c r="I33" s="9"/>
      <c r="J33" s="9"/>
      <c r="K33" s="9"/>
      <c r="L33" s="22"/>
      <c r="M33" s="22"/>
      <c r="N33" s="28" t="s">
        <v>35</v>
      </c>
      <c r="O33" s="28"/>
      <c r="P33" s="58"/>
      <c r="Q33" s="59"/>
      <c r="R33" s="60">
        <f t="shared" ref="R33:AG33" si="12">R32/$L$4</f>
        <v>3.529863126328743E-4</v>
      </c>
      <c r="S33" s="59">
        <f t="shared" si="12"/>
        <v>0</v>
      </c>
      <c r="T33" s="60">
        <f t="shared" si="12"/>
        <v>0</v>
      </c>
      <c r="U33" s="61">
        <f t="shared" si="12"/>
        <v>3.5426344294024685E-2</v>
      </c>
      <c r="V33" s="60">
        <f t="shared" si="12"/>
        <v>0</v>
      </c>
      <c r="W33" s="59">
        <f t="shared" si="12"/>
        <v>6.4355789352189399E-2</v>
      </c>
      <c r="X33" s="60">
        <f t="shared" si="12"/>
        <v>1.4598620662936275E-2</v>
      </c>
      <c r="Y33" s="59">
        <f t="shared" si="12"/>
        <v>0</v>
      </c>
      <c r="Z33" s="60">
        <f t="shared" si="12"/>
        <v>0</v>
      </c>
      <c r="AA33" s="59">
        <f t="shared" si="12"/>
        <v>3.5975290420026805E-2</v>
      </c>
      <c r="AB33" s="60">
        <f t="shared" si="12"/>
        <v>0</v>
      </c>
      <c r="AC33" s="59">
        <f t="shared" si="12"/>
        <v>1.1121738142000581E-2</v>
      </c>
      <c r="AD33" s="60">
        <f t="shared" si="12"/>
        <v>0</v>
      </c>
      <c r="AE33" s="59">
        <f t="shared" si="12"/>
        <v>0</v>
      </c>
      <c r="AF33" s="60">
        <f t="shared" si="12"/>
        <v>0</v>
      </c>
      <c r="AG33" s="59">
        <f t="shared" si="12"/>
        <v>0</v>
      </c>
    </row>
    <row r="34" spans="1:33" x14ac:dyDescent="0.3">
      <c r="A34" s="30"/>
      <c r="C34" s="6"/>
      <c r="D34" s="6"/>
      <c r="E34" s="17"/>
      <c r="F34" s="9"/>
      <c r="G34" s="9"/>
      <c r="H34" s="9"/>
      <c r="I34" s="9"/>
      <c r="J34" s="9"/>
      <c r="K34" s="9"/>
      <c r="L34" s="22"/>
      <c r="M34" s="22"/>
      <c r="N34" s="28" t="s">
        <v>36</v>
      </c>
      <c r="O34" s="28"/>
      <c r="P34" s="62"/>
      <c r="Q34" s="63"/>
      <c r="R34" s="62">
        <f>R33</f>
        <v>3.529863126328743E-4</v>
      </c>
      <c r="S34" s="63">
        <f>R34+S33</f>
        <v>3.529863126328743E-4</v>
      </c>
      <c r="T34" s="62">
        <f t="shared" ref="T34:AG34" si="13">S34+T33</f>
        <v>3.529863126328743E-4</v>
      </c>
      <c r="U34" s="64">
        <f t="shared" si="13"/>
        <v>3.5779330606657563E-2</v>
      </c>
      <c r="V34" s="62">
        <f t="shared" si="13"/>
        <v>3.5779330606657563E-2</v>
      </c>
      <c r="W34" s="63">
        <f t="shared" si="13"/>
        <v>0.10013511995884697</v>
      </c>
      <c r="X34" s="62">
        <f t="shared" si="13"/>
        <v>0.11473374062178324</v>
      </c>
      <c r="Y34" s="63">
        <f t="shared" si="13"/>
        <v>0.11473374062178324</v>
      </c>
      <c r="Z34" s="62">
        <f t="shared" si="13"/>
        <v>0.11473374062178324</v>
      </c>
      <c r="AA34" s="63">
        <f t="shared" si="13"/>
        <v>0.15070903104181005</v>
      </c>
      <c r="AB34" s="62">
        <f t="shared" si="13"/>
        <v>0.15070903104181005</v>
      </c>
      <c r="AC34" s="63">
        <f t="shared" si="13"/>
        <v>0.16183076918381062</v>
      </c>
      <c r="AD34" s="62">
        <f t="shared" si="13"/>
        <v>0.16183076918381062</v>
      </c>
      <c r="AE34" s="63">
        <f t="shared" si="13"/>
        <v>0.16183076918381062</v>
      </c>
      <c r="AF34" s="62">
        <f t="shared" si="13"/>
        <v>0.16183076918381062</v>
      </c>
      <c r="AG34" s="63">
        <f t="shared" si="13"/>
        <v>0.16183076918381062</v>
      </c>
    </row>
    <row r="35" spans="1:33" x14ac:dyDescent="0.3">
      <c r="A35" s="6"/>
      <c r="C35" s="9"/>
      <c r="D35" s="9"/>
      <c r="E35" s="9"/>
      <c r="F35" s="9"/>
      <c r="G35" s="9"/>
      <c r="H35" s="9"/>
      <c r="I35" s="9"/>
      <c r="J35" s="9"/>
      <c r="K35" s="9"/>
      <c r="L35" s="22"/>
      <c r="M35" s="22"/>
    </row>
    <row r="36" spans="1:33" x14ac:dyDescent="0.3">
      <c r="A36" s="6"/>
      <c r="C36" s="9"/>
      <c r="D36" s="9"/>
      <c r="E36" s="9"/>
      <c r="F36" s="9"/>
      <c r="G36" s="9"/>
      <c r="H36" s="9"/>
      <c r="I36" s="9"/>
      <c r="J36" s="9"/>
      <c r="K36" s="9"/>
      <c r="L36" s="22"/>
      <c r="M36" s="22"/>
    </row>
    <row r="37" spans="1:33" x14ac:dyDescent="0.3">
      <c r="A37" s="6"/>
      <c r="C37" s="9"/>
      <c r="D37" s="9"/>
      <c r="E37" s="9"/>
      <c r="F37" s="9"/>
      <c r="G37" s="9"/>
      <c r="H37" s="9"/>
      <c r="I37" s="9"/>
      <c r="J37" s="9"/>
      <c r="K37" s="9"/>
      <c r="L37" s="22"/>
      <c r="M37" s="22"/>
    </row>
    <row r="38" spans="1:33" ht="409.5" x14ac:dyDescent="0.3">
      <c r="C38" s="65" t="s">
        <v>49</v>
      </c>
      <c r="D38" s="65"/>
      <c r="E38" s="66"/>
      <c r="F38" s="66"/>
      <c r="G38" s="66"/>
      <c r="H38" s="66"/>
      <c r="I38" s="66"/>
      <c r="J38" s="66"/>
      <c r="K38" s="66"/>
      <c r="L38" s="22"/>
      <c r="M38" s="22"/>
    </row>
    <row r="39" spans="1:33" x14ac:dyDescent="0.3">
      <c r="C39" s="66"/>
      <c r="D39" s="66"/>
      <c r="E39" s="66"/>
      <c r="F39" s="66"/>
      <c r="G39" s="66"/>
      <c r="H39" s="66"/>
      <c r="I39" s="66"/>
      <c r="J39" s="66"/>
      <c r="K39" s="66"/>
      <c r="L39" s="66"/>
    </row>
  </sheetData>
  <mergeCells count="4">
    <mergeCell ref="A5:A8"/>
    <mergeCell ref="B5:B7"/>
    <mergeCell ref="A31:B31"/>
    <mergeCell ref="A9:B30"/>
  </mergeCells>
  <hyperlinks>
    <hyperlink ref="F7" r:id="rId1"/>
    <hyperlink ref="F9" r:id="rId2"/>
    <hyperlink ref="F10" r:id="rId3"/>
    <hyperlink ref="F8" r:id="rId4"/>
    <hyperlink ref="F28" r:id="rId5"/>
  </hyperlinks>
  <pageMargins left="0.7" right="0.7" top="0.75" bottom="0.75" header="0.3" footer="0.3"/>
  <pageSetup orientation="portrait"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-მარტი აპრილი-გეგმა</vt:lpstr>
      <vt:lpstr>საერთო გეგმა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Ivdity Chikovani</dc:creator>
  <cp:lastModifiedBy>Tamar Gabunia</cp:lastModifiedBy>
  <dcterms:created xsi:type="dcterms:W3CDTF">2020-12-08T07:46:06Z</dcterms:created>
  <dcterms:modified xsi:type="dcterms:W3CDTF">2021-03-20T16:12:32Z</dcterms:modified>
</cp:coreProperties>
</file>