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Sheet1!$A$1:$D$67</definedName>
    <definedName name="_xlnm.Print_Titles" localSheetId="0">Sheet1!$2:$2</definedName>
  </definedNames>
  <calcPr calcId="152511"/>
</workbook>
</file>

<file path=xl/calcChain.xml><?xml version="1.0" encoding="utf-8"?>
<calcChain xmlns="http://schemas.openxmlformats.org/spreadsheetml/2006/main">
  <c r="H30" i="1" l="1"/>
  <c r="H18" i="1"/>
  <c r="F29" i="1" l="1"/>
  <c r="F28" i="1"/>
  <c r="F27" i="1"/>
  <c r="F26" i="1"/>
  <c r="F25" i="1"/>
  <c r="F24" i="1"/>
  <c r="F23" i="1"/>
  <c r="F22" i="1"/>
  <c r="F21" i="1"/>
  <c r="F20" i="1"/>
  <c r="F19" i="1"/>
  <c r="F18" i="1"/>
  <c r="F8" i="1" l="1"/>
  <c r="F11" i="1"/>
  <c r="F10" i="1"/>
  <c r="F9" i="1"/>
  <c r="F30" i="1"/>
  <c r="F7" i="1"/>
  <c r="F6" i="1"/>
  <c r="F16" i="1"/>
  <c r="F31" i="1" l="1"/>
  <c r="B61" i="1"/>
  <c r="B30" i="1" l="1"/>
  <c r="B33" i="1" l="1"/>
  <c r="B34" i="1"/>
  <c r="B49" i="1"/>
  <c r="B50" i="1"/>
  <c r="B51" i="1"/>
  <c r="B52" i="1"/>
  <c r="B53" i="1"/>
  <c r="B54" i="1"/>
  <c r="B55" i="1"/>
  <c r="B56" i="1"/>
  <c r="B57" i="1"/>
  <c r="B63" i="1"/>
  <c r="F14" i="1"/>
  <c r="D47" i="1" l="1"/>
  <c r="B47" i="1" s="1"/>
  <c r="D46" i="1"/>
  <c r="B46" i="1" s="1"/>
  <c r="D45" i="1"/>
  <c r="B45" i="1" s="1"/>
  <c r="D44" i="1"/>
  <c r="B44" i="1" s="1"/>
  <c r="D43" i="1"/>
  <c r="B43" i="1" s="1"/>
  <c r="D42" i="1"/>
  <c r="B42" i="1" s="1"/>
  <c r="D41" i="1"/>
  <c r="B41" i="1" s="1"/>
  <c r="D40" i="1"/>
  <c r="B40" i="1" s="1"/>
  <c r="D39" i="1"/>
  <c r="B39" i="1" s="1"/>
  <c r="D38" i="1"/>
  <c r="B38" i="1" s="1"/>
  <c r="D37" i="1"/>
  <c r="B37" i="1" s="1"/>
  <c r="D36" i="1"/>
  <c r="B36" i="1" s="1"/>
  <c r="D35" i="1"/>
  <c r="B35" i="1" s="1"/>
  <c r="D31" i="1"/>
  <c r="D29" i="1"/>
  <c r="B29" i="1" s="1"/>
  <c r="D28" i="1"/>
  <c r="B28" i="1" s="1"/>
  <c r="D27" i="1"/>
  <c r="B27" i="1" s="1"/>
  <c r="D26" i="1"/>
  <c r="B26" i="1" s="1"/>
  <c r="D25" i="1"/>
  <c r="B25" i="1" s="1"/>
  <c r="D24" i="1"/>
  <c r="B24" i="1" s="1"/>
  <c r="D23" i="1"/>
  <c r="B23" i="1" s="1"/>
  <c r="D22" i="1"/>
  <c r="B22" i="1" s="1"/>
  <c r="D21" i="1"/>
  <c r="B21" i="1" s="1"/>
  <c r="D20" i="1"/>
  <c r="B20" i="1" s="1"/>
  <c r="D19" i="1"/>
  <c r="B19" i="1" s="1"/>
  <c r="D18" i="1"/>
  <c r="B18" i="1" s="1"/>
  <c r="D15" i="1"/>
  <c r="B15" i="1" s="1"/>
  <c r="D11" i="1"/>
  <c r="B11" i="1" s="1"/>
  <c r="D10" i="1"/>
  <c r="B10" i="1" s="1"/>
  <c r="D9" i="1"/>
  <c r="B9" i="1" s="1"/>
  <c r="D8" i="1"/>
  <c r="B8" i="1" s="1"/>
  <c r="D7" i="1"/>
  <c r="B7" i="1" s="1"/>
  <c r="B31" i="1" l="1"/>
  <c r="H31" i="1"/>
  <c r="E16" i="1"/>
  <c r="D16" i="1" s="1"/>
  <c r="B16" i="1" s="1"/>
  <c r="E14" i="1"/>
  <c r="D14" i="1" s="1"/>
  <c r="B14" i="1" s="1"/>
  <c r="E12" i="1"/>
  <c r="D12" i="1" s="1"/>
  <c r="E6" i="1"/>
  <c r="D6" i="1" s="1"/>
  <c r="B6" i="1" l="1"/>
  <c r="H6" i="1"/>
  <c r="B12" i="1"/>
  <c r="H12" i="1"/>
  <c r="H2" i="1" l="1"/>
  <c r="B67" i="1"/>
</calcChain>
</file>

<file path=xl/sharedStrings.xml><?xml version="1.0" encoding="utf-8"?>
<sst xmlns="http://schemas.openxmlformats.org/spreadsheetml/2006/main" count="71" uniqueCount="71">
  <si>
    <t>შეფასებული ფინანსური საჭიროება</t>
  </si>
  <si>
    <t>განმარტება (რაოდენობები და პროგნოზები)</t>
  </si>
  <si>
    <r>
      <t>1.</t>
    </r>
    <r>
      <rPr>
        <b/>
        <sz val="7"/>
        <color rgb="FF212121"/>
        <rFont val="Times New Roman"/>
        <family val="1"/>
      </rPr>
      <t>    </t>
    </r>
    <r>
      <rPr>
        <b/>
        <sz val="11"/>
        <color rgb="FF212121"/>
        <rFont val="Sylfaen"/>
        <family val="1"/>
      </rPr>
      <t>ტესტირება</t>
    </r>
  </si>
  <si>
    <t>1.a. ტესტები</t>
  </si>
  <si>
    <t>1.b. სახარჯი მასალები</t>
  </si>
  <si>
    <r>
      <t>2.</t>
    </r>
    <r>
      <rPr>
        <b/>
        <sz val="7"/>
        <color rgb="FF212121"/>
        <rFont val="Times New Roman"/>
        <family val="1"/>
      </rPr>
      <t>    </t>
    </r>
    <r>
      <rPr>
        <b/>
        <sz val="11"/>
        <color rgb="FF212121"/>
        <rFont val="Sylfaen"/>
        <family val="1"/>
      </rPr>
      <t>პირადი დაცვის საშუალებები</t>
    </r>
  </si>
  <si>
    <t>ტესტირების სერვისი</t>
  </si>
  <si>
    <t>ლოჯისტიკა და მომარაგების ცივი ჯაჭვი</t>
  </si>
  <si>
    <t>TaqPath™ COVID-19 CE-IVD RT-PCR Kit, 1000 tests</t>
  </si>
  <si>
    <t>Thermo</t>
  </si>
  <si>
    <t>MagMAX™ Viral/Pathogen II (MVP II) Nucleic Acid Isolation Kit, 2,000 preps</t>
  </si>
  <si>
    <t xml:space="preserve">KingFisher Deepwell 96 Plate, V-bottom, polypropylene, case of 50 plates </t>
  </si>
  <si>
    <t>KingFisher 96 KF microplate (200μL) case of 48 plates</t>
  </si>
  <si>
    <t>KingFisher 96 tip comb for DW magnets, 10 x 10 pcs/box</t>
  </si>
  <si>
    <t>Thermo Scientific™ Matrix™ 850-1250ul Pipette Filter Tips (960 per case)</t>
  </si>
  <si>
    <t>Sansure Biotech INC kit 1*48 test</t>
  </si>
  <si>
    <t>ერთეულის ფასი</t>
  </si>
  <si>
    <t>extraction kits, consumables</t>
  </si>
  <si>
    <t>QIAamp Viral RNA Mini Kit 1*250</t>
  </si>
  <si>
    <t>QIAamp Mini Collection Tubes</t>
  </si>
  <si>
    <t xml:space="preserve">VIRAL RNA / DNA KIT, 100 preps, E3592-02, Roboklon </t>
  </si>
  <si>
    <t>KIT COBAS 6800/8800 SARS-COV-2 192T</t>
  </si>
  <si>
    <t>KIT COBAS 6800/8800 SARS-COV-2 RMC</t>
  </si>
  <si>
    <t>KIT COBAS 6800/8800 BUFF NEG RMC IVD</t>
  </si>
  <si>
    <t>Solid Waste Bag With Insert Set of 20</t>
  </si>
  <si>
    <t>cobas omni  Processing Plate</t>
  </si>
  <si>
    <t>KIT COBAS 6800/8800 SPEC DIL REAGENT IVD</t>
  </si>
  <si>
    <t>KIT COBAS 6800/8800 LYS REAGENT IVD</t>
  </si>
  <si>
    <t>cobas omni  Amplification Plate</t>
  </si>
  <si>
    <t>KIT COBAS 6800/8800 MGP IVD</t>
  </si>
  <si>
    <t>KIT COBAS 6800/8800 WASH IVD</t>
  </si>
  <si>
    <t>KIT COBAS PCR MEDIA SECONDARY TUBE</t>
  </si>
  <si>
    <t>cobas omni  Pipette Tips</t>
  </si>
  <si>
    <t>Roche</t>
  </si>
  <si>
    <t>Molecular grade Ethanol, 500 ml bottle</t>
  </si>
  <si>
    <t>RT-PCR Grade Water</t>
  </si>
  <si>
    <t>96 ფოსოიანი პჯრ პლანშეტი</t>
  </si>
  <si>
    <t>96 ფოსოიანი პჯრ პლანშეტის გადასაკრავი ფირი</t>
  </si>
  <si>
    <t>96 ფოსოიანი პლანშეტის გადასაკრავი არაოპტიკური ფირი, ალუმინის</t>
  </si>
  <si>
    <t>96 ფოსოიანი პლანშეტის გადასაკრავი არაოპტიკური ფირი, გამჭვირვალე</t>
  </si>
  <si>
    <t>პიპეტორის წვერი, ფილტრიანი 10 მკლ 1*96</t>
  </si>
  <si>
    <t>პიპეტორის წვერი, ფილტრიანი 2-20 მკლ 1*96</t>
  </si>
  <si>
    <t>პიპეტორის წვერი Rainin LTS პიპეტისთვის, ფილტრიანი 10/20 მკლ1*96</t>
  </si>
  <si>
    <t>პიპეტორის წვერი, ფილტრიანი 20-200 მკლ1*96</t>
  </si>
  <si>
    <t>პიპეტორის წვერი, ფილტრიანი 2-200 მკლ1*96</t>
  </si>
  <si>
    <t>პიპეტორის წვერი, ფილტრიანი 100-1000 მკლ1*96</t>
  </si>
  <si>
    <t>პიპეტორის წვერი Rainin LTS პიპეტისთვის, ფილტრიანი 100-1000 მკლ1*96</t>
  </si>
  <si>
    <t>ანტიგენის სწრაფი მარტივი ტესტები</t>
  </si>
  <si>
    <t>Cepheid tests</t>
  </si>
  <si>
    <t>აპლიკატორი</t>
  </si>
  <si>
    <t>კრიოსინჯარა</t>
  </si>
  <si>
    <t>კატეგორიები</t>
  </si>
  <si>
    <t>პაპრი</t>
  </si>
  <si>
    <t>სათვალე დახული</t>
  </si>
  <si>
    <t>კომბინიზონი</t>
  </si>
  <si>
    <t xml:space="preserve">ჩაჩი </t>
  </si>
  <si>
    <t>ბახილი</t>
  </si>
  <si>
    <t>ხალათი</t>
  </si>
  <si>
    <t>ნიღაბი სამშრიანი</t>
  </si>
  <si>
    <t>ხელთათმანი</t>
  </si>
  <si>
    <r>
      <t>3.</t>
    </r>
    <r>
      <rPr>
        <b/>
        <sz val="7"/>
        <color rgb="FF212121"/>
        <rFont val="Times New Roman"/>
        <family val="1"/>
      </rPr>
      <t>      </t>
    </r>
    <r>
      <rPr>
        <b/>
        <sz val="11"/>
        <color rgb="FF212121"/>
        <rFont val="Sylfaen"/>
        <family val="1"/>
      </rPr>
      <t>სამედიცინო აღჭურვილობა</t>
    </r>
  </si>
  <si>
    <r>
      <t>4.</t>
    </r>
    <r>
      <rPr>
        <b/>
        <sz val="7"/>
        <color rgb="FF212121"/>
        <rFont val="Times New Roman"/>
        <family val="1"/>
      </rPr>
      <t>      </t>
    </r>
    <r>
      <rPr>
        <b/>
        <sz val="11"/>
        <color rgb="FF212121"/>
        <rFont val="Sylfaen"/>
        <family val="1"/>
      </rPr>
      <t>სერვისების მიწოდება</t>
    </r>
  </si>
  <si>
    <r>
      <t>5.</t>
    </r>
    <r>
      <rPr>
        <b/>
        <sz val="7"/>
        <color rgb="FF212121"/>
        <rFont val="Times New Roman"/>
        <family val="1"/>
      </rPr>
      <t>      </t>
    </r>
    <r>
      <rPr>
        <b/>
        <sz val="11"/>
        <color rgb="FF212121"/>
        <rFont val="Sylfaen"/>
        <family val="1"/>
      </rPr>
      <t>კოვიდ ვაქცინა</t>
    </r>
  </si>
  <si>
    <r>
      <t>6.</t>
    </r>
    <r>
      <rPr>
        <b/>
        <sz val="7"/>
        <color rgb="FF212121"/>
        <rFont val="Times New Roman"/>
        <family val="1"/>
      </rPr>
      <t>      </t>
    </r>
    <r>
      <rPr>
        <b/>
        <sz val="11"/>
        <color rgb="FF212121"/>
        <rFont val="Sylfaen"/>
        <family val="1"/>
      </rPr>
      <t>ტრეინინგები და ტექნიკური დახმარება</t>
    </r>
  </si>
  <si>
    <t>ვაქცინის შესყიდვა (დოზა/ცალი)</t>
  </si>
  <si>
    <t>ჯამური რაოდენობა
(2021 წ. ბოლომდე)</t>
  </si>
  <si>
    <t>მ.შ. რაოდენობა (2021 წ. მარტის ბოლომდე)</t>
  </si>
  <si>
    <t>რესპირატორი FFP2/N95</t>
  </si>
  <si>
    <t>თერმოციკლერი, რეალურ დროში პჯრ სისტემა
CFX96 Touch Real-Time PCR Detection System სენსორული ეკრანით და 96 ფოსოიანი ბლოკით და განახლებული პროგრამული უზრუნველყოფით.</t>
  </si>
  <si>
    <t>კოვიდ ეპიდემიოლოგიისა და ლაბორატორიული დიაგნოსტიკის ტრეინინგები</t>
  </si>
  <si>
    <t>ჯამი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</si>
</sst>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[$GEL]\ * #,##0_);_([$GEL]\ * \(#,##0\);_([$GEL]\ * &quot;-&quot;??_);_(@_)"/>
    <numFmt numFmtId="167" formatCode="_([$GEL]\ * #,##0.00_);_([$GEL]\ * \(#,##0.00\);_([$GEL]\ 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212121"/>
      <name val="Sylfaen"/>
      <family val="1"/>
    </font>
    <font>
      <b/>
      <sz val="11"/>
      <color rgb="FF212121"/>
      <name val="Sylfaen"/>
      <family val="1"/>
    </font>
    <font>
      <b/>
      <sz val="7"/>
      <color rgb="FF212121"/>
      <name val="Times New Roman"/>
      <family val="1"/>
    </font>
    <font>
      <sz val="10"/>
      <color rgb="FF212121"/>
      <name val="Sylfaen"/>
      <family val="1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Sylfaen"/>
      <family val="1"/>
    </font>
    <font>
      <sz val="10"/>
      <color rgb="FFFF0000"/>
      <name val="Sylfaen"/>
      <family val="1"/>
    </font>
    <font>
      <b/>
      <sz val="10"/>
      <color rgb="FFFF0000"/>
      <name val="Sylfaen"/>
      <family val="1"/>
    </font>
    <font>
      <sz val="9"/>
      <color rgb="FF212121"/>
      <name val="Sylfaen"/>
      <family val="1"/>
    </font>
    <font>
      <sz val="8"/>
      <color rgb="FFFFFF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43" fontId="0" fillId="0" borderId="0" xfId="1" applyFont="1"/>
    <xf numFmtId="165" fontId="0" fillId="0" borderId="0" xfId="1" applyNumberFormat="1" applyFont="1"/>
    <xf numFmtId="165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5" fontId="2" fillId="2" borderId="2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left" vertical="center" wrapText="1" indent="4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 indent="4"/>
    </xf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left" vertical="center" wrapText="1" indent="4"/>
    </xf>
    <xf numFmtId="0" fontId="5" fillId="2" borderId="10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left" vertical="center" wrapText="1" indent="4"/>
    </xf>
    <xf numFmtId="0" fontId="5" fillId="2" borderId="12" xfId="0" applyFont="1" applyFill="1" applyBorder="1" applyAlignment="1">
      <alignment vertical="center" wrapText="1"/>
    </xf>
    <xf numFmtId="0" fontId="6" fillId="0" borderId="1" xfId="0" applyFont="1" applyBorder="1" applyAlignment="1"/>
    <xf numFmtId="0" fontId="2" fillId="2" borderId="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left" vertical="center" wrapText="1" indent="4"/>
    </xf>
    <xf numFmtId="0" fontId="5" fillId="2" borderId="1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horizontal="left" vertical="center" wrapText="1" indent="4"/>
    </xf>
    <xf numFmtId="0" fontId="5" fillId="2" borderId="16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horizontal="left" vertical="center" wrapText="1" indent="4"/>
    </xf>
    <xf numFmtId="0" fontId="5" fillId="2" borderId="18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166" fontId="3" fillId="3" borderId="2" xfId="1" applyNumberFormat="1" applyFont="1" applyFill="1" applyBorder="1" applyAlignment="1">
      <alignment vertical="center" wrapText="1"/>
    </xf>
    <xf numFmtId="166" fontId="2" fillId="2" borderId="4" xfId="1" applyNumberFormat="1" applyFont="1" applyFill="1" applyBorder="1" applyAlignment="1">
      <alignment vertical="center" wrapText="1"/>
    </xf>
    <xf numFmtId="166" fontId="5" fillId="2" borderId="6" xfId="1" applyNumberFormat="1" applyFont="1" applyFill="1" applyBorder="1" applyAlignment="1">
      <alignment vertical="center" wrapText="1"/>
    </xf>
    <xf numFmtId="166" fontId="5" fillId="2" borderId="8" xfId="1" applyNumberFormat="1" applyFont="1" applyFill="1" applyBorder="1" applyAlignment="1">
      <alignment vertical="center" wrapText="1"/>
    </xf>
    <xf numFmtId="166" fontId="5" fillId="2" borderId="10" xfId="1" applyNumberFormat="1" applyFont="1" applyFill="1" applyBorder="1" applyAlignment="1">
      <alignment vertical="center" wrapText="1"/>
    </xf>
    <xf numFmtId="166" fontId="5" fillId="2" borderId="12" xfId="1" applyNumberFormat="1" applyFont="1" applyFill="1" applyBorder="1" applyAlignment="1">
      <alignment vertical="center" wrapText="1"/>
    </xf>
    <xf numFmtId="166" fontId="2" fillId="2" borderId="2" xfId="1" applyNumberFormat="1" applyFont="1" applyFill="1" applyBorder="1" applyAlignment="1">
      <alignment vertical="center" wrapText="1"/>
    </xf>
    <xf numFmtId="166" fontId="5" fillId="2" borderId="14" xfId="1" applyNumberFormat="1" applyFont="1" applyFill="1" applyBorder="1" applyAlignment="1">
      <alignment vertical="center" wrapText="1"/>
    </xf>
    <xf numFmtId="166" fontId="5" fillId="2" borderId="16" xfId="1" applyNumberFormat="1" applyFont="1" applyFill="1" applyBorder="1" applyAlignment="1">
      <alignment vertical="center" wrapText="1"/>
    </xf>
    <xf numFmtId="166" fontId="5" fillId="2" borderId="18" xfId="1" applyNumberFormat="1" applyFont="1" applyFill="1" applyBorder="1" applyAlignment="1">
      <alignment vertical="center" wrapText="1"/>
    </xf>
    <xf numFmtId="166" fontId="5" fillId="2" borderId="4" xfId="1" applyNumberFormat="1" applyFont="1" applyFill="1" applyBorder="1" applyAlignment="1">
      <alignment vertical="center" wrapText="1"/>
    </xf>
    <xf numFmtId="166" fontId="2" fillId="2" borderId="6" xfId="1" applyNumberFormat="1" applyFont="1" applyFill="1" applyBorder="1" applyAlignment="1">
      <alignment vertical="center" wrapText="1"/>
    </xf>
    <xf numFmtId="166" fontId="2" fillId="2" borderId="8" xfId="1" applyNumberFormat="1" applyFont="1" applyFill="1" applyBorder="1" applyAlignment="1">
      <alignment vertical="center" wrapText="1"/>
    </xf>
    <xf numFmtId="166" fontId="2" fillId="2" borderId="10" xfId="1" applyNumberFormat="1" applyFont="1" applyFill="1" applyBorder="1" applyAlignment="1">
      <alignment vertical="center" wrapText="1"/>
    </xf>
    <xf numFmtId="9" fontId="0" fillId="0" borderId="0" xfId="2" applyFont="1"/>
    <xf numFmtId="164" fontId="7" fillId="0" borderId="0" xfId="1" applyNumberFormat="1" applyFont="1"/>
    <xf numFmtId="164" fontId="8" fillId="2" borderId="2" xfId="1" applyNumberFormat="1" applyFont="1" applyFill="1" applyBorder="1" applyAlignment="1">
      <alignment horizontal="center" vertical="center" wrapText="1"/>
    </xf>
    <xf numFmtId="165" fontId="7" fillId="0" borderId="0" xfId="1" applyNumberFormat="1" applyFont="1"/>
    <xf numFmtId="167" fontId="9" fillId="2" borderId="6" xfId="1" applyNumberFormat="1" applyFont="1" applyFill="1" applyBorder="1" applyAlignment="1">
      <alignment vertical="center" wrapText="1"/>
    </xf>
    <xf numFmtId="167" fontId="9" fillId="2" borderId="8" xfId="1" applyNumberFormat="1" applyFont="1" applyFill="1" applyBorder="1" applyAlignment="1">
      <alignment vertical="center" wrapText="1"/>
    </xf>
    <xf numFmtId="167" fontId="9" fillId="2" borderId="10" xfId="1" applyNumberFormat="1" applyFont="1" applyFill="1" applyBorder="1" applyAlignment="1">
      <alignment vertical="center" wrapText="1"/>
    </xf>
    <xf numFmtId="167" fontId="9" fillId="2" borderId="12" xfId="1" applyNumberFormat="1" applyFont="1" applyFill="1" applyBorder="1" applyAlignment="1">
      <alignment vertical="center" wrapText="1"/>
    </xf>
    <xf numFmtId="167" fontId="9" fillId="2" borderId="14" xfId="1" applyNumberFormat="1" applyFont="1" applyFill="1" applyBorder="1" applyAlignment="1">
      <alignment vertical="center" wrapText="1"/>
    </xf>
    <xf numFmtId="167" fontId="9" fillId="2" borderId="16" xfId="1" applyNumberFormat="1" applyFont="1" applyFill="1" applyBorder="1" applyAlignment="1">
      <alignment vertical="center" wrapText="1"/>
    </xf>
    <xf numFmtId="167" fontId="9" fillId="2" borderId="18" xfId="1" applyNumberFormat="1" applyFont="1" applyFill="1" applyBorder="1" applyAlignment="1">
      <alignment vertical="center" wrapText="1"/>
    </xf>
    <xf numFmtId="167" fontId="9" fillId="2" borderId="4" xfId="1" applyNumberFormat="1" applyFont="1" applyFill="1" applyBorder="1" applyAlignment="1">
      <alignment vertical="center" wrapText="1"/>
    </xf>
    <xf numFmtId="167" fontId="10" fillId="3" borderId="2" xfId="1" applyNumberFormat="1" applyFont="1" applyFill="1" applyBorder="1" applyAlignment="1">
      <alignment vertical="center" wrapText="1"/>
    </xf>
    <xf numFmtId="167" fontId="9" fillId="2" borderId="2" xfId="1" applyNumberFormat="1" applyFont="1" applyFill="1" applyBorder="1" applyAlignment="1">
      <alignment vertical="center" wrapText="1"/>
    </xf>
    <xf numFmtId="0" fontId="11" fillId="2" borderId="6" xfId="0" applyFont="1" applyFill="1" applyBorder="1" applyAlignment="1">
      <alignment vertical="center" wrapText="1"/>
    </xf>
    <xf numFmtId="165" fontId="2" fillId="2" borderId="19" xfId="1" applyNumberFormat="1" applyFont="1" applyFill="1" applyBorder="1" applyAlignment="1">
      <alignment horizontal="center" vertical="center" wrapText="1"/>
    </xf>
    <xf numFmtId="165" fontId="3" fillId="3" borderId="19" xfId="1" applyNumberFormat="1" applyFont="1" applyFill="1" applyBorder="1" applyAlignment="1">
      <alignment vertical="center" wrapText="1"/>
    </xf>
    <xf numFmtId="165" fontId="2" fillId="2" borderId="20" xfId="1" applyNumberFormat="1" applyFont="1" applyFill="1" applyBorder="1" applyAlignment="1">
      <alignment vertical="center" wrapText="1"/>
    </xf>
    <xf numFmtId="165" fontId="5" fillId="2" borderId="21" xfId="1" applyNumberFormat="1" applyFont="1" applyFill="1" applyBorder="1" applyAlignment="1">
      <alignment vertical="center" wrapText="1"/>
    </xf>
    <xf numFmtId="165" fontId="5" fillId="2" borderId="22" xfId="1" applyNumberFormat="1" applyFont="1" applyFill="1" applyBorder="1" applyAlignment="1">
      <alignment vertical="center" wrapText="1"/>
    </xf>
    <xf numFmtId="165" fontId="5" fillId="2" borderId="23" xfId="1" applyNumberFormat="1" applyFont="1" applyFill="1" applyBorder="1" applyAlignment="1">
      <alignment vertical="center" wrapText="1"/>
    </xf>
    <xf numFmtId="165" fontId="5" fillId="2" borderId="24" xfId="1" applyNumberFormat="1" applyFont="1" applyFill="1" applyBorder="1" applyAlignment="1">
      <alignment vertical="center" wrapText="1"/>
    </xf>
    <xf numFmtId="165" fontId="2" fillId="2" borderId="19" xfId="1" applyNumberFormat="1" applyFont="1" applyFill="1" applyBorder="1" applyAlignment="1">
      <alignment vertical="center" wrapText="1"/>
    </xf>
    <xf numFmtId="165" fontId="5" fillId="2" borderId="25" xfId="1" applyNumberFormat="1" applyFont="1" applyFill="1" applyBorder="1" applyAlignment="1">
      <alignment vertical="center" wrapText="1"/>
    </xf>
    <xf numFmtId="165" fontId="5" fillId="2" borderId="26" xfId="1" applyNumberFormat="1" applyFont="1" applyFill="1" applyBorder="1" applyAlignment="1">
      <alignment vertical="center" wrapText="1"/>
    </xf>
    <xf numFmtId="165" fontId="5" fillId="2" borderId="27" xfId="1" applyNumberFormat="1" applyFont="1" applyFill="1" applyBorder="1" applyAlignment="1">
      <alignment vertical="center" wrapText="1"/>
    </xf>
    <xf numFmtId="165" fontId="5" fillId="2" borderId="20" xfId="1" applyNumberFormat="1" applyFont="1" applyFill="1" applyBorder="1" applyAlignment="1">
      <alignment vertical="center" wrapText="1"/>
    </xf>
    <xf numFmtId="165" fontId="2" fillId="2" borderId="21" xfId="1" applyNumberFormat="1" applyFont="1" applyFill="1" applyBorder="1" applyAlignment="1">
      <alignment vertical="center" wrapText="1"/>
    </xf>
    <xf numFmtId="165" fontId="2" fillId="2" borderId="22" xfId="1" applyNumberFormat="1" applyFont="1" applyFill="1" applyBorder="1" applyAlignment="1">
      <alignment vertical="center" wrapText="1"/>
    </xf>
    <xf numFmtId="165" fontId="2" fillId="2" borderId="23" xfId="1" applyNumberFormat="1" applyFont="1" applyFill="1" applyBorder="1" applyAlignment="1">
      <alignment vertical="center" wrapText="1"/>
    </xf>
    <xf numFmtId="165" fontId="2" fillId="2" borderId="28" xfId="1" applyNumberFormat="1" applyFont="1" applyFill="1" applyBorder="1" applyAlignment="1">
      <alignment horizontal="center" vertical="center" wrapText="1"/>
    </xf>
    <xf numFmtId="165" fontId="3" fillId="3" borderId="28" xfId="1" applyNumberFormat="1" applyFont="1" applyFill="1" applyBorder="1" applyAlignment="1">
      <alignment vertical="center" wrapText="1"/>
    </xf>
    <xf numFmtId="165" fontId="2" fillId="2" borderId="29" xfId="1" applyNumberFormat="1" applyFont="1" applyFill="1" applyBorder="1" applyAlignment="1">
      <alignment vertical="center" wrapText="1"/>
    </xf>
    <xf numFmtId="165" fontId="5" fillId="2" borderId="30" xfId="1" applyNumberFormat="1" applyFont="1" applyFill="1" applyBorder="1" applyAlignment="1">
      <alignment vertical="center" wrapText="1"/>
    </xf>
    <xf numFmtId="165" fontId="5" fillId="2" borderId="31" xfId="1" applyNumberFormat="1" applyFont="1" applyFill="1" applyBorder="1" applyAlignment="1">
      <alignment vertical="center" wrapText="1"/>
    </xf>
    <xf numFmtId="165" fontId="5" fillId="2" borderId="32" xfId="1" applyNumberFormat="1" applyFont="1" applyFill="1" applyBorder="1" applyAlignment="1">
      <alignment vertical="center" wrapText="1"/>
    </xf>
    <xf numFmtId="165" fontId="5" fillId="2" borderId="33" xfId="1" applyNumberFormat="1" applyFont="1" applyFill="1" applyBorder="1" applyAlignment="1">
      <alignment vertical="center" wrapText="1"/>
    </xf>
    <xf numFmtId="165" fontId="2" fillId="2" borderId="28" xfId="1" applyNumberFormat="1" applyFont="1" applyFill="1" applyBorder="1" applyAlignment="1">
      <alignment vertical="center" wrapText="1"/>
    </xf>
    <xf numFmtId="165" fontId="5" fillId="2" borderId="34" xfId="1" applyNumberFormat="1" applyFont="1" applyFill="1" applyBorder="1" applyAlignment="1">
      <alignment vertical="center" wrapText="1"/>
    </xf>
    <xf numFmtId="165" fontId="5" fillId="2" borderId="35" xfId="1" applyNumberFormat="1" applyFont="1" applyFill="1" applyBorder="1" applyAlignment="1">
      <alignment vertical="center" wrapText="1"/>
    </xf>
    <xf numFmtId="165" fontId="5" fillId="2" borderId="36" xfId="1" applyNumberFormat="1" applyFont="1" applyFill="1" applyBorder="1" applyAlignment="1">
      <alignment vertical="center" wrapText="1"/>
    </xf>
    <xf numFmtId="165" fontId="2" fillId="2" borderId="30" xfId="1" applyNumberFormat="1" applyFont="1" applyFill="1" applyBorder="1" applyAlignment="1">
      <alignment vertical="center" wrapText="1"/>
    </xf>
    <xf numFmtId="165" fontId="2" fillId="2" borderId="31" xfId="1" applyNumberFormat="1" applyFont="1" applyFill="1" applyBorder="1" applyAlignment="1">
      <alignment vertical="center" wrapText="1"/>
    </xf>
    <xf numFmtId="165" fontId="2" fillId="2" borderId="32" xfId="1" applyNumberFormat="1" applyFont="1" applyFill="1" applyBorder="1" applyAlignment="1">
      <alignment vertical="center" wrapText="1"/>
    </xf>
    <xf numFmtId="165" fontId="12" fillId="0" borderId="0" xfId="1" applyNumberFormat="1" applyFont="1" applyFill="1"/>
    <xf numFmtId="0" fontId="13" fillId="4" borderId="0" xfId="0" applyFont="1" applyFill="1" applyAlignment="1">
      <alignment horizontal="center" vertical="center"/>
    </xf>
    <xf numFmtId="166" fontId="3" fillId="4" borderId="37" xfId="1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7" fontId="9" fillId="2" borderId="28" xfId="1" applyNumberFormat="1" applyFont="1" applyFill="1" applyBorder="1" applyAlignment="1">
      <alignment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tabSelected="1" view="pageBreakPreview" zoomScaleNormal="10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M5" sqref="M5:M6"/>
    </sheetView>
  </sheetViews>
  <sheetFormatPr defaultRowHeight="15" x14ac:dyDescent="0.25"/>
  <cols>
    <col min="1" max="1" width="57.7109375" customWidth="1"/>
    <col min="2" max="2" width="22.5703125" style="2" customWidth="1"/>
    <col min="3" max="3" width="19.28515625" bestFit="1" customWidth="1"/>
    <col min="4" max="4" width="16.140625" style="2" customWidth="1"/>
    <col min="5" max="5" width="15.140625" style="2" customWidth="1"/>
    <col min="6" max="6" width="16" style="54" customWidth="1"/>
    <col min="8" max="8" width="11.5703125" style="97" customWidth="1"/>
    <col min="10" max="10" width="13.5703125" bestFit="1" customWidth="1"/>
  </cols>
  <sheetData>
    <row r="1" spans="1:10" ht="15.75" thickBot="1" x14ac:dyDescent="0.3"/>
    <row r="2" spans="1:10" ht="81.95" customHeight="1" thickBot="1" x14ac:dyDescent="0.3">
      <c r="A2" s="4" t="s">
        <v>51</v>
      </c>
      <c r="B2" s="6" t="s">
        <v>0</v>
      </c>
      <c r="C2" s="5" t="s">
        <v>1</v>
      </c>
      <c r="D2" s="83" t="s">
        <v>65</v>
      </c>
      <c r="E2" s="68" t="s">
        <v>66</v>
      </c>
      <c r="F2" s="55" t="s">
        <v>16</v>
      </c>
      <c r="H2" s="97">
        <f>H6+H12+H18+H30</f>
        <v>2268560</v>
      </c>
      <c r="J2" s="53"/>
    </row>
    <row r="3" spans="1:10" ht="15.75" thickBot="1" x14ac:dyDescent="0.3">
      <c r="A3" s="7" t="s">
        <v>2</v>
      </c>
      <c r="B3" s="39"/>
      <c r="C3" s="8"/>
      <c r="D3" s="84"/>
      <c r="E3" s="69"/>
      <c r="F3" s="65"/>
    </row>
    <row r="4" spans="1:10" ht="15.75" thickBot="1" x14ac:dyDescent="0.3">
      <c r="A4" s="9" t="s">
        <v>3</v>
      </c>
      <c r="B4" s="39"/>
      <c r="C4" s="8"/>
      <c r="D4" s="84"/>
      <c r="E4" s="69"/>
      <c r="F4" s="65"/>
      <c r="G4" s="3"/>
    </row>
    <row r="5" spans="1:10" ht="15.75" thickBot="1" x14ac:dyDescent="0.3">
      <c r="A5" s="10" t="s">
        <v>9</v>
      </c>
      <c r="B5" s="40"/>
      <c r="C5" s="11"/>
      <c r="D5" s="85"/>
      <c r="E5" s="70"/>
      <c r="F5" s="64"/>
    </row>
    <row r="6" spans="1:10" x14ac:dyDescent="0.25">
      <c r="A6" s="12" t="s">
        <v>8</v>
      </c>
      <c r="B6" s="41">
        <f t="shared" ref="B6:B11" si="0">D6*F6</f>
        <v>28066499.999999996</v>
      </c>
      <c r="C6" s="13"/>
      <c r="D6" s="86">
        <f>E6*3</f>
        <v>450000</v>
      </c>
      <c r="E6" s="71">
        <f>150*1000</f>
        <v>150000</v>
      </c>
      <c r="F6" s="57">
        <f>18900/1000*3.3</f>
        <v>62.36999999999999</v>
      </c>
      <c r="H6" s="97">
        <f>D6</f>
        <v>450000</v>
      </c>
    </row>
    <row r="7" spans="1:10" ht="30" x14ac:dyDescent="0.25">
      <c r="A7" s="14" t="s">
        <v>10</v>
      </c>
      <c r="B7" s="42">
        <f t="shared" si="0"/>
        <v>5197500</v>
      </c>
      <c r="C7" s="15"/>
      <c r="D7" s="87">
        <f t="shared" ref="D7:D31" si="1">E7*3</f>
        <v>450</v>
      </c>
      <c r="E7" s="72">
        <v>150</v>
      </c>
      <c r="F7" s="58">
        <f>3500*3.3</f>
        <v>11550</v>
      </c>
    </row>
    <row r="8" spans="1:10" ht="30" x14ac:dyDescent="0.25">
      <c r="A8" s="14" t="s">
        <v>11</v>
      </c>
      <c r="B8" s="42">
        <f t="shared" si="0"/>
        <v>1158300</v>
      </c>
      <c r="C8" s="15"/>
      <c r="D8" s="87">
        <f t="shared" si="1"/>
        <v>1500</v>
      </c>
      <c r="E8" s="72">
        <v>500</v>
      </c>
      <c r="F8" s="58">
        <f>234*3.3</f>
        <v>772.19999999999993</v>
      </c>
    </row>
    <row r="9" spans="1:10" x14ac:dyDescent="0.25">
      <c r="A9" s="14" t="s">
        <v>12</v>
      </c>
      <c r="B9" s="42">
        <f t="shared" si="0"/>
        <v>326700</v>
      </c>
      <c r="C9" s="15"/>
      <c r="D9" s="87">
        <f t="shared" si="1"/>
        <v>600</v>
      </c>
      <c r="E9" s="72">
        <v>200</v>
      </c>
      <c r="F9" s="58">
        <f>165*3.3</f>
        <v>544.5</v>
      </c>
    </row>
    <row r="10" spans="1:10" x14ac:dyDescent="0.25">
      <c r="A10" s="14" t="s">
        <v>13</v>
      </c>
      <c r="B10" s="42">
        <f t="shared" si="0"/>
        <v>2257200</v>
      </c>
      <c r="C10" s="15"/>
      <c r="D10" s="87">
        <f t="shared" si="1"/>
        <v>1200</v>
      </c>
      <c r="E10" s="72">
        <v>400</v>
      </c>
      <c r="F10" s="58">
        <f>570*3.3</f>
        <v>1881</v>
      </c>
    </row>
    <row r="11" spans="1:10" ht="30.75" thickBot="1" x14ac:dyDescent="0.3">
      <c r="A11" s="16" t="s">
        <v>14</v>
      </c>
      <c r="B11" s="43">
        <f t="shared" si="0"/>
        <v>2450250</v>
      </c>
      <c r="C11" s="17"/>
      <c r="D11" s="88">
        <f t="shared" si="1"/>
        <v>2700</v>
      </c>
      <c r="E11" s="73">
        <v>900</v>
      </c>
      <c r="F11" s="59">
        <f>275*3.3</f>
        <v>907.5</v>
      </c>
    </row>
    <row r="12" spans="1:10" ht="15.75" thickBot="1" x14ac:dyDescent="0.3">
      <c r="A12" s="18" t="s">
        <v>15</v>
      </c>
      <c r="B12" s="40">
        <f>D12*F12</f>
        <v>33264000</v>
      </c>
      <c r="C12" s="11"/>
      <c r="D12" s="85">
        <f t="shared" si="1"/>
        <v>1008000</v>
      </c>
      <c r="E12" s="70">
        <f>7000*48</f>
        <v>336000</v>
      </c>
      <c r="F12" s="64">
        <v>33</v>
      </c>
      <c r="H12" s="97">
        <f>D12</f>
        <v>1008000</v>
      </c>
    </row>
    <row r="13" spans="1:10" ht="15.75" thickBot="1" x14ac:dyDescent="0.3">
      <c r="A13" s="18" t="s">
        <v>17</v>
      </c>
      <c r="B13" s="40"/>
      <c r="C13" s="11"/>
      <c r="D13" s="85"/>
      <c r="E13" s="70"/>
      <c r="F13" s="64"/>
    </row>
    <row r="14" spans="1:10" x14ac:dyDescent="0.25">
      <c r="A14" s="12" t="s">
        <v>18</v>
      </c>
      <c r="B14" s="41">
        <f>D14*F14</f>
        <v>7560000</v>
      </c>
      <c r="C14" s="13"/>
      <c r="D14" s="86">
        <f t="shared" si="1"/>
        <v>450000</v>
      </c>
      <c r="E14" s="71">
        <f>600*250</f>
        <v>150000</v>
      </c>
      <c r="F14" s="57">
        <f>4200/250</f>
        <v>16.8</v>
      </c>
    </row>
    <row r="15" spans="1:10" x14ac:dyDescent="0.25">
      <c r="A15" s="14" t="s">
        <v>19</v>
      </c>
      <c r="B15" s="42">
        <f>D15*F15</f>
        <v>337.5</v>
      </c>
      <c r="C15" s="15"/>
      <c r="D15" s="87">
        <f t="shared" si="1"/>
        <v>450</v>
      </c>
      <c r="E15" s="72">
        <v>150</v>
      </c>
      <c r="F15" s="58">
        <v>0.75</v>
      </c>
    </row>
    <row r="16" spans="1:10" ht="15.75" thickBot="1" x14ac:dyDescent="0.3">
      <c r="A16" s="19" t="s">
        <v>20</v>
      </c>
      <c r="B16" s="44">
        <f>D16*F16</f>
        <v>3486600</v>
      </c>
      <c r="C16" s="20"/>
      <c r="D16" s="89">
        <f t="shared" si="1"/>
        <v>300000</v>
      </c>
      <c r="E16" s="74">
        <f>1000*100</f>
        <v>100000</v>
      </c>
      <c r="F16" s="60">
        <f>2.98*3.9</f>
        <v>11.622</v>
      </c>
    </row>
    <row r="17" spans="1:10" ht="15.75" thickBot="1" x14ac:dyDescent="0.3">
      <c r="A17" s="21" t="s">
        <v>33</v>
      </c>
      <c r="B17" s="45"/>
      <c r="C17" s="22"/>
      <c r="D17" s="90"/>
      <c r="E17" s="75"/>
      <c r="F17" s="66"/>
    </row>
    <row r="18" spans="1:10" x14ac:dyDescent="0.25">
      <c r="A18" s="23" t="s">
        <v>21</v>
      </c>
      <c r="B18" s="46">
        <f>F18*D18</f>
        <v>37206000</v>
      </c>
      <c r="C18" s="24"/>
      <c r="D18" s="91">
        <f t="shared" si="1"/>
        <v>3180</v>
      </c>
      <c r="E18" s="76">
        <v>1060</v>
      </c>
      <c r="F18" s="61">
        <f>3000*3.9</f>
        <v>11700</v>
      </c>
      <c r="H18" s="97">
        <f>203520*3</f>
        <v>610560</v>
      </c>
    </row>
    <row r="19" spans="1:10" x14ac:dyDescent="0.25">
      <c r="A19" s="25" t="s">
        <v>22</v>
      </c>
      <c r="B19" s="47">
        <f t="shared" ref="B19:B29" si="2">F19*D19</f>
        <v>3042000</v>
      </c>
      <c r="C19" s="26"/>
      <c r="D19" s="92">
        <f t="shared" si="1"/>
        <v>390</v>
      </c>
      <c r="E19" s="77">
        <v>130</v>
      </c>
      <c r="F19" s="62">
        <f>2000*3.9</f>
        <v>7800</v>
      </c>
      <c r="J19" s="1"/>
    </row>
    <row r="20" spans="1:10" x14ac:dyDescent="0.25">
      <c r="A20" s="25" t="s">
        <v>23</v>
      </c>
      <c r="B20" s="47">
        <f t="shared" si="2"/>
        <v>979524</v>
      </c>
      <c r="C20" s="26"/>
      <c r="D20" s="92">
        <f t="shared" si="1"/>
        <v>390</v>
      </c>
      <c r="E20" s="77">
        <v>130</v>
      </c>
      <c r="F20" s="62">
        <f>644*3.9</f>
        <v>2511.6</v>
      </c>
    </row>
    <row r="21" spans="1:10" x14ac:dyDescent="0.25">
      <c r="A21" s="25" t="s">
        <v>24</v>
      </c>
      <c r="B21" s="47">
        <f t="shared" si="2"/>
        <v>500409</v>
      </c>
      <c r="C21" s="26"/>
      <c r="D21" s="92">
        <f t="shared" si="1"/>
        <v>210</v>
      </c>
      <c r="E21" s="77">
        <v>70</v>
      </c>
      <c r="F21" s="62">
        <f>611*3.9</f>
        <v>2382.9</v>
      </c>
    </row>
    <row r="22" spans="1:10" x14ac:dyDescent="0.25">
      <c r="A22" s="25" t="s">
        <v>25</v>
      </c>
      <c r="B22" s="47">
        <f t="shared" si="2"/>
        <v>606060</v>
      </c>
      <c r="C22" s="26"/>
      <c r="D22" s="92">
        <f t="shared" si="1"/>
        <v>420</v>
      </c>
      <c r="E22" s="77">
        <v>140</v>
      </c>
      <c r="F22" s="62">
        <f>370*3.9</f>
        <v>1443</v>
      </c>
    </row>
    <row r="23" spans="1:10" x14ac:dyDescent="0.25">
      <c r="A23" s="25" t="s">
        <v>26</v>
      </c>
      <c r="B23" s="47">
        <f t="shared" si="2"/>
        <v>783432</v>
      </c>
      <c r="C23" s="26"/>
      <c r="D23" s="92">
        <f t="shared" si="1"/>
        <v>540</v>
      </c>
      <c r="E23" s="77">
        <v>180</v>
      </c>
      <c r="F23" s="62">
        <f>372*3.9</f>
        <v>1450.8</v>
      </c>
    </row>
    <row r="24" spans="1:10" x14ac:dyDescent="0.25">
      <c r="A24" s="25" t="s">
        <v>27</v>
      </c>
      <c r="B24" s="47">
        <f t="shared" si="2"/>
        <v>2291328</v>
      </c>
      <c r="C24" s="26"/>
      <c r="D24" s="92">
        <f t="shared" si="1"/>
        <v>540</v>
      </c>
      <c r="E24" s="77">
        <v>180</v>
      </c>
      <c r="F24" s="62">
        <f>1088*3.9</f>
        <v>4243.2</v>
      </c>
    </row>
    <row r="25" spans="1:10" x14ac:dyDescent="0.25">
      <c r="A25" s="25" t="s">
        <v>28</v>
      </c>
      <c r="B25" s="47">
        <f t="shared" si="2"/>
        <v>766584</v>
      </c>
      <c r="C25" s="26"/>
      <c r="D25" s="92">
        <f t="shared" si="1"/>
        <v>210</v>
      </c>
      <c r="E25" s="77">
        <v>70</v>
      </c>
      <c r="F25" s="62">
        <f>936*3.9</f>
        <v>3650.4</v>
      </c>
    </row>
    <row r="26" spans="1:10" x14ac:dyDescent="0.25">
      <c r="A26" s="25" t="s">
        <v>29</v>
      </c>
      <c r="B26" s="47">
        <f t="shared" si="2"/>
        <v>1137006</v>
      </c>
      <c r="C26" s="26"/>
      <c r="D26" s="92">
        <f t="shared" si="1"/>
        <v>1290</v>
      </c>
      <c r="E26" s="77">
        <v>430</v>
      </c>
      <c r="F26" s="62">
        <f>226*3.9</f>
        <v>881.4</v>
      </c>
    </row>
    <row r="27" spans="1:10" x14ac:dyDescent="0.25">
      <c r="A27" s="25" t="s">
        <v>30</v>
      </c>
      <c r="B27" s="47">
        <f t="shared" si="2"/>
        <v>3249324</v>
      </c>
      <c r="C27" s="26"/>
      <c r="D27" s="92">
        <f t="shared" si="1"/>
        <v>3180</v>
      </c>
      <c r="E27" s="77">
        <v>1060</v>
      </c>
      <c r="F27" s="62">
        <f>262*3.9</f>
        <v>1021.8</v>
      </c>
    </row>
    <row r="28" spans="1:10" x14ac:dyDescent="0.25">
      <c r="A28" s="25" t="s">
        <v>31</v>
      </c>
      <c r="B28" s="47">
        <f t="shared" si="2"/>
        <v>928980</v>
      </c>
      <c r="C28" s="26"/>
      <c r="D28" s="92">
        <f t="shared" si="1"/>
        <v>600</v>
      </c>
      <c r="E28" s="77">
        <v>200</v>
      </c>
      <c r="F28" s="62">
        <f>397*3.9</f>
        <v>1548.3</v>
      </c>
    </row>
    <row r="29" spans="1:10" ht="15.75" thickBot="1" x14ac:dyDescent="0.3">
      <c r="A29" s="27" t="s">
        <v>32</v>
      </c>
      <c r="B29" s="48">
        <f t="shared" si="2"/>
        <v>2410317</v>
      </c>
      <c r="C29" s="28"/>
      <c r="D29" s="93">
        <f t="shared" si="1"/>
        <v>810</v>
      </c>
      <c r="E29" s="78">
        <v>270</v>
      </c>
      <c r="F29" s="63">
        <f>763*3.9</f>
        <v>2975.7</v>
      </c>
    </row>
    <row r="30" spans="1:10" ht="15.75" thickBot="1" x14ac:dyDescent="0.3">
      <c r="A30" s="21" t="s">
        <v>48</v>
      </c>
      <c r="B30" s="49">
        <f>F30*D30</f>
        <v>13127400</v>
      </c>
      <c r="C30" s="29"/>
      <c r="D30" s="90">
        <v>200000</v>
      </c>
      <c r="E30" s="79"/>
      <c r="F30" s="64">
        <f>(106920+486)/5400*3.3</f>
        <v>65.637</v>
      </c>
      <c r="H30" s="97">
        <f>D30</f>
        <v>200000</v>
      </c>
    </row>
    <row r="31" spans="1:10" ht="15.75" thickBot="1" x14ac:dyDescent="0.3">
      <c r="A31" s="21" t="s">
        <v>47</v>
      </c>
      <c r="B31" s="45">
        <f>D31*F31</f>
        <v>29699999.999999996</v>
      </c>
      <c r="C31" s="22"/>
      <c r="D31" s="90">
        <f t="shared" si="1"/>
        <v>1500000</v>
      </c>
      <c r="E31" s="75">
        <v>500000</v>
      </c>
      <c r="F31" s="66">
        <f>6*3.3</f>
        <v>19.799999999999997</v>
      </c>
      <c r="H31" s="97">
        <f>D31</f>
        <v>1500000</v>
      </c>
    </row>
    <row r="32" spans="1:10" ht="15.75" thickBot="1" x14ac:dyDescent="0.3">
      <c r="A32" s="9" t="s">
        <v>4</v>
      </c>
      <c r="B32" s="39"/>
      <c r="C32" s="8"/>
      <c r="D32" s="84"/>
      <c r="E32" s="69"/>
      <c r="F32" s="65"/>
    </row>
    <row r="33" spans="1:6" x14ac:dyDescent="0.25">
      <c r="A33" s="30" t="s">
        <v>49</v>
      </c>
      <c r="B33" s="50">
        <f>D33*F33</f>
        <v>2250000</v>
      </c>
      <c r="C33" s="31"/>
      <c r="D33" s="94">
        <v>5000000</v>
      </c>
      <c r="E33" s="80"/>
      <c r="F33" s="57">
        <v>0.45</v>
      </c>
    </row>
    <row r="34" spans="1:6" x14ac:dyDescent="0.25">
      <c r="A34" s="32" t="s">
        <v>50</v>
      </c>
      <c r="B34" s="51">
        <f>D34*F34</f>
        <v>1625000</v>
      </c>
      <c r="C34" s="33"/>
      <c r="D34" s="95">
        <v>2500000</v>
      </c>
      <c r="E34" s="81"/>
      <c r="F34" s="58">
        <v>0.65</v>
      </c>
    </row>
    <row r="35" spans="1:6" x14ac:dyDescent="0.25">
      <c r="A35" s="32" t="s">
        <v>34</v>
      </c>
      <c r="B35" s="51">
        <f t="shared" ref="B35:B46" si="3">D35*F35</f>
        <v>0</v>
      </c>
      <c r="C35" s="33"/>
      <c r="D35" s="95">
        <f>E35*3</f>
        <v>1500</v>
      </c>
      <c r="E35" s="81">
        <v>500</v>
      </c>
      <c r="F35" s="58"/>
    </row>
    <row r="36" spans="1:6" x14ac:dyDescent="0.25">
      <c r="A36" s="32" t="s">
        <v>35</v>
      </c>
      <c r="B36" s="51">
        <f t="shared" si="3"/>
        <v>0</v>
      </c>
      <c r="C36" s="33"/>
      <c r="D36" s="95">
        <f t="shared" ref="D36:D47" si="4">E36*3</f>
        <v>150</v>
      </c>
      <c r="E36" s="81">
        <v>50</v>
      </c>
      <c r="F36" s="58"/>
    </row>
    <row r="37" spans="1:6" x14ac:dyDescent="0.25">
      <c r="A37" s="32" t="s">
        <v>36</v>
      </c>
      <c r="B37" s="51">
        <f t="shared" si="3"/>
        <v>0</v>
      </c>
      <c r="C37" s="33"/>
      <c r="D37" s="95">
        <f t="shared" si="4"/>
        <v>4500</v>
      </c>
      <c r="E37" s="81">
        <v>1500</v>
      </c>
      <c r="F37" s="58"/>
    </row>
    <row r="38" spans="1:6" x14ac:dyDescent="0.25">
      <c r="A38" s="32" t="s">
        <v>37</v>
      </c>
      <c r="B38" s="51">
        <f t="shared" si="3"/>
        <v>0</v>
      </c>
      <c r="C38" s="33"/>
      <c r="D38" s="95">
        <f t="shared" si="4"/>
        <v>4500</v>
      </c>
      <c r="E38" s="81">
        <v>1500</v>
      </c>
      <c r="F38" s="58"/>
    </row>
    <row r="39" spans="1:6" ht="30" x14ac:dyDescent="0.25">
      <c r="A39" s="32" t="s">
        <v>38</v>
      </c>
      <c r="B39" s="51">
        <f t="shared" si="3"/>
        <v>0</v>
      </c>
      <c r="C39" s="33"/>
      <c r="D39" s="95">
        <f t="shared" si="4"/>
        <v>4500</v>
      </c>
      <c r="E39" s="81">
        <v>1500</v>
      </c>
      <c r="F39" s="58"/>
    </row>
    <row r="40" spans="1:6" ht="30" x14ac:dyDescent="0.25">
      <c r="A40" s="32" t="s">
        <v>39</v>
      </c>
      <c r="B40" s="51">
        <f t="shared" si="3"/>
        <v>22860</v>
      </c>
      <c r="C40" s="33"/>
      <c r="D40" s="95">
        <f t="shared" si="4"/>
        <v>18000</v>
      </c>
      <c r="E40" s="81">
        <v>6000</v>
      </c>
      <c r="F40" s="58">
        <v>1.27</v>
      </c>
    </row>
    <row r="41" spans="1:6" x14ac:dyDescent="0.25">
      <c r="A41" s="32" t="s">
        <v>40</v>
      </c>
      <c r="B41" s="51">
        <f t="shared" si="3"/>
        <v>96600</v>
      </c>
      <c r="C41" s="33"/>
      <c r="D41" s="95">
        <f t="shared" si="4"/>
        <v>2100</v>
      </c>
      <c r="E41" s="81">
        <v>700</v>
      </c>
      <c r="F41" s="58">
        <v>46</v>
      </c>
    </row>
    <row r="42" spans="1:6" x14ac:dyDescent="0.25">
      <c r="A42" s="32" t="s">
        <v>41</v>
      </c>
      <c r="B42" s="51">
        <f t="shared" si="3"/>
        <v>13800</v>
      </c>
      <c r="C42" s="33"/>
      <c r="D42" s="95">
        <f t="shared" si="4"/>
        <v>300</v>
      </c>
      <c r="E42" s="81">
        <v>100</v>
      </c>
      <c r="F42" s="58">
        <v>46</v>
      </c>
    </row>
    <row r="43" spans="1:6" ht="30" x14ac:dyDescent="0.25">
      <c r="A43" s="32" t="s">
        <v>42</v>
      </c>
      <c r="B43" s="51">
        <f t="shared" si="3"/>
        <v>14700</v>
      </c>
      <c r="C43" s="33"/>
      <c r="D43" s="95">
        <f t="shared" si="4"/>
        <v>300</v>
      </c>
      <c r="E43" s="81">
        <v>100</v>
      </c>
      <c r="F43" s="58">
        <v>49</v>
      </c>
    </row>
    <row r="44" spans="1:6" x14ac:dyDescent="0.25">
      <c r="A44" s="32" t="s">
        <v>43</v>
      </c>
      <c r="B44" s="51">
        <f t="shared" si="3"/>
        <v>63000</v>
      </c>
      <c r="C44" s="33"/>
      <c r="D44" s="95">
        <f t="shared" si="4"/>
        <v>2100</v>
      </c>
      <c r="E44" s="81">
        <v>700</v>
      </c>
      <c r="F44" s="58">
        <v>30</v>
      </c>
    </row>
    <row r="45" spans="1:6" x14ac:dyDescent="0.25">
      <c r="A45" s="32" t="s">
        <v>44</v>
      </c>
      <c r="B45" s="51">
        <f t="shared" si="3"/>
        <v>9900</v>
      </c>
      <c r="C45" s="33"/>
      <c r="D45" s="95">
        <f t="shared" si="4"/>
        <v>300</v>
      </c>
      <c r="E45" s="81">
        <v>100</v>
      </c>
      <c r="F45" s="58">
        <v>33</v>
      </c>
    </row>
    <row r="46" spans="1:6" x14ac:dyDescent="0.25">
      <c r="A46" s="32" t="s">
        <v>45</v>
      </c>
      <c r="B46" s="51">
        <f t="shared" si="3"/>
        <v>13800</v>
      </c>
      <c r="C46" s="33"/>
      <c r="D46" s="95">
        <f t="shared" si="4"/>
        <v>300</v>
      </c>
      <c r="E46" s="81">
        <v>100</v>
      </c>
      <c r="F46" s="58">
        <v>46</v>
      </c>
    </row>
    <row r="47" spans="1:6" ht="30.75" thickBot="1" x14ac:dyDescent="0.3">
      <c r="A47" s="34" t="s">
        <v>46</v>
      </c>
      <c r="B47" s="52">
        <f>D47*F47</f>
        <v>205800</v>
      </c>
      <c r="C47" s="35"/>
      <c r="D47" s="96">
        <f t="shared" si="4"/>
        <v>2100</v>
      </c>
      <c r="E47" s="82">
        <v>700</v>
      </c>
      <c r="F47" s="59">
        <v>98</v>
      </c>
    </row>
    <row r="48" spans="1:6" ht="15.75" thickBot="1" x14ac:dyDescent="0.3">
      <c r="A48" s="7" t="s">
        <v>5</v>
      </c>
      <c r="B48" s="39"/>
      <c r="C48" s="8"/>
      <c r="D48" s="84"/>
      <c r="E48" s="69"/>
      <c r="F48" s="65"/>
    </row>
    <row r="49" spans="1:6" x14ac:dyDescent="0.25">
      <c r="A49" s="36" t="s">
        <v>52</v>
      </c>
      <c r="B49" s="50">
        <f>D49*F49</f>
        <v>261500</v>
      </c>
      <c r="C49" s="31"/>
      <c r="D49" s="94">
        <v>100</v>
      </c>
      <c r="E49" s="80"/>
      <c r="F49" s="57">
        <v>2615</v>
      </c>
    </row>
    <row r="50" spans="1:6" x14ac:dyDescent="0.25">
      <c r="A50" s="37" t="s">
        <v>53</v>
      </c>
      <c r="B50" s="51">
        <f t="shared" ref="B50:B57" si="5">D50*F50</f>
        <v>14000</v>
      </c>
      <c r="C50" s="33"/>
      <c r="D50" s="95">
        <v>1000</v>
      </c>
      <c r="E50" s="81"/>
      <c r="F50" s="58">
        <v>14</v>
      </c>
    </row>
    <row r="51" spans="1:6" x14ac:dyDescent="0.25">
      <c r="A51" s="37" t="s">
        <v>54</v>
      </c>
      <c r="B51" s="51">
        <f t="shared" si="5"/>
        <v>280000</v>
      </c>
      <c r="C51" s="33"/>
      <c r="D51" s="95">
        <v>10000</v>
      </c>
      <c r="E51" s="81"/>
      <c r="F51" s="58">
        <v>28</v>
      </c>
    </row>
    <row r="52" spans="1:6" x14ac:dyDescent="0.25">
      <c r="A52" s="37" t="s">
        <v>55</v>
      </c>
      <c r="B52" s="51">
        <f t="shared" si="5"/>
        <v>10000</v>
      </c>
      <c r="C52" s="33"/>
      <c r="D52" s="95">
        <v>100000</v>
      </c>
      <c r="E52" s="81"/>
      <c r="F52" s="58">
        <v>0.1</v>
      </c>
    </row>
    <row r="53" spans="1:6" x14ac:dyDescent="0.25">
      <c r="A53" s="37" t="s">
        <v>56</v>
      </c>
      <c r="B53" s="51">
        <f t="shared" si="5"/>
        <v>100000</v>
      </c>
      <c r="C53" s="33"/>
      <c r="D53" s="95">
        <v>200000</v>
      </c>
      <c r="E53" s="81"/>
      <c r="F53" s="58">
        <v>0.5</v>
      </c>
    </row>
    <row r="54" spans="1:6" x14ac:dyDescent="0.25">
      <c r="A54" s="37" t="s">
        <v>57</v>
      </c>
      <c r="B54" s="51">
        <f t="shared" si="5"/>
        <v>465000.00000000006</v>
      </c>
      <c r="C54" s="33"/>
      <c r="D54" s="95">
        <v>100000</v>
      </c>
      <c r="E54" s="81"/>
      <c r="F54" s="58">
        <v>4.6500000000000004</v>
      </c>
    </row>
    <row r="55" spans="1:6" x14ac:dyDescent="0.25">
      <c r="A55" s="37" t="s">
        <v>58</v>
      </c>
      <c r="B55" s="51">
        <f t="shared" si="5"/>
        <v>165000</v>
      </c>
      <c r="C55" s="33"/>
      <c r="D55" s="95">
        <v>300000</v>
      </c>
      <c r="E55" s="81"/>
      <c r="F55" s="58">
        <v>0.55000000000000004</v>
      </c>
    </row>
    <row r="56" spans="1:6" x14ac:dyDescent="0.25">
      <c r="A56" s="37" t="s">
        <v>59</v>
      </c>
      <c r="B56" s="51">
        <f t="shared" si="5"/>
        <v>28999.999999999996</v>
      </c>
      <c r="C56" s="33"/>
      <c r="D56" s="95">
        <v>100000</v>
      </c>
      <c r="E56" s="81"/>
      <c r="F56" s="58">
        <v>0.28999999999999998</v>
      </c>
    </row>
    <row r="57" spans="1:6" ht="15.75" thickBot="1" x14ac:dyDescent="0.3">
      <c r="A57" s="38" t="s">
        <v>67</v>
      </c>
      <c r="B57" s="52">
        <f t="shared" si="5"/>
        <v>1500000</v>
      </c>
      <c r="C57" s="35"/>
      <c r="D57" s="96">
        <v>100000</v>
      </c>
      <c r="E57" s="82"/>
      <c r="F57" s="59">
        <v>15</v>
      </c>
    </row>
    <row r="58" spans="1:6" ht="15.75" thickBot="1" x14ac:dyDescent="0.3">
      <c r="A58" s="7" t="s">
        <v>60</v>
      </c>
      <c r="B58" s="39"/>
      <c r="C58" s="8"/>
      <c r="D58" s="84"/>
      <c r="E58" s="69"/>
      <c r="F58" s="65"/>
    </row>
    <row r="59" spans="1:6" ht="60.75" thickBot="1" x14ac:dyDescent="0.3">
      <c r="A59" s="30" t="s">
        <v>68</v>
      </c>
      <c r="B59" s="50">
        <v>142000</v>
      </c>
      <c r="C59" s="67"/>
      <c r="D59" s="94">
        <v>1</v>
      </c>
      <c r="E59" s="80"/>
      <c r="F59" s="57"/>
    </row>
    <row r="60" spans="1:6" ht="15.75" thickBot="1" x14ac:dyDescent="0.3">
      <c r="A60" s="7" t="s">
        <v>61</v>
      </c>
      <c r="B60" s="39"/>
      <c r="C60" s="8"/>
      <c r="D60" s="84"/>
      <c r="E60" s="69"/>
      <c r="F60" s="65"/>
    </row>
    <row r="61" spans="1:6" ht="23.1" customHeight="1" thickBot="1" x14ac:dyDescent="0.3">
      <c r="A61" s="18" t="s">
        <v>6</v>
      </c>
      <c r="B61" s="40">
        <f>D61*35</f>
        <v>52500000</v>
      </c>
      <c r="C61" s="11"/>
      <c r="D61" s="85">
        <v>1500000</v>
      </c>
      <c r="E61" s="70"/>
      <c r="F61" s="64"/>
    </row>
    <row r="62" spans="1:6" ht="15.75" thickBot="1" x14ac:dyDescent="0.3">
      <c r="A62" s="7" t="s">
        <v>62</v>
      </c>
      <c r="B62" s="39"/>
      <c r="C62" s="8"/>
      <c r="D62" s="84"/>
      <c r="E62" s="69"/>
      <c r="F62" s="65"/>
    </row>
    <row r="63" spans="1:6" x14ac:dyDescent="0.25">
      <c r="A63" s="30" t="s">
        <v>64</v>
      </c>
      <c r="B63" s="50">
        <f>11058780*3.3</f>
        <v>36493974</v>
      </c>
      <c r="C63" s="31"/>
      <c r="D63" s="94">
        <v>1484400</v>
      </c>
      <c r="E63" s="80"/>
      <c r="F63" s="57"/>
    </row>
    <row r="64" spans="1:6" ht="15.75" thickBot="1" x14ac:dyDescent="0.3">
      <c r="A64" s="34" t="s">
        <v>7</v>
      </c>
      <c r="B64" s="52">
        <v>1000000</v>
      </c>
      <c r="C64" s="35"/>
      <c r="D64" s="96"/>
      <c r="E64" s="82"/>
      <c r="F64" s="59"/>
    </row>
    <row r="65" spans="1:6" ht="15.75" thickBot="1" x14ac:dyDescent="0.3">
      <c r="A65" s="7" t="s">
        <v>63</v>
      </c>
      <c r="B65" s="39"/>
      <c r="C65" s="8"/>
      <c r="D65" s="84"/>
      <c r="E65" s="69"/>
      <c r="F65" s="65"/>
    </row>
    <row r="66" spans="1:6" ht="30.75" thickBot="1" x14ac:dyDescent="0.3">
      <c r="A66" s="100" t="s">
        <v>69</v>
      </c>
      <c r="B66" s="45">
        <v>50000</v>
      </c>
      <c r="C66" s="22"/>
      <c r="D66" s="90"/>
      <c r="E66" s="75"/>
      <c r="F66" s="101"/>
    </row>
    <row r="67" spans="1:6" ht="15.75" thickBot="1" x14ac:dyDescent="0.3">
      <c r="A67" s="98" t="s">
        <v>70</v>
      </c>
      <c r="B67" s="99">
        <f>SUM(B3:B66)</f>
        <v>277821685.5</v>
      </c>
      <c r="F67" s="56"/>
    </row>
  </sheetData>
  <printOptions horizontalCentered="1"/>
  <pageMargins left="0" right="0" top="0.25" bottom="0.25" header="0.3" footer="0.3"/>
  <pageSetup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2020-10-26T09:39:49Z</dcterms:modified>
</cp:coreProperties>
</file>